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O78" l="1"/>
  <c r="F7" i="48"/>
  <c r="F24" s="1"/>
  <c r="L30"/>
  <c r="L23"/>
  <c r="B100" i="18"/>
  <c r="C7" s="1"/>
  <c r="B35" i="13"/>
  <c r="B47" s="1"/>
  <c r="N8" i="17"/>
  <c r="N5"/>
  <c r="L8"/>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K81" i="14" l="1"/>
  <c r="C78"/>
  <c r="C81" s="1"/>
  <c r="D67"/>
  <c r="C9" i="18"/>
  <c r="R17" i="14"/>
  <c r="L12" i="17"/>
  <c r="M48" i="14" s="1"/>
  <c r="C14" i="48"/>
  <c r="O22" i="14"/>
  <c r="R22" s="1"/>
  <c r="N12" i="17"/>
  <c r="O48" i="14" s="1"/>
  <c r="N7" i="48"/>
  <c r="N24" s="1"/>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E5" i="48"/>
  <c r="E22" s="1"/>
  <c r="Q7"/>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Q5" i="48" l="1"/>
  <c r="O13" i="14"/>
  <c r="O15" s="1"/>
  <c r="F13"/>
  <c r="F15" s="1"/>
  <c r="F23" s="1"/>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<sst xmlns="http://schemas.openxmlformats.org/spreadsheetml/2006/main" count="2029" uniqueCount="894">
  <si>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</si>
  <si>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</si>
  <si>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</si>
  <si>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</si>
  <si>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</si>
  <si>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</si>
  <si>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</si>
  <si>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</si>
  <si>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</si>
  <si>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</si>
  <si>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</si>
  <si>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</si>
  <si>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</si>
  <si>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</si>
  <si>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</si>
  <si>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</si>
  <si>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</si>
  <si>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</si>
  <si>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</si>
  <si>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</si>
  <si>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</si>
  <si>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</si>
  <si>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</si>
  <si>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</si>
  <si>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</si>
  <si>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</si>
  <si>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</si>
  <si>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</si>
  <si>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</si>
  <si>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</si>
  <si>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</si>
  <si>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</si>
  <si>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</si>
  <si>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</si>
  <si>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</si>
  <si>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</si>
  <si>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</si>
  <si>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</si>
  <si>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</si>
  <si>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</si>
  <si>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</si>
  <si>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</si>
  <si>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</si>
  <si>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</si>
  <si>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</si>
  <si>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</si>
  <si>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</si>
  <si>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</si>
  <si>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</si>
  <si>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</si>
  <si>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</si>
  <si>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</si>
  <si>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</si>
  <si>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</si>
  <si>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</si>
  <si>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</si>
  <si>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</si>
  <si>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</si>
  <si>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</si>
  <si>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</si>
  <si>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</si>
  <si>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</si>
  <si>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</si>
  <si>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</si>
  <si>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</si>
  <si>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</si>
  <si>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</si>
  <si>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</si>
  <si>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</si>
  <si>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</si>
  <si>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</si>
  <si>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</si>
  <si>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</si>
  <si>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</si>
  <si>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</si>
  <si>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</si>
  <si>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</si>
  <si>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</si>
  <si>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</si>
  <si>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</si>
  <si>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</si>
  <si>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</si>
  <si>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</si>
  <si>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</si>
  <si>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</si>
  <si>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</si>
  <si>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</si>
  <si>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</si>
  <si>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</si>
  <si>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</si>
  <si>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</si>
  <si>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</si>
  <si>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</si>
  <si>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</si>
  <si>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</si>
  <si>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</si>
  <si>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</si>
  <si>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</si>
  <si>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</si>
  <si>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</si>
  <si>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</si>
  <si>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</si>
  <si>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</si>
  <si>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</si>
  <si>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</si>
  <si>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</si>
  <si>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</si>
  <si>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</si>
  <si>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</si>
  <si>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</si>
  <si>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</si>
  <si>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</si>
  <si>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</si>
  <si>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</si>
  <si>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</si>
  <si>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</si>
  <si>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</si>
  <si>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</si>
  <si>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</si>
  <si>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</si>
  <si>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</si>
  <si>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</si>
  <si>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</si>
  <si>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</si>
  <si>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</si>
  <si>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</si>
  <si>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</si>
  <si>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</si>
  <si>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</si>
  <si>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</si>
  <si>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</si>
  <si>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</si>
  <si>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</si>
  <si>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</si>
  <si>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</si>
  <si>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</si>
  <si>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</si>
  <si>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</si>
  <si>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</si>
  <si>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</si>
  <si>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</si>
  <si>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</si>
  <si>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</si>
  <si>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</si>
  <si>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</si>
  <si>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</si>
  <si>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</si>
  <si>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</si>
  <si>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</si>
  <si>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</si>
  <si>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</si>
  <si>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</si>
  <si>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</si>
  <si>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</si>
  <si>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</si>
  <si>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</si>
  <si>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</si>
  <si>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</si>
  <si>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</si>
  <si>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</si>
  <si>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</si>
  <si>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</si>
  <si>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</si>
  <si>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</si>
  <si>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</si>
  <si>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</si>
  <si>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</si>
  <si>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</si>
  <si>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</si>
  <si>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</si>
  <si>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</si>
  <si>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</si>
  <si>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</si>
  <si>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</si>
  <si>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</si>
  <si>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</si>
  <si>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</si>
  <si>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</si>
  <si>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</si>
  <si>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</si>
  <si>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</si>
  <si>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</si>
  <si>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</si>
  <si>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</si>
  <si>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</si>
  <si>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</si>
  <si>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</si>
  <si>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</si>
  <si>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</si>
  <si>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</si>
  <si>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</si>
  <si>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</si>
  <si>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</si>
  <si>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</si>
  <si>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</si>
  <si>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</si>
  <si>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</si>
  <si>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</si>
  <si>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</si>
  <si>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</si>
  <si>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</si>
  <si>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</si>
  <si>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</si>
  <si>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</si>
  <si>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</si>
  <si>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</si>
  <si>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</si>
  <si>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</si>
  <si>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</si>
  <si>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</si>
  <si>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</si>
  <si>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</si>
  <si>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</si>
  <si>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</si>
  <si>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</si>
  <si>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</si>
  <si>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</si>
  <si>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</si>
  <si>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</si>
  <si>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</si>
  <si>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</si>
  <si>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</si>
  <si>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</si>
  <si>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</si>
  <si>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</si>
  <si>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</si>
  <si>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</si>
  <si>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</si>
  <si>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</si>
  <si>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</si>
  <si>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</si>
  <si>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</si>
  <si>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</si>
  <si>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</si>
  <si>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</si>
  <si>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</si>
  <si>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</si>
  <si>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</si>
  <si>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</si>
  <si>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</si>
  <si>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</si>
  <si>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</si>
  <si>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</si>
  <si>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</si>
  <si>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</si>
  <si>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</si>
  <si>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</si>
  <si>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</si>
  <si>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</si>
  <si>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</si>
  <si>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</si>
  <si>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</si>
  <si>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</si>
  <si>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</si>
  <si>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</si>
  <si>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</si>
  <si>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</si>
  <si>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</si>
  <si>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</si>
  <si>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</si>
  <si>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</si>
  <si>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</si>
  <si>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</si>
  <si>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</si>
  <si>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</si>
  <si>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</si>
  <si>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</si>
  <si>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</si>
  <si>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</si>
  <si>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</si>
  <si>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</si>
  <si>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</si>
  <si>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</si>
  <si>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</si>
  <si>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</si>
  <si>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</si>
  <si>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</si>
  <si>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</si>
  <si>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</si>
  <si>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</si>
  <si>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</si>
  <si>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</si>
  <si>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</si>
  <si>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</si>
  <si>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</si>
  <si>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</si>
  <si>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</si>
  <si>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</si>
  <si>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</si>
  <si>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</si>
  <si>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</si>
  <si>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</si>
  <si>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</si>
  <si>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</si>
  <si>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</si>
  <si>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</si>
  <si>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</si>
  <si>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</si>
  <si>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</si>
  <si>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</si>
  <si>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</si>
  <si>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</si>
  <si>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</si>
  <si>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</si>
  <si>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</si>
  <si>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</si>
  <si>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</si>
  <si>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</si>
  <si>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</si>
  <si>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</si>
  <si>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</si>
  <si>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</si>
  <si>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</si>
  <si>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</si>
  <si>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</si>
  <si>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</si>
  <si>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</si>
  <si>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</si>
  <si>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</si>
  <si>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</si>
  <si>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</si>
  <si>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</si>
  <si>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</si>
  <si>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</si>
  <si>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</si>
  <si>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</si>
  <si>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</si>
  <si>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</si>
  <si>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</si>
  <si>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</si>
  <si>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</si>
  <si>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</si>
  <si>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</si>
  <si>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</si>
  <si>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</si>
  <si>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</si>
  <si>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</si>
  <si>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</si>
  <si>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</si>
  <si>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</si>
  <si>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</si>
  <si>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</si>
  <si>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</si>
  <si>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</si>
  <si>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</si>
  <si>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</si>
  <si>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</si>
  <si>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</si>
  <si>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</si>
  <si>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</si>
  <si>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</si>
  <si>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</si>
  <si>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</si>
  <si>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</si>
  <si>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</si>
  <si>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</si>
  <si>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</si>
  <si>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</si>
  <si>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</si>
  <si>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</si>
  <si>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</si>
  <si>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</si>
  <si>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</si>
  <si>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</si>
  <si>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</si>
  <si>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</si>
  <si>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</si>
  <si>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</si>
  <si>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</si>
  <si>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</si>
  <si>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</si>
  <si>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</si>
  <si>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</si>
  <si>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</si>
  <si>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</si>
  <si>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</si>
  <si>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</si>
  <si>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</si>
  <si>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</si>
  <si>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</si>
  <si>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</si>
  <si>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</si>
  <si>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</si>
  <si>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</si>
  <si>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</si>
  <si>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</si>
  <si>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</si>
  <si>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</si>
  <si>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</si>
  <si>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</si>
  <si>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</si>
  <si>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</si>
  <si>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</si>
  <si>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</si>
  <si>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</si>
  <si>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</si>
  <si>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</si>
  <si>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</si>
  <si>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</si>
  <si>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</si>
  <si>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</si>
  <si>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</si>
  <si>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</si>
  <si>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</si>
  <si>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</si>
  <si>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</si>
  <si>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</si>
  <si>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</si>
  <si>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</si>
  <si>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</si>
  <si>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</si>
  <si>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</si>
  <si>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</si>
  <si>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</si>
  <si>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</si>
  <si>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</si>
  <si>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</si>
  <si>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</si>
  <si>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</si>
  <si>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</si>
  <si>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</si>
  <si>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</si>
  <si>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</si>
  <si>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</si>
  <si>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</si>
  <si>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</si>
  <si>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</si>
  <si>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</si>
  <si>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</si>
  <si>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</si>
  <si>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</si>
  <si>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</si>
  <si>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</si>
  <si>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</si>
  <si>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</si>
  <si>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</si>
  <si>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</si>
  <si>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</si>
  <si>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</si>
  <si>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</si>
  <si>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</si>
  <si>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</si>
  <si>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</si>
  <si>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</si>
  <si>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</si>
  <si>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</si>
  <si>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</si>
  <si>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</si>
  <si>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</si>
  <si>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</si>
  <si>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</si>
  <si>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</si>
  <si>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</si>
  <si>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</si>
  <si>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</si>
  <si>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</si>
  <si>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</si>
  <si>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</si>
  <si>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</si>
  <si>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</si>
  <si>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</si>
  <si>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</si>
  <si>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</si>
  <si>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</si>
  <si>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</si>
  <si>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</si>
  <si>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</si>
  <si>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</si>
  <si>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</si>
  <si>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</si>
  <si>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</si>
  <si>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</si>
  <si>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</si>
  <si>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</si>
  <si>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</si>
  <si>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</si>
  <si>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</si>
  <si>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</si>
  <si>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</si>
  <si>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</si>
  <si>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</si>
  <si>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</si>
  <si>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</si>
  <si>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</si>
  <si>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</si>
  <si>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</si>
  <si>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</si>
  <si>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</si>
  <si>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</si>
  <si>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</si>
  <si>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</si>
  <si>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</si>
  <si>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</si>
  <si>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</si>
  <si>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</si>
  <si>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</si>
  <si>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</si>
  <si>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</si>
  <si>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</si>
  <si>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</si>
  <si>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</si>
  <si>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</si>
  <si>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</si>
  <si>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</si>
  <si>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</si>
  <si>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</si>
  <si>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</si>
  <si>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</si>
  <si>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</si>
  <si>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</si>
  <si>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</si>
  <si>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</si>
  <si>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</si>
  <si>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</si>
  <si>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</si>
  <si>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</si>
  <si>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</si>
  <si>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</si>
  <si>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</si>
  <si>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</si>
  <si>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</si>
  <si>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</si>
  <si>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</si>
  <si>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</si>
  <si>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</si>
  <si>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</si>
  <si>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</si>
  <si>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</si>
  <si>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</si>
  <si>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</si>
  <si>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</si>
  <si>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</si>
  <si>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</si>
  <si>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</si>
  <si>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</si>
  <si>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</si>
  <si>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</si>
  <si>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</si>
  <si>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</si>
  <si>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</si>
  <si>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</si>
  <si>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</si>
  <si>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</si>
  <si>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</si>
  <si>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</si>
  <si>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</si>
  <si>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</si>
  <si>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</si>
  <si>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</si>
  <si>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</si>
  <si>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</si>
  <si>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</si>
  <si>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</si>
  <si>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</si>
  <si>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</si>
  <si>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</si>
  <si>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</si>
  <si>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</si>
  <si>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</si>
  <si>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</si>
  <si>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</si>
  <si>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</si>
  <si>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</si>
  <si>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</si>
  <si>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</si>
  <si>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</si>
  <si>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</si>
  <si>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</si>
  <si>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</si>
  <si>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</si>
  <si>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</si>
  <si>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</si>
  <si>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</si>
  <si>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</si>
  <si>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</si>
  <si>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</si>
  <si>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</si>
  <si>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</si>
  <si>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</si>
  <si>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</si>
  <si>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</si>
  <si>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</si>
  <si>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</si>
  <si>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</si>
  <si>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</si>
  <si>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</si>
  <si>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</si>
  <si>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</si>
  <si>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</si>
  <si>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</si>
  <si>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</si>
  <si>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</si>
  <si>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</si>
  <si>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</si>
  <si>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</si>
  <si>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</si>
  <si>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</si>
  <si>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</si>
  <si>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</si>
  <si>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</si>
  <si>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</si>
  <si>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</si>
  <si>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</si>
  <si>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</si>
  <si>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</si>
  <si>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</si>
  <si>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</si>
  <si>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</si>
  <si>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</si>
  <si>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</si>
  <si>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</si>
  <si>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</si>
  <si>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</si>
  <si>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</si>
  <si>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</si>
  <si>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</si>
  <si>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</si>
  <si>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</si>
  <si>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</si>
  <si>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</si>
  <si>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</si>
  <si>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</si>
  <si>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</si>
  <si>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</si>
  <si>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</si>
  <si>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</si>
  <si>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</si>
  <si>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</si>
  <si>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</si>
  <si>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</si>
  <si>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</si>
  <si>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</si>
  <si>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</si>
  <si>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</si>
  <si>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</si>
  <si>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</si>
  <si>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</si>
  <si>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</si>
  <si>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</si>
  <si>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</si>
  <si>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</si>
  <si>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</si>
  <si>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</si>
  <si>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</si>
  <si>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</si>
  <si>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</si>
  <si>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</si>
  <si>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</si>
  <si>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</si>
  <si>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</si>
  <si>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</si>
  <si>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</si>
  <si>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</si>
  <si>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</si>
  <si>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</si>
  <si>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</si>
  <si>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</si>
  <si>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</si>
  <si>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</si>
  <si>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</si>
  <si>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</si>
  <si>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</si>
  <si>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</si>
  <si>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</si>
  <si>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</si>
  <si>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</si>
  <si>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</si>
  <si>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</si>
  <si>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</si>
  <si>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</si>
  <si>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</si>
  <si>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</si>
  <si>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</si>
  <si>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</si>
  <si>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</si>
  <si>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</si>
  <si>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</si>
  <si>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</si>
  <si>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</si>
  <si>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</si>
  <si>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</si>
  <si>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</si>
  <si>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</si>
  <si>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</si>
  <si>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</si>
  <si>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</si>
  <si>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</si>
  <si>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</si>
  <si>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</si>
  <si>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</si>
  <si>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</si>
  <si>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</si>
  <si>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</si>
  <si>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</si>
  <si>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</si>
  <si>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</si>
  <si>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</si>
  <si>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</si>
  <si>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</si>
  <si>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</si>
  <si>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</si>
  <si>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</si>
  <si>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</si>
  <si>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</si>
  <si>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</si>
  <si>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</si>
  <si>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</si>
  <si>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</si>
  <si>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</si>
  <si>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</si>
  <si>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</si>
  <si>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</si>
  <si>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</si>
  <si>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</si>
  <si>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</si>
  <si>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</si>
  <si>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</si>
  <si>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</si>
  <si>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</si>
  <si>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</si>
  <si>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</si>
  <si>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</si>
  <si>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</si>
  <si>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</si>
  <si>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</si>
  <si>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</si>
  <si>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</si>
  <si>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</si>
  <si>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</si>
  <si>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</si>
  <si>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</si>
  <si>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</si>
  <si>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</si>
  <si>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</si>
  <si>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</si>
  <si>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</si>
  <si>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</si>
  <si>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</si>
  <si>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</si>
  <si>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</si>
  <si>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</si>
  <si>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</si>
  <si>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</si>
  <si>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</si>
  <si>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</si>
  <si>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</si>
  <si>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</si>
  <si>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</si>
  <si>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</si>
  <si>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</si>
  <si>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</si>
  <si>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</si>
  <si>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</si>
  <si>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</si>
  <si>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</si>
  <si>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</si>
  <si>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</si>
  <si>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</si>
  <si>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</si>
  <si>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</si>
  <si>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</si>
  <si>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</si>
  <si>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</si>
  <si>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</si>
  <si>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</si>
  <si>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</si>
  <si>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</si>
  <si>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</si>
  <si>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</si>
  <si>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</si>
  <si>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</si>
  <si>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</si>
  <si>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</si>
  <si>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</si>
  <si>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</si>
  <si>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</si>
  <si>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</si>
  <si>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</si>
  <si>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</si>
  <si>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</si>
  <si>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</si>
  <si>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</si>
  <si>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</si>
  <si>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</si>
  <si>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</si>
  <si>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</si>
  <si>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</si>
  <si>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</si>
  <si>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</si>
  <si>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</si>
  <si>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</si>
  <si>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</si>
  <si>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</si>
  <si>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</si>
  <si>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</si>
  <si>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</si>
  <si>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</si>
  <si>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</si>
  <si>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</si>
  <si>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</si>
  <si>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</si>
  <si>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</si>
  <si>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</si>
  <si>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</si>
  <si>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</si>
  <si>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</si>
  <si>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</si>
  <si>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</si>
  <si>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</si>
  <si>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</si>
  <si>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</si>
  <si>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</si>
  <si>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</si>
  <si>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</si>
  <si>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</si>
  <si>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</si>
  <si>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</si>
  <si>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</si>
  <si>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</si>
  <si>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</si>
  <si>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</si>
  <si>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</si>
  <si>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</si>
  <si>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</si>
  <si>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</si>
  <si>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</si>
  <si>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</si>
  <si>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</si>
  <si>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</si>
  <si>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</si>
  <si>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</si>
  <si>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</si>
  <si>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</si>
  <si>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</si>
  <si>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</si>
  <si>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</si>
  <si>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</si>
  <si>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</si>
  <si>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</si>
  <si>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</si>
  <si>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</si>
  <si>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</si>
  <si>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</si>
  <si>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</si>
  <si>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</si>
  <si>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</si>
  <si>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</si>
  <si>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</si>
  <si>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</si>
  <si>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</si>
  <si>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</si>
  <si>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</si>
  <si>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</si>
  <si>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</si>
  <si>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</si>
  <si>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</si>
  <si>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</si>
  <si>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</si>
  <si>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</si>
  <si>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</si>
  <si>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</si>
  <si>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</si>
  <si>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</si>
  <si>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</si>
  <si>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</si>
  <si>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</si>
  <si>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</si>
  <si>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</si>
  <si>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</si>
  <si>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</si>
  <si>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</si>
  <si>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</si>
  <si>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</si>
  <si>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</si>
  <si>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</si>
  <si>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</si>
  <si>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</si>
  <si>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</si>
  <si>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</si>
  <si>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</si>
  <si>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</si>
  <si>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</si>
  <si>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</si>
  <si>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</si>
  <si>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</si>
  <si>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34042</t>
  </si>
  <si>
    <t>ZWEVEGEM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</si>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</sst>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34042</v>
      </c>
      <c r="B6" s="396"/>
      <c r="C6" s="397"/>
    </row>
    <row r="7" spans="1:7" s="394" customFormat="1" ht="15.75" customHeight="1">
      <c r="A7" s="398" t="str">
        <f>txtMunicipality</f>
        <v>ZWEVEGEM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9756</v>
      </c>
      <c r="C9" s="336">
        <v>10379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4276</v>
      </c>
    </row>
    <row r="15" spans="1:6">
      <c r="A15" s="1194" t="s">
        <v>185</v>
      </c>
      <c r="B15" s="333">
        <v>25</v>
      </c>
    </row>
    <row r="16" spans="1:6">
      <c r="A16" s="1194" t="s">
        <v>6</v>
      </c>
      <c r="B16" s="333">
        <v>602</v>
      </c>
    </row>
    <row r="17" spans="1:6">
      <c r="A17" s="1194" t="s">
        <v>7</v>
      </c>
      <c r="B17" s="333">
        <v>896</v>
      </c>
    </row>
    <row r="18" spans="1:6">
      <c r="A18" s="1194" t="s">
        <v>8</v>
      </c>
      <c r="B18" s="333">
        <v>1042</v>
      </c>
    </row>
    <row r="19" spans="1:6">
      <c r="A19" s="1194" t="s">
        <v>9</v>
      </c>
      <c r="B19" s="333">
        <v>940</v>
      </c>
    </row>
    <row r="20" spans="1:6">
      <c r="A20" s="1194" t="s">
        <v>10</v>
      </c>
      <c r="B20" s="333">
        <v>981</v>
      </c>
    </row>
    <row r="21" spans="1:6">
      <c r="A21" s="1194" t="s">
        <v>11</v>
      </c>
      <c r="B21" s="333">
        <v>3978</v>
      </c>
    </row>
    <row r="22" spans="1:6">
      <c r="A22" s="1194" t="s">
        <v>12</v>
      </c>
      <c r="B22" s="333">
        <v>21858</v>
      </c>
    </row>
    <row r="23" spans="1:6">
      <c r="A23" s="1194" t="s">
        <v>13</v>
      </c>
      <c r="B23" s="333">
        <v>136</v>
      </c>
    </row>
    <row r="24" spans="1:6">
      <c r="A24" s="1194" t="s">
        <v>14</v>
      </c>
      <c r="B24" s="333">
        <v>23</v>
      </c>
    </row>
    <row r="25" spans="1:6">
      <c r="A25" s="1194" t="s">
        <v>15</v>
      </c>
      <c r="B25" s="333">
        <v>1519</v>
      </c>
    </row>
    <row r="26" spans="1:6">
      <c r="A26" s="1194" t="s">
        <v>16</v>
      </c>
      <c r="B26" s="333">
        <v>201</v>
      </c>
    </row>
    <row r="27" spans="1:6">
      <c r="A27" s="1194" t="s">
        <v>17</v>
      </c>
      <c r="B27" s="333">
        <v>8</v>
      </c>
    </row>
    <row r="28" spans="1:6">
      <c r="A28" s="1194" t="s">
        <v>18</v>
      </c>
      <c r="B28" s="333">
        <v>354160</v>
      </c>
    </row>
    <row r="29" spans="1:6">
      <c r="A29" s="1194" t="s">
        <v>888</v>
      </c>
      <c r="B29" s="333">
        <v>119</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526144.12102328299</v>
      </c>
      <c r="E38" s="333">
        <v>3</v>
      </c>
      <c r="F38" s="333">
        <v>19713.730407474799</v>
      </c>
    </row>
    <row r="39" spans="1:6">
      <c r="A39" s="1194" t="s">
        <v>30</v>
      </c>
      <c r="B39" s="1194" t="s">
        <v>31</v>
      </c>
      <c r="C39" s="333">
        <v>4698</v>
      </c>
      <c r="D39" s="333">
        <v>70978912.462216496</v>
      </c>
      <c r="E39" s="333">
        <v>9091</v>
      </c>
      <c r="F39" s="333">
        <v>42693183.892005697</v>
      </c>
    </row>
    <row r="40" spans="1:6">
      <c r="A40" s="1194" t="s">
        <v>30</v>
      </c>
      <c r="B40" s="1194" t="s">
        <v>29</v>
      </c>
      <c r="C40" s="333">
        <v>0</v>
      </c>
      <c r="D40" s="333">
        <v>0</v>
      </c>
      <c r="E40" s="333">
        <v>0</v>
      </c>
      <c r="F40" s="333">
        <v>0</v>
      </c>
    </row>
    <row r="41" spans="1:6">
      <c r="A41" s="1194" t="s">
        <v>32</v>
      </c>
      <c r="B41" s="1194" t="s">
        <v>33</v>
      </c>
      <c r="C41" s="333">
        <v>45</v>
      </c>
      <c r="D41" s="333">
        <v>888972.56618620304</v>
      </c>
      <c r="E41" s="333">
        <v>173</v>
      </c>
      <c r="F41" s="333">
        <v>1392255.5595235899</v>
      </c>
    </row>
    <row r="42" spans="1:6">
      <c r="A42" s="1194" t="s">
        <v>32</v>
      </c>
      <c r="B42" s="1194" t="s">
        <v>34</v>
      </c>
      <c r="C42" s="333">
        <v>0</v>
      </c>
      <c r="D42" s="333">
        <v>0</v>
      </c>
      <c r="E42" s="333">
        <v>0</v>
      </c>
      <c r="F42" s="333">
        <v>0</v>
      </c>
    </row>
    <row r="43" spans="1:6">
      <c r="A43" s="1194" t="s">
        <v>32</v>
      </c>
      <c r="B43" s="1194" t="s">
        <v>35</v>
      </c>
      <c r="C43" s="333">
        <v>7</v>
      </c>
      <c r="D43" s="333">
        <v>153848520.29821399</v>
      </c>
      <c r="E43" s="333">
        <v>19</v>
      </c>
      <c r="F43" s="333">
        <v>275655.73398889398</v>
      </c>
    </row>
    <row r="44" spans="1:6">
      <c r="A44" s="1194" t="s">
        <v>32</v>
      </c>
      <c r="B44" s="1194" t="s">
        <v>36</v>
      </c>
      <c r="C44" s="333">
        <v>0</v>
      </c>
      <c r="D44" s="333">
        <v>0</v>
      </c>
      <c r="E44" s="333">
        <v>7</v>
      </c>
      <c r="F44" s="333">
        <v>65080.479298028797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147113.491943967</v>
      </c>
      <c r="E47" s="333">
        <v>4</v>
      </c>
      <c r="F47" s="333">
        <v>136272.49050674101</v>
      </c>
    </row>
    <row r="48" spans="1:6">
      <c r="A48" s="1194" t="s">
        <v>32</v>
      </c>
      <c r="B48" s="1194" t="s">
        <v>29</v>
      </c>
      <c r="C48" s="333">
        <v>51</v>
      </c>
      <c r="D48" s="333">
        <v>10925389.2937447</v>
      </c>
      <c r="E48" s="333">
        <v>105</v>
      </c>
      <c r="F48" s="333">
        <v>17373346.643143602</v>
      </c>
    </row>
    <row r="49" spans="1:6">
      <c r="A49" s="1194" t="s">
        <v>32</v>
      </c>
      <c r="B49" s="1194" t="s">
        <v>40</v>
      </c>
      <c r="C49" s="333">
        <v>0</v>
      </c>
      <c r="D49" s="333">
        <v>0</v>
      </c>
      <c r="E49" s="333">
        <v>6</v>
      </c>
      <c r="F49" s="333">
        <v>587434.02878728905</v>
      </c>
    </row>
    <row r="50" spans="1:6">
      <c r="A50" s="1194" t="s">
        <v>32</v>
      </c>
      <c r="B50" s="1194" t="s">
        <v>41</v>
      </c>
      <c r="C50" s="333">
        <v>10</v>
      </c>
      <c r="D50" s="333">
        <v>586960.78068965895</v>
      </c>
      <c r="E50" s="333">
        <v>23</v>
      </c>
      <c r="F50" s="333">
        <v>776049.181012891</v>
      </c>
    </row>
    <row r="51" spans="1:6">
      <c r="A51" s="1194" t="s">
        <v>42</v>
      </c>
      <c r="B51" s="1194" t="s">
        <v>43</v>
      </c>
      <c r="C51" s="333">
        <v>3</v>
      </c>
      <c r="D51" s="333">
        <v>46543.032024807697</v>
      </c>
      <c r="E51" s="333">
        <v>124</v>
      </c>
      <c r="F51" s="333">
        <v>1993229.4934653</v>
      </c>
    </row>
    <row r="52" spans="1:6">
      <c r="A52" s="1194" t="s">
        <v>42</v>
      </c>
      <c r="B52" s="1194" t="s">
        <v>29</v>
      </c>
      <c r="C52" s="333">
        <v>5</v>
      </c>
      <c r="D52" s="333">
        <v>636285.60705801297</v>
      </c>
      <c r="E52" s="333">
        <v>29</v>
      </c>
      <c r="F52" s="333">
        <v>700819.63344173599</v>
      </c>
    </row>
    <row r="53" spans="1:6">
      <c r="A53" s="1194" t="s">
        <v>44</v>
      </c>
      <c r="B53" s="1194" t="s">
        <v>45</v>
      </c>
      <c r="C53" s="333">
        <v>239</v>
      </c>
      <c r="D53" s="333">
        <v>4140376.0979473102</v>
      </c>
      <c r="E53" s="333">
        <v>474</v>
      </c>
      <c r="F53" s="333">
        <v>2745644.7936849701</v>
      </c>
    </row>
    <row r="54" spans="1:6">
      <c r="A54" s="1194" t="s">
        <v>46</v>
      </c>
      <c r="B54" s="1194" t="s">
        <v>47</v>
      </c>
      <c r="C54" s="333">
        <v>0</v>
      </c>
      <c r="D54" s="333">
        <v>0</v>
      </c>
      <c r="E54" s="333">
        <v>1</v>
      </c>
      <c r="F54" s="333">
        <v>2086154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20</v>
      </c>
      <c r="D57" s="333">
        <v>476704.34961255302</v>
      </c>
      <c r="E57" s="333">
        <v>174</v>
      </c>
      <c r="F57" s="333">
        <v>4081641.17694184</v>
      </c>
    </row>
    <row r="58" spans="1:6">
      <c r="A58" s="1194" t="s">
        <v>49</v>
      </c>
      <c r="B58" s="1194" t="s">
        <v>51</v>
      </c>
      <c r="C58" s="333">
        <v>6</v>
      </c>
      <c r="D58" s="333">
        <v>370309.53450617701</v>
      </c>
      <c r="E58" s="333">
        <v>15</v>
      </c>
      <c r="F58" s="333">
        <v>195284.79193620599</v>
      </c>
    </row>
    <row r="59" spans="1:6">
      <c r="A59" s="1194" t="s">
        <v>49</v>
      </c>
      <c r="B59" s="1194" t="s">
        <v>52</v>
      </c>
      <c r="C59" s="333">
        <v>71</v>
      </c>
      <c r="D59" s="333">
        <v>2174043.2624377199</v>
      </c>
      <c r="E59" s="333">
        <v>209</v>
      </c>
      <c r="F59" s="333">
        <v>5103354.8086009203</v>
      </c>
    </row>
    <row r="60" spans="1:6">
      <c r="A60" s="1194" t="s">
        <v>49</v>
      </c>
      <c r="B60" s="1194" t="s">
        <v>53</v>
      </c>
      <c r="C60" s="333">
        <v>31</v>
      </c>
      <c r="D60" s="333">
        <v>1206654.4928510899</v>
      </c>
      <c r="E60" s="333">
        <v>63</v>
      </c>
      <c r="F60" s="333">
        <v>1252212.0622491001</v>
      </c>
    </row>
    <row r="61" spans="1:6">
      <c r="A61" s="1194" t="s">
        <v>49</v>
      </c>
      <c r="B61" s="1194" t="s">
        <v>54</v>
      </c>
      <c r="C61" s="333">
        <v>140</v>
      </c>
      <c r="D61" s="333">
        <v>11562124.695028599</v>
      </c>
      <c r="E61" s="333">
        <v>298</v>
      </c>
      <c r="F61" s="333">
        <v>4612306.8883447396</v>
      </c>
    </row>
    <row r="62" spans="1:6">
      <c r="A62" s="1194" t="s">
        <v>49</v>
      </c>
      <c r="B62" s="1194" t="s">
        <v>55</v>
      </c>
      <c r="C62" s="333">
        <v>3</v>
      </c>
      <c r="D62" s="333">
        <v>737658.39594135596</v>
      </c>
      <c r="E62" s="333">
        <v>6</v>
      </c>
      <c r="F62" s="333">
        <v>252453.79766906699</v>
      </c>
    </row>
    <row r="63" spans="1:6">
      <c r="A63" s="1194" t="s">
        <v>49</v>
      </c>
      <c r="B63" s="1194" t="s">
        <v>29</v>
      </c>
      <c r="C63" s="333">
        <v>137</v>
      </c>
      <c r="D63" s="333">
        <v>5001786.3820289196</v>
      </c>
      <c r="E63" s="333">
        <v>294</v>
      </c>
      <c r="F63" s="333">
        <v>8001750.1288665598</v>
      </c>
    </row>
    <row r="64" spans="1:6">
      <c r="A64" s="1194" t="s">
        <v>56</v>
      </c>
      <c r="B64" s="1194" t="s">
        <v>57</v>
      </c>
      <c r="C64" s="333">
        <v>0</v>
      </c>
      <c r="D64" s="333">
        <v>0</v>
      </c>
      <c r="E64" s="333">
        <v>0</v>
      </c>
      <c r="F64" s="333">
        <v>0</v>
      </c>
    </row>
    <row r="65" spans="1:6">
      <c r="A65" s="1194" t="s">
        <v>56</v>
      </c>
      <c r="B65" s="1194" t="s">
        <v>29</v>
      </c>
      <c r="C65" s="333">
        <v>0</v>
      </c>
      <c r="D65" s="333">
        <v>0</v>
      </c>
      <c r="E65" s="333">
        <v>3</v>
      </c>
      <c r="F65" s="333">
        <v>18939.7314653219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26271.578086055099</v>
      </c>
      <c r="E68" s="333">
        <v>17</v>
      </c>
      <c r="F68" s="333">
        <v>329482.16166862199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38969557</v>
      </c>
      <c r="E73" s="333">
        <v>36250710.391707979</v>
      </c>
      <c r="F73" s="333">
        <v>48363693</v>
      </c>
    </row>
    <row r="74" spans="1:6">
      <c r="A74" s="1194" t="s">
        <v>64</v>
      </c>
      <c r="B74" s="1194" t="s">
        <v>775</v>
      </c>
      <c r="C74" s="1205" t="s">
        <v>776</v>
      </c>
      <c r="D74" s="333">
        <v>3930619.0821350222</v>
      </c>
      <c r="E74" s="333">
        <v>3874785.6178553286</v>
      </c>
      <c r="F74" s="333">
        <v>5002242.4284208138</v>
      </c>
    </row>
    <row r="75" spans="1:6">
      <c r="A75" s="1194" t="s">
        <v>65</v>
      </c>
      <c r="B75" s="1194" t="s">
        <v>773</v>
      </c>
      <c r="C75" s="1205" t="s">
        <v>777</v>
      </c>
      <c r="D75" s="333">
        <v>42592446</v>
      </c>
      <c r="E75" s="333">
        <v>38521267.721720025</v>
      </c>
      <c r="F75" s="333">
        <v>51533081</v>
      </c>
    </row>
    <row r="76" spans="1:6">
      <c r="A76" s="1194" t="s">
        <v>65</v>
      </c>
      <c r="B76" s="1194" t="s">
        <v>775</v>
      </c>
      <c r="C76" s="1205" t="s">
        <v>778</v>
      </c>
      <c r="D76" s="333">
        <v>2307229.0821350222</v>
      </c>
      <c r="E76" s="333">
        <v>2051208.6929909599</v>
      </c>
      <c r="F76" s="333">
        <v>2856075.4284208142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351189.83572995546</v>
      </c>
      <c r="C83" s="333">
        <v>316405.26721915358</v>
      </c>
      <c r="D83" s="333">
        <v>313727.14315837173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2254.3051316719775</v>
      </c>
    </row>
    <row r="92" spans="1:6">
      <c r="A92" s="1190" t="s">
        <v>69</v>
      </c>
      <c r="B92" s="336">
        <v>1452.4751350524273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2964</v>
      </c>
    </row>
    <row r="98" spans="1:6">
      <c r="A98" s="1194" t="s">
        <v>72</v>
      </c>
      <c r="B98" s="333">
        <v>3</v>
      </c>
    </row>
    <row r="99" spans="1:6">
      <c r="A99" s="1194" t="s">
        <v>73</v>
      </c>
      <c r="B99" s="333">
        <v>97</v>
      </c>
    </row>
    <row r="100" spans="1:6">
      <c r="A100" s="1194" t="s">
        <v>74</v>
      </c>
      <c r="B100" s="333">
        <v>931</v>
      </c>
    </row>
    <row r="101" spans="1:6">
      <c r="A101" s="1194" t="s">
        <v>75</v>
      </c>
      <c r="B101" s="333">
        <v>139</v>
      </c>
    </row>
    <row r="102" spans="1:6">
      <c r="A102" s="1194" t="s">
        <v>76</v>
      </c>
      <c r="B102" s="333">
        <v>150</v>
      </c>
    </row>
    <row r="103" spans="1:6">
      <c r="A103" s="1194" t="s">
        <v>77</v>
      </c>
      <c r="B103" s="333">
        <v>294</v>
      </c>
    </row>
    <row r="104" spans="1:6">
      <c r="A104" s="1194" t="s">
        <v>78</v>
      </c>
      <c r="B104" s="333">
        <v>4270</v>
      </c>
    </row>
    <row r="105" spans="1:6">
      <c r="A105" s="1190" t="s">
        <v>79</v>
      </c>
      <c r="B105" s="1190">
        <v>13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19</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96</v>
      </c>
    </row>
    <row r="130" spans="1:6">
      <c r="A130" s="1194" t="s">
        <v>296</v>
      </c>
      <c r="B130" s="333">
        <v>3</v>
      </c>
    </row>
    <row r="131" spans="1:6">
      <c r="A131" s="1194" t="s">
        <v>297</v>
      </c>
      <c r="B131" s="333">
        <v>1</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93833.441114795729</v>
      </c>
      <c r="C3" s="43" t="s">
        <v>171</v>
      </c>
      <c r="D3" s="43"/>
      <c r="E3" s="156"/>
      <c r="F3" s="43"/>
      <c r="G3" s="43"/>
      <c r="H3" s="43"/>
      <c r="I3" s="43"/>
      <c r="J3" s="43"/>
      <c r="K3" s="96"/>
    </row>
    <row r="4" spans="1:11">
      <c r="A4" s="364" t="s">
        <v>172</v>
      </c>
      <c r="B4" s="49">
        <f>IF(ISERROR('SEAP template'!B69),0,'SEAP template'!B69)</f>
        <v>3706.780266724405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0.21226965366277159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2086.154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2086.154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0.21226965366277159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442.82718706720561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42693.183892005698</v>
      </c>
      <c r="C5" s="17">
        <f>IF(ISERROR('Eigen informatie GS &amp; warmtenet'!B57),0,'Eigen informatie GS &amp; warmtenet'!B57)</f>
        <v>0</v>
      </c>
      <c r="D5" s="30">
        <f>(SUM(HH_hh_gas_kWh,HH_rest_gas_kWh)/1000)*0.902</f>
        <v>64022.979040919279</v>
      </c>
      <c r="E5" s="17">
        <f>B46*B57</f>
        <v>3778.5112434833964</v>
      </c>
      <c r="F5" s="17">
        <f>B51*B62</f>
        <v>61780.025618806765</v>
      </c>
      <c r="G5" s="18"/>
      <c r="H5" s="17"/>
      <c r="I5" s="17"/>
      <c r="J5" s="17">
        <f>B50*B61+C50*C61</f>
        <v>3459.5374319190582</v>
      </c>
      <c r="K5" s="17"/>
      <c r="L5" s="17"/>
      <c r="M5" s="17"/>
      <c r="N5" s="17">
        <f>B48*B59+C48*C59</f>
        <v>15666.200691585296</v>
      </c>
      <c r="O5" s="17">
        <f>B69*B70*B71</f>
        <v>181.34666666666669</v>
      </c>
      <c r="P5" s="17">
        <f>B77*B78*B79/1000-B77*B78*B79/1000/B80</f>
        <v>343.2</v>
      </c>
    </row>
    <row r="6" spans="1:16">
      <c r="A6" s="16" t="s">
        <v>633</v>
      </c>
      <c r="B6" s="830">
        <f>kWh_PV_kleiner_dan_10kW</f>
        <v>2254.3051316719775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44947.489023677677</v>
      </c>
      <c r="C8" s="21">
        <f>C5</f>
        <v>0</v>
      </c>
      <c r="D8" s="21">
        <f>D5</f>
        <v>64022.979040919279</v>
      </c>
      <c r="E8" s="21">
        <f>E5</f>
        <v>3778.5112434833964</v>
      </c>
      <c r="F8" s="21">
        <f>F5</f>
        <v>61780.025618806765</v>
      </c>
      <c r="G8" s="21"/>
      <c r="H8" s="21"/>
      <c r="I8" s="21"/>
      <c r="J8" s="21">
        <f>J5</f>
        <v>3459.5374319190582</v>
      </c>
      <c r="K8" s="21"/>
      <c r="L8" s="21">
        <f>L5</f>
        <v>0</v>
      </c>
      <c r="M8" s="21">
        <f>M5</f>
        <v>0</v>
      </c>
      <c r="N8" s="21">
        <f>N5</f>
        <v>15666.200691585296</v>
      </c>
      <c r="O8" s="21">
        <f>O5</f>
        <v>181.34666666666669</v>
      </c>
      <c r="P8" s="21">
        <f>P5</f>
        <v>343.2</v>
      </c>
    </row>
    <row r="9" spans="1:16">
      <c r="B9" s="19"/>
      <c r="C9" s="19"/>
      <c r="D9" s="260"/>
      <c r="E9" s="19"/>
      <c r="F9" s="19"/>
      <c r="G9" s="19"/>
      <c r="H9" s="19"/>
      <c r="I9" s="19"/>
      <c r="J9" s="19"/>
      <c r="K9" s="19"/>
      <c r="L9" s="19"/>
      <c r="M9" s="19"/>
      <c r="N9" s="19"/>
      <c r="O9" s="19"/>
      <c r="P9" s="19"/>
    </row>
    <row r="10" spans="1:16">
      <c r="A10" s="24" t="s">
        <v>215</v>
      </c>
      <c r="B10" s="25">
        <f ca="1">'EF ele_warmte'!B12</f>
        <v>0.21226965366277159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9540.9879280672885</v>
      </c>
      <c r="C12" s="23">
        <f ca="1">C10*C8</f>
        <v>0</v>
      </c>
      <c r="D12" s="23">
        <f>D8*D10</f>
        <v>12932.641766265695</v>
      </c>
      <c r="E12" s="23">
        <f>E10*E8</f>
        <v>857.72205227073096</v>
      </c>
      <c r="F12" s="23">
        <f>F10*F8</f>
        <v>16495.266840221408</v>
      </c>
      <c r="G12" s="23"/>
      <c r="H12" s="23"/>
      <c r="I12" s="23"/>
      <c r="J12" s="23">
        <f>J10*J8</f>
        <v>1224.6762508993465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2964</v>
      </c>
      <c r="C18" s="167" t="s">
        <v>111</v>
      </c>
      <c r="D18" s="229"/>
      <c r="E18" s="15"/>
    </row>
    <row r="19" spans="1:7">
      <c r="A19" s="172" t="s">
        <v>72</v>
      </c>
      <c r="B19" s="37">
        <f>aantalw2001_ander</f>
        <v>3</v>
      </c>
      <c r="C19" s="167" t="s">
        <v>111</v>
      </c>
      <c r="D19" s="230"/>
      <c r="E19" s="15"/>
    </row>
    <row r="20" spans="1:7">
      <c r="A20" s="172" t="s">
        <v>73</v>
      </c>
      <c r="B20" s="37">
        <f>aantalw2001_propaan</f>
        <v>97</v>
      </c>
      <c r="C20" s="168">
        <f>IF(ISERROR(B20/SUM($B$20,$B$21,$B$22)*100),0,B20/SUM($B$20,$B$21,$B$22)*100)</f>
        <v>8.3119108826049697</v>
      </c>
      <c r="D20" s="230"/>
      <c r="E20" s="15"/>
    </row>
    <row r="21" spans="1:7">
      <c r="A21" s="172" t="s">
        <v>74</v>
      </c>
      <c r="B21" s="37">
        <f>aantalw2001_elektriciteit</f>
        <v>931</v>
      </c>
      <c r="C21" s="168">
        <f>IF(ISERROR(B21/SUM($B$20,$B$21,$B$22)*100),0,B21/SUM($B$20,$B$21,$B$22)*100)</f>
        <v>79.777206512425025</v>
      </c>
      <c r="D21" s="230"/>
      <c r="E21" s="15"/>
    </row>
    <row r="22" spans="1:7">
      <c r="A22" s="172" t="s">
        <v>75</v>
      </c>
      <c r="B22" s="37">
        <f>aantalw2001_hout</f>
        <v>139</v>
      </c>
      <c r="C22" s="168">
        <f>IF(ISERROR(B22/SUM($B$20,$B$21,$B$22)*100),0,B22/SUM($B$20,$B$21,$B$22)*100)</f>
        <v>11.910882604970009</v>
      </c>
      <c r="D22" s="230"/>
      <c r="E22" s="15"/>
    </row>
    <row r="23" spans="1:7">
      <c r="A23" s="172" t="s">
        <v>76</v>
      </c>
      <c r="B23" s="37">
        <f>aantalw2001_niet_gespec</f>
        <v>150</v>
      </c>
      <c r="C23" s="167" t="s">
        <v>111</v>
      </c>
      <c r="D23" s="229"/>
      <c r="E23" s="15"/>
    </row>
    <row r="24" spans="1:7">
      <c r="A24" s="172" t="s">
        <v>77</v>
      </c>
      <c r="B24" s="37">
        <f>aantalw2001_steenkool</f>
        <v>294</v>
      </c>
      <c r="C24" s="167" t="s">
        <v>111</v>
      </c>
      <c r="D24" s="230"/>
      <c r="E24" s="15"/>
    </row>
    <row r="25" spans="1:7">
      <c r="A25" s="172" t="s">
        <v>78</v>
      </c>
      <c r="B25" s="37">
        <f>aantalw2001_stookolie</f>
        <v>4270</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713</v>
      </c>
      <c r="B28" s="37">
        <f>aantalHuishoudens2011</f>
        <v>9756</v>
      </c>
      <c r="C28" s="36"/>
      <c r="D28" s="229"/>
    </row>
    <row r="29" spans="1:7" s="15" customFormat="1">
      <c r="A29" s="231" t="s">
        <v>714</v>
      </c>
      <c r="B29" s="37">
        <f>SUM(HH_hh_gas_aantal,HH_rest_gas_aantal)</f>
        <v>4698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4698</v>
      </c>
      <c r="C32" s="168">
        <f>IF(ISERROR(B32/SUM($B$32,$B$34,$B$35,$B$36,$B$38,$B$39)*100),0,B32/SUM($B$32,$B$34,$B$35,$B$36,$B$38,$B$39)*100)</f>
        <v>48.243992606284657</v>
      </c>
      <c r="D32" s="234"/>
      <c r="G32" s="15"/>
    </row>
    <row r="33" spans="1:7">
      <c r="A33" s="172" t="s">
        <v>72</v>
      </c>
      <c r="B33" s="34" t="s">
        <v>111</v>
      </c>
      <c r="C33" s="168"/>
      <c r="D33" s="234"/>
      <c r="G33" s="15"/>
    </row>
    <row r="34" spans="1:7">
      <c r="A34" s="172" t="s">
        <v>73</v>
      </c>
      <c r="B34" s="33">
        <f>IF((($B$28-$B$32-$B$39-$B$77-$B$38)*C20/100)&lt;0,0,($B$28-$B$32-$B$39-$B$77-$B$38)*C20/100)</f>
        <v>183.69323050556989</v>
      </c>
      <c r="C34" s="168">
        <f>IF(ISERROR(B34/SUM($B$32,$B$34,$B$35,$B$36,$B$38,$B$39)*100),0,B34/SUM($B$32,$B$34,$B$35,$B$36,$B$38,$B$39)*100)</f>
        <v>1.8863548008376454</v>
      </c>
      <c r="D34" s="234"/>
      <c r="G34" s="15"/>
    </row>
    <row r="35" spans="1:7">
      <c r="A35" s="172" t="s">
        <v>74</v>
      </c>
      <c r="B35" s="33">
        <f>IF((($B$28-$B$32-$B$39-$B$77-$B$38)*C21/100)&lt;0,0,($B$28-$B$32-$B$39-$B$77-$B$38)*C21/100)</f>
        <v>1763.0762639245936</v>
      </c>
      <c r="C35" s="168">
        <f>IF(ISERROR(B35/SUM($B$32,$B$34,$B$35,$B$36,$B$38,$B$39)*100),0,B35/SUM($B$32,$B$34,$B$35,$B$36,$B$38,$B$39)*100)</f>
        <v>18.105116696699461</v>
      </c>
      <c r="D35" s="234"/>
      <c r="G35" s="15"/>
    </row>
    <row r="36" spans="1:7">
      <c r="A36" s="172" t="s">
        <v>75</v>
      </c>
      <c r="B36" s="33">
        <f>IF((($B$28-$B$32-$B$39-$B$77-$B$38)*C22/100)&lt;0,0,($B$28-$B$32-$B$39-$B$77-$B$38)*C22/100)</f>
        <v>263.23050556983725</v>
      </c>
      <c r="C36" s="168">
        <f>IF(ISERROR(B36/SUM($B$32,$B$34,$B$35,$B$36,$B$38,$B$39)*100),0,B36/SUM($B$32,$B$34,$B$35,$B$36,$B$38,$B$39)*100)</f>
        <v>2.7031269826436355</v>
      </c>
      <c r="D36" s="234"/>
      <c r="G36" s="15"/>
    </row>
    <row r="37" spans="1:7">
      <c r="A37" s="172" t="s">
        <v>76</v>
      </c>
      <c r="B37" s="34" t="s">
        <v>111</v>
      </c>
      <c r="C37" s="168"/>
      <c r="D37" s="174"/>
      <c r="G37" s="15"/>
    </row>
    <row r="38" spans="1:7">
      <c r="A38" s="172" t="s">
        <v>77</v>
      </c>
      <c r="B38" s="33">
        <f>IF((B24-(B29-B18)*0.1)&lt;0,0,B24-(B29-B18)*0.1)</f>
        <v>120.6</v>
      </c>
      <c r="C38" s="168">
        <f>IF(ISERROR(B38/SUM($B$32,$B$34,$B$35,$B$36,$B$38,$B$39)*100),0,B38/SUM($B$32,$B$34,$B$35,$B$36,$B$38,$B$39)*100)</f>
        <v>1.2384473197781884</v>
      </c>
      <c r="D38" s="235"/>
      <c r="G38" s="15"/>
    </row>
    <row r="39" spans="1:7">
      <c r="A39" s="172" t="s">
        <v>78</v>
      </c>
      <c r="B39" s="33">
        <f>IF((B25-(B29-B18))&lt;0,0,B25-(B29-B18)*0.9)</f>
        <v>2709.3999999999996</v>
      </c>
      <c r="C39" s="168">
        <f>IF(ISERROR(B39/SUM($B$32,$B$34,$B$35,$B$36,$B$38,$B$39)*100),0,B39/SUM($B$32,$B$34,$B$35,$B$36,$B$38,$B$39)*100)</f>
        <v>27.822961593756411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4698</v>
      </c>
      <c r="C44" s="34" t="s">
        <v>111</v>
      </c>
      <c r="D44" s="175"/>
    </row>
    <row r="45" spans="1:7">
      <c r="A45" s="172" t="s">
        <v>72</v>
      </c>
      <c r="B45" s="33" t="str">
        <f t="shared" si="0"/>
        <v>-</v>
      </c>
      <c r="C45" s="34" t="s">
        <v>111</v>
      </c>
      <c r="D45" s="175"/>
    </row>
    <row r="46" spans="1:7">
      <c r="A46" s="172" t="s">
        <v>73</v>
      </c>
      <c r="B46" s="33">
        <f t="shared" si="0"/>
        <v>183.69323050556989</v>
      </c>
      <c r="C46" s="34" t="s">
        <v>111</v>
      </c>
      <c r="D46" s="175"/>
    </row>
    <row r="47" spans="1:7">
      <c r="A47" s="172" t="s">
        <v>74</v>
      </c>
      <c r="B47" s="33">
        <f t="shared" si="0"/>
        <v>1763.0762639245936</v>
      </c>
      <c r="C47" s="34" t="s">
        <v>111</v>
      </c>
      <c r="D47" s="175"/>
    </row>
    <row r="48" spans="1:7">
      <c r="A48" s="172" t="s">
        <v>75</v>
      </c>
      <c r="B48" s="33">
        <f t="shared" si="0"/>
        <v>263.23050556983725</v>
      </c>
      <c r="C48" s="33">
        <f>B48*10</f>
        <v>2632.3050556983726</v>
      </c>
      <c r="D48" s="235"/>
    </row>
    <row r="49" spans="1:6">
      <c r="A49" s="172" t="s">
        <v>76</v>
      </c>
      <c r="B49" s="33" t="str">
        <f t="shared" si="0"/>
        <v>-</v>
      </c>
      <c r="C49" s="34" t="s">
        <v>111</v>
      </c>
      <c r="D49" s="235"/>
    </row>
    <row r="50" spans="1:6">
      <c r="A50" s="172" t="s">
        <v>77</v>
      </c>
      <c r="B50" s="33">
        <f t="shared" si="0"/>
        <v>120.6</v>
      </c>
      <c r="C50" s="33">
        <f>B50*2</f>
        <v>241.2</v>
      </c>
      <c r="D50" s="235"/>
    </row>
    <row r="51" spans="1:6">
      <c r="A51" s="172" t="s">
        <v>78</v>
      </c>
      <c r="B51" s="33">
        <f t="shared" si="0"/>
        <v>2709.3999999999996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23499.003654608434</v>
      </c>
      <c r="C5" s="17">
        <f>IF(ISERROR('Eigen informatie GS &amp; warmtenet'!B58),0,'Eigen informatie GS &amp; warmtenet'!B58)</f>
        <v>0</v>
      </c>
      <c r="D5" s="30">
        <f>SUM(D6:D12)</f>
        <v>19419.411563390586</v>
      </c>
      <c r="E5" s="17">
        <f>SUM(E6:E12)</f>
        <v>455.05947746941035</v>
      </c>
      <c r="F5" s="17">
        <f>SUM(F6:F12)</f>
        <v>4596.0970780039061</v>
      </c>
      <c r="G5" s="18"/>
      <c r="H5" s="17"/>
      <c r="I5" s="17"/>
      <c r="J5" s="17">
        <f>SUM(J6:J12)</f>
        <v>0</v>
      </c>
      <c r="K5" s="17"/>
      <c r="L5" s="17"/>
      <c r="M5" s="17"/>
      <c r="N5" s="17">
        <f>SUM(N6:N12)</f>
        <v>1208.1519036570628</v>
      </c>
      <c r="O5" s="17">
        <f>B38*B39*B40</f>
        <v>4.6900000000000004</v>
      </c>
      <c r="P5" s="17">
        <f>B46*B47*B48/1000-B46*B47*B48/1000/B49</f>
        <v>19.066666666666666</v>
      </c>
      <c r="R5" s="32"/>
    </row>
    <row r="6" spans="1:18">
      <c r="A6" s="32" t="s">
        <v>54</v>
      </c>
      <c r="B6" s="37">
        <f>B26</f>
        <v>4612.3068883447395</v>
      </c>
      <c r="C6" s="33"/>
      <c r="D6" s="37">
        <f>IF(ISERROR(TER_kantoor_gas_kWh/1000),0,TER_kantoor_gas_kWh/1000)*0.902</f>
        <v>10429.036474915796</v>
      </c>
      <c r="E6" s="33">
        <f>$C$26*'E Balans VL '!I12/100/3.6*1000000</f>
        <v>161.44888473876861</v>
      </c>
      <c r="F6" s="33">
        <f>$C$26*('E Balans VL '!L12+'E Balans VL '!N12)/100/3.6*1000000</f>
        <v>699.32474953159681</v>
      </c>
      <c r="G6" s="34"/>
      <c r="H6" s="33"/>
      <c r="I6" s="33"/>
      <c r="J6" s="33">
        <f>$C$26*('E Balans VL '!D12+'E Balans VL '!E12)/100/3.6*1000000</f>
        <v>0</v>
      </c>
      <c r="K6" s="33"/>
      <c r="L6" s="33"/>
      <c r="M6" s="33"/>
      <c r="N6" s="33">
        <f>$C$26*'E Balans VL '!Y12/100/3.6*1000000</f>
        <v>35.651688634578782</v>
      </c>
      <c r="O6" s="33"/>
      <c r="P6" s="33"/>
      <c r="R6" s="32"/>
    </row>
    <row r="7" spans="1:18">
      <c r="A7" s="32" t="s">
        <v>53</v>
      </c>
      <c r="B7" s="37">
        <f t="shared" ref="B7:B12" si="0">B27</f>
        <v>1252.2120622491</v>
      </c>
      <c r="C7" s="33"/>
      <c r="D7" s="37">
        <f>IF(ISERROR(TER_horeca_gas_kWh/1000),0,TER_horeca_gas_kWh/1000)*0.902</f>
        <v>1088.4023525516832</v>
      </c>
      <c r="E7" s="33">
        <f>$C$27*'E Balans VL '!I9/100/3.6*1000000</f>
        <v>70.641410676226087</v>
      </c>
      <c r="F7" s="33">
        <f>$C$27*('E Balans VL '!L9+'E Balans VL '!N9)/100/3.6*1000000</f>
        <v>218.14227107432055</v>
      </c>
      <c r="G7" s="34"/>
      <c r="H7" s="33"/>
      <c r="I7" s="33"/>
      <c r="J7" s="33">
        <f>$C$27*('E Balans VL '!D9+'E Balans VL '!E9)/100/3.6*1000000</f>
        <v>0</v>
      </c>
      <c r="K7" s="33"/>
      <c r="L7" s="33"/>
      <c r="M7" s="33"/>
      <c r="N7" s="33">
        <f>$C$27*'E Balans VL '!Y9/100/3.6*1000000</f>
        <v>0</v>
      </c>
      <c r="O7" s="33"/>
      <c r="P7" s="33"/>
      <c r="R7" s="32"/>
    </row>
    <row r="8" spans="1:18">
      <c r="A8" s="6" t="s">
        <v>52</v>
      </c>
      <c r="B8" s="37">
        <f t="shared" si="0"/>
        <v>5103.3548086009205</v>
      </c>
      <c r="C8" s="33"/>
      <c r="D8" s="37">
        <f>IF(ISERROR(TER_handel_gas_kWh/1000),0,TER_handel_gas_kWh/1000)*0.902</f>
        <v>1960.9870227188235</v>
      </c>
      <c r="E8" s="33">
        <f>$C$28*'E Balans VL '!I13/100/3.6*1000000</f>
        <v>26.200105094028469</v>
      </c>
      <c r="F8" s="33">
        <f>$C$28*('E Balans VL '!L13+'E Balans VL '!N13)/100/3.6*1000000</f>
        <v>786.85845655965738</v>
      </c>
      <c r="G8" s="34"/>
      <c r="H8" s="33"/>
      <c r="I8" s="33"/>
      <c r="J8" s="33">
        <f>$C$28*('E Balans VL '!D13+'E Balans VL '!E13)/100/3.6*1000000</f>
        <v>0</v>
      </c>
      <c r="K8" s="33"/>
      <c r="L8" s="33"/>
      <c r="M8" s="33"/>
      <c r="N8" s="33">
        <f>$C$28*'E Balans VL '!Y13/100/3.6*1000000</f>
        <v>2.3869013388132077</v>
      </c>
      <c r="O8" s="33"/>
      <c r="P8" s="33"/>
      <c r="R8" s="32"/>
    </row>
    <row r="9" spans="1:18">
      <c r="A9" s="32" t="s">
        <v>51</v>
      </c>
      <c r="B9" s="37">
        <f t="shared" si="0"/>
        <v>195.28479193620598</v>
      </c>
      <c r="C9" s="33"/>
      <c r="D9" s="37">
        <f>IF(ISERROR(TER_gezond_gas_kWh/1000),0,TER_gezond_gas_kWh/1000)*0.902</f>
        <v>334.01920012457163</v>
      </c>
      <c r="E9" s="33">
        <f>$C$29*'E Balans VL '!I10/100/3.6*1000000</f>
        <v>8.0944155489114059E-2</v>
      </c>
      <c r="F9" s="33">
        <f>$C$29*('E Balans VL '!L10+'E Balans VL '!N10)/100/3.6*1000000</f>
        <v>48.09584349637106</v>
      </c>
      <c r="G9" s="34"/>
      <c r="H9" s="33"/>
      <c r="I9" s="33"/>
      <c r="J9" s="33">
        <f>$C$29*('E Balans VL '!D10+'E Balans VL '!E10)/100/3.6*1000000</f>
        <v>0</v>
      </c>
      <c r="K9" s="33"/>
      <c r="L9" s="33"/>
      <c r="M9" s="33"/>
      <c r="N9" s="33">
        <f>$C$29*'E Balans VL '!Y10/100/3.6*1000000</f>
        <v>1.6877439566224746</v>
      </c>
      <c r="O9" s="33"/>
      <c r="P9" s="33"/>
      <c r="R9" s="32"/>
    </row>
    <row r="10" spans="1:18">
      <c r="A10" s="32" t="s">
        <v>50</v>
      </c>
      <c r="B10" s="37">
        <f t="shared" si="0"/>
        <v>4081.6411769418401</v>
      </c>
      <c r="C10" s="33"/>
      <c r="D10" s="37">
        <f>IF(ISERROR(TER_ander_gas_kWh/1000),0,TER_ander_gas_kWh/1000)*0.902</f>
        <v>429.98732335052284</v>
      </c>
      <c r="E10" s="33">
        <f>$C$30*'E Balans VL '!I14/100/3.6*1000000</f>
        <v>24.881785319735322</v>
      </c>
      <c r="F10" s="33">
        <f>$C$30*('E Balans VL '!L14+'E Balans VL '!N14)/100/3.6*1000000</f>
        <v>1082.0989881490163</v>
      </c>
      <c r="G10" s="34"/>
      <c r="H10" s="33"/>
      <c r="I10" s="33"/>
      <c r="J10" s="33">
        <f>$C$30*('E Balans VL '!D14+'E Balans VL '!E14)/100/3.6*1000000</f>
        <v>0</v>
      </c>
      <c r="K10" s="33"/>
      <c r="L10" s="33"/>
      <c r="M10" s="33"/>
      <c r="N10" s="33">
        <f>$C$30*'E Balans VL '!Y14/100/3.6*1000000</f>
        <v>940.73009351098858</v>
      </c>
      <c r="O10" s="33"/>
      <c r="P10" s="33"/>
      <c r="R10" s="32"/>
    </row>
    <row r="11" spans="1:18">
      <c r="A11" s="32" t="s">
        <v>55</v>
      </c>
      <c r="B11" s="37">
        <f t="shared" si="0"/>
        <v>252.453797669067</v>
      </c>
      <c r="C11" s="33"/>
      <c r="D11" s="37">
        <f>IF(ISERROR(TER_onderwijs_gas_kWh/1000),0,TER_onderwijs_gas_kWh/1000)*0.902</f>
        <v>665.36787313910304</v>
      </c>
      <c r="E11" s="33">
        <f>$C$31*'E Balans VL '!I11/100/3.6*1000000</f>
        <v>0.19238293923194622</v>
      </c>
      <c r="F11" s="33">
        <f>$C$31*('E Balans VL '!L11+'E Balans VL '!N11)/100/3.6*1000000</f>
        <v>182.6894030370953</v>
      </c>
      <c r="G11" s="34"/>
      <c r="H11" s="33"/>
      <c r="I11" s="33"/>
      <c r="J11" s="33">
        <f>$C$31*('E Balans VL '!D11+'E Balans VL '!E11)/100/3.6*1000000</f>
        <v>0</v>
      </c>
      <c r="K11" s="33"/>
      <c r="L11" s="33"/>
      <c r="M11" s="33"/>
      <c r="N11" s="33">
        <f>$C$31*'E Balans VL '!Y11/100/3.6*1000000</f>
        <v>0.74404167708895463</v>
      </c>
      <c r="O11" s="33"/>
      <c r="P11" s="33"/>
      <c r="R11" s="32"/>
    </row>
    <row r="12" spans="1:18">
      <c r="A12" s="32" t="s">
        <v>261</v>
      </c>
      <c r="B12" s="37">
        <f t="shared" si="0"/>
        <v>8001.7501288665599</v>
      </c>
      <c r="C12" s="33"/>
      <c r="D12" s="37">
        <f>IF(ISERROR(TER_rest_gas_kWh/1000),0,TER_rest_gas_kWh/1000)*0.902</f>
        <v>4511.6113165900852</v>
      </c>
      <c r="E12" s="33">
        <f>$C$32*'E Balans VL '!I8/100/3.6*1000000</f>
        <v>171.61396454593071</v>
      </c>
      <c r="F12" s="33">
        <f>$C$32*('E Balans VL '!L8+'E Balans VL '!N8)/100/3.6*1000000</f>
        <v>1578.8873661558484</v>
      </c>
      <c r="G12" s="34"/>
      <c r="H12" s="33"/>
      <c r="I12" s="33"/>
      <c r="J12" s="33">
        <f>$C$32*('E Balans VL '!D8+'E Balans VL '!E8)/100/3.6*1000000</f>
        <v>0</v>
      </c>
      <c r="K12" s="33"/>
      <c r="L12" s="33"/>
      <c r="M12" s="33"/>
      <c r="N12" s="33">
        <f>$C$32*'E Balans VL '!Y8/100/3.6*1000000</f>
        <v>226.95143453897089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23499.003654608434</v>
      </c>
      <c r="C16" s="21">
        <f ca="1">C5+C13+C14</f>
        <v>0</v>
      </c>
      <c r="D16" s="21">
        <f t="shared" ref="D16:N16" ca="1" si="1">MAX((D5+D13+D14),0)</f>
        <v>19419.411563390586</v>
      </c>
      <c r="E16" s="21">
        <f t="shared" si="1"/>
        <v>455.05947746941035</v>
      </c>
      <c r="F16" s="21">
        <f t="shared" ca="1" si="1"/>
        <v>4596.0970780039061</v>
      </c>
      <c r="G16" s="21">
        <f t="shared" si="1"/>
        <v>0</v>
      </c>
      <c r="H16" s="21">
        <f t="shared" si="1"/>
        <v>0</v>
      </c>
      <c r="I16" s="21">
        <f t="shared" si="1"/>
        <v>0</v>
      </c>
      <c r="J16" s="21">
        <f t="shared" si="1"/>
        <v>0</v>
      </c>
      <c r="K16" s="21">
        <f t="shared" si="1"/>
        <v>0</v>
      </c>
      <c r="L16" s="21">
        <f t="shared" ca="1" si="1"/>
        <v>0</v>
      </c>
      <c r="M16" s="21">
        <f t="shared" si="1"/>
        <v>0</v>
      </c>
      <c r="N16" s="21">
        <f t="shared" ca="1" si="1"/>
        <v>1208.1519036570628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0.21226965366277159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4988.1253671839359</v>
      </c>
      <c r="C20" s="23">
        <f t="shared" ref="C20:P20" ca="1" si="2">C16*C18</f>
        <v>0</v>
      </c>
      <c r="D20" s="23">
        <f t="shared" ca="1" si="2"/>
        <v>3922.7211358048985</v>
      </c>
      <c r="E20" s="23">
        <f t="shared" si="2"/>
        <v>103.29850138555615</v>
      </c>
      <c r="F20" s="23">
        <f t="shared" ca="1" si="2"/>
        <v>1227.1579198270431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4612.3068883447395</v>
      </c>
      <c r="C26" s="39">
        <f>IF(ISERROR(B26*3.6/1000000/'E Balans VL '!Z12*100),0,B26*3.6/1000000/'E Balans VL '!Z12*100)</f>
        <v>9.7058349529994564E-2</v>
      </c>
      <c r="D26" s="238" t="s">
        <v>720</v>
      </c>
      <c r="F26" s="6"/>
    </row>
    <row r="27" spans="1:18">
      <c r="A27" s="232" t="s">
        <v>53</v>
      </c>
      <c r="B27" s="33">
        <f>IF(ISERROR(TER_horeca_ele_kWh/1000),0,TER_horeca_ele_kWh/1000)</f>
        <v>1252.2120622491</v>
      </c>
      <c r="C27" s="39">
        <f>IF(ISERROR(B27*3.6/1000000/'E Balans VL '!Z9*100),0,B27*3.6/1000000/'E Balans VL '!Z9*100)</f>
        <v>0.1060212766273216</v>
      </c>
      <c r="D27" s="238" t="s">
        <v>720</v>
      </c>
      <c r="F27" s="6"/>
    </row>
    <row r="28" spans="1:18">
      <c r="A28" s="172" t="s">
        <v>52</v>
      </c>
      <c r="B28" s="33">
        <f>IF(ISERROR(TER_handel_ele_kWh/1000),0,TER_handel_ele_kWh/1000)</f>
        <v>5103.3548086009205</v>
      </c>
      <c r="C28" s="39">
        <f>IF(ISERROR(B28*3.6/1000000/'E Balans VL '!Z13*100),0,B28*3.6/1000000/'E Balans VL '!Z13*100)</f>
        <v>0.14128567218908364</v>
      </c>
      <c r="D28" s="238" t="s">
        <v>720</v>
      </c>
      <c r="F28" s="6"/>
    </row>
    <row r="29" spans="1:18">
      <c r="A29" s="232" t="s">
        <v>51</v>
      </c>
      <c r="B29" s="33">
        <f>IF(ISERROR(TER_gezond_ele_kWh/1000),0,TER_gezond_ele_kWh/1000)</f>
        <v>195.28479193620598</v>
      </c>
      <c r="C29" s="39">
        <f>IF(ISERROR(B29*3.6/1000000/'E Balans VL '!Z10*100),0,B29*3.6/1000000/'E Balans VL '!Z10*100)</f>
        <v>2.5384857967373251E-2</v>
      </c>
      <c r="D29" s="238" t="s">
        <v>720</v>
      </c>
      <c r="F29" s="6"/>
    </row>
    <row r="30" spans="1:18">
      <c r="A30" s="232" t="s">
        <v>50</v>
      </c>
      <c r="B30" s="33">
        <f>IF(ISERROR(TER_ander_ele_kWh/1000),0,TER_ander_ele_kWh/1000)</f>
        <v>4081.6411769418401</v>
      </c>
      <c r="C30" s="39">
        <f>IF(ISERROR(B30*3.6/1000000/'E Balans VL '!Z14*100),0,B30*3.6/1000000/'E Balans VL '!Z14*100)</f>
        <v>0.31636462272201626</v>
      </c>
      <c r="D30" s="238" t="s">
        <v>720</v>
      </c>
      <c r="F30" s="6"/>
    </row>
    <row r="31" spans="1:18">
      <c r="A31" s="232" t="s">
        <v>55</v>
      </c>
      <c r="B31" s="33">
        <f>IF(ISERROR(TER_onderwijs_ele_kWh/1000),0,TER_onderwijs_ele_kWh/1000)</f>
        <v>252.453797669067</v>
      </c>
      <c r="C31" s="39">
        <f>IF(ISERROR(B31*3.6/1000000/'E Balans VL '!Z11*100),0,B31*3.6/1000000/'E Balans VL '!Z11*100)</f>
        <v>4.8298713215771151E-2</v>
      </c>
      <c r="D31" s="238" t="s">
        <v>720</v>
      </c>
    </row>
    <row r="32" spans="1:18">
      <c r="A32" s="232" t="s">
        <v>261</v>
      </c>
      <c r="B32" s="33">
        <f>IF(ISERROR(TER_rest_ele_kWh/1000),0,TER_rest_ele_kWh/1000)</f>
        <v>8001.7501288665599</v>
      </c>
      <c r="C32" s="39">
        <f>IF(ISERROR(B32*3.6/1000000/'E Balans VL '!Z8*100),0,B32*3.6/1000000/'E Balans VL '!Z8*100)</f>
        <v>6.5980574480961937E-2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20606.094116261036</v>
      </c>
      <c r="C5" s="17">
        <f>IF(ISERROR('Eigen informatie GS &amp; warmtenet'!B59),0,'Eigen informatie GS &amp; warmtenet'!B59)</f>
        <v>0</v>
      </c>
      <c r="D5" s="30">
        <f>SUM(D6:D15)</f>
        <v>150090.05470056224</v>
      </c>
      <c r="E5" s="17">
        <f>SUM(E6:E15)</f>
        <v>193.24521574287357</v>
      </c>
      <c r="F5" s="17">
        <f>SUM(F6:F15)</f>
        <v>4735.2964203660613</v>
      </c>
      <c r="G5" s="18"/>
      <c r="H5" s="17"/>
      <c r="I5" s="17"/>
      <c r="J5" s="17">
        <f>SUM(J6:J15)</f>
        <v>121.64546129198148</v>
      </c>
      <c r="K5" s="17"/>
      <c r="L5" s="17"/>
      <c r="M5" s="17"/>
      <c r="N5" s="17">
        <f>SUM(N6:N15)</f>
        <v>431.60082591220038</v>
      </c>
      <c r="O5" s="17">
        <f>B43*B44*B45</f>
        <v>0</v>
      </c>
      <c r="P5" s="17">
        <f>B51*B52*B53/1000-B51*B52*B53/1000/B54</f>
        <v>0</v>
      </c>
      <c r="R5" s="32"/>
    </row>
    <row r="6" spans="1:18">
      <c r="A6" s="6" t="s">
        <v>35</v>
      </c>
      <c r="B6" s="37">
        <f>IF( ISERROR(IND_ijzer_ele_kWh/1000),0,IND_ijzer_ele_kWh/1000)</f>
        <v>275.65573398889399</v>
      </c>
      <c r="C6" s="33"/>
      <c r="D6" s="37">
        <f>IF( ISERROR(IND_ijzer_gas_kWh/1000),0,IND_ijzer_gas_kWh/1000)*0.902</f>
        <v>138771.36530898901</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65.080479298028791</v>
      </c>
      <c r="C8" s="33"/>
      <c r="D8" s="37">
        <f>IF( ISERROR(IND_metaal_Gas_kWH/1000),0,IND_metaal_Gas_kWH/1000)*0.902</f>
        <v>0</v>
      </c>
      <c r="E8" s="33">
        <f>C30*'E Balans VL '!I18/100/3.6*1000000</f>
        <v>0.45730616867083534</v>
      </c>
      <c r="F8" s="33">
        <f>C30*'E Balans VL '!L18/100/3.6*1000000+C30*'E Balans VL '!N18/100/3.6*1000000</f>
        <v>7.1454558686421858</v>
      </c>
      <c r="G8" s="34"/>
      <c r="H8" s="33"/>
      <c r="I8" s="33"/>
      <c r="J8" s="40">
        <f>C30*'E Balans VL '!D18/100/3.6*1000000+C30*'E Balans VL '!E18/100/3.6*1000000</f>
        <v>1.3427505618479574</v>
      </c>
      <c r="K8" s="33"/>
      <c r="L8" s="33"/>
      <c r="M8" s="33"/>
      <c r="N8" s="33">
        <f>C30*'E Balans VL '!Y18/100/3.6*1000000</f>
        <v>0.24392632350010349</v>
      </c>
      <c r="O8" s="33"/>
      <c r="P8" s="33"/>
      <c r="R8" s="32"/>
    </row>
    <row r="9" spans="1:18">
      <c r="A9" s="6" t="s">
        <v>33</v>
      </c>
      <c r="B9" s="37">
        <f t="shared" si="0"/>
        <v>1392.2555595235899</v>
      </c>
      <c r="C9" s="33"/>
      <c r="D9" s="37">
        <f>IF( ISERROR(IND_andere_gas_kWh/1000),0,IND_andere_gas_kWh/1000)*0.902</f>
        <v>801.85325469995519</v>
      </c>
      <c r="E9" s="33">
        <f>C31*'E Balans VL '!I19/100/3.6*1000000</f>
        <v>23.38463768971485</v>
      </c>
      <c r="F9" s="33">
        <f>C31*'E Balans VL '!L19/100/3.6*1000000+C31*'E Balans VL '!N19/100/3.6*1000000</f>
        <v>1088.3860994797835</v>
      </c>
      <c r="G9" s="34"/>
      <c r="H9" s="33"/>
      <c r="I9" s="33"/>
      <c r="J9" s="40">
        <f>C31*'E Balans VL '!D19/100/3.6*1000000+C31*'E Balans VL '!E19/100/3.6*1000000</f>
        <v>0.1255691614933056</v>
      </c>
      <c r="K9" s="33"/>
      <c r="L9" s="33"/>
      <c r="M9" s="33"/>
      <c r="N9" s="33">
        <f>C31*'E Balans VL '!Y19/100/3.6*1000000</f>
        <v>103.18847373468203</v>
      </c>
      <c r="O9" s="33"/>
      <c r="P9" s="33"/>
      <c r="R9" s="32"/>
    </row>
    <row r="10" spans="1:18">
      <c r="A10" s="6" t="s">
        <v>41</v>
      </c>
      <c r="B10" s="37">
        <f t="shared" si="0"/>
        <v>776.04918101289104</v>
      </c>
      <c r="C10" s="33"/>
      <c r="D10" s="37">
        <f>IF( ISERROR(IND_voed_gas_kWh/1000),0,IND_voed_gas_kWh/1000)*0.902</f>
        <v>529.43862418207232</v>
      </c>
      <c r="E10" s="33">
        <f>C32*'E Balans VL '!I20/100/3.6*1000000</f>
        <v>7.0803502403399534</v>
      </c>
      <c r="F10" s="33">
        <f>C32*'E Balans VL '!L20/100/3.6*1000000+C32*'E Balans VL '!N20/100/3.6*1000000</f>
        <v>125.20100629523273</v>
      </c>
      <c r="G10" s="34"/>
      <c r="H10" s="33"/>
      <c r="I10" s="33"/>
      <c r="J10" s="40">
        <f>C32*'E Balans VL '!D20/100/3.6*1000000+C32*'E Balans VL '!E20/100/3.6*1000000</f>
        <v>3.1962793298827825</v>
      </c>
      <c r="K10" s="33"/>
      <c r="L10" s="33"/>
      <c r="M10" s="33"/>
      <c r="N10" s="33">
        <f>C32*'E Balans VL '!Y20/100/3.6*1000000</f>
        <v>11.352987586264844</v>
      </c>
      <c r="O10" s="33"/>
      <c r="P10" s="33"/>
      <c r="R10" s="32"/>
    </row>
    <row r="11" spans="1:18">
      <c r="A11" s="6" t="s">
        <v>40</v>
      </c>
      <c r="B11" s="37">
        <f t="shared" si="0"/>
        <v>587.43402878728909</v>
      </c>
      <c r="C11" s="33"/>
      <c r="D11" s="37">
        <f>IF( ISERROR(IND_textiel_gas_kWh/1000),0,IND_textiel_gas_kWh/1000)*0.902</f>
        <v>0</v>
      </c>
      <c r="E11" s="33">
        <f>C33*'E Balans VL '!I21/100/3.6*1000000</f>
        <v>1.3398280553102628</v>
      </c>
      <c r="F11" s="33">
        <f>C33*'E Balans VL '!L21/100/3.6*1000000+C33*'E Balans VL '!N21/100/3.6*1000000</f>
        <v>12.556947207935414</v>
      </c>
      <c r="G11" s="34"/>
      <c r="H11" s="33"/>
      <c r="I11" s="33"/>
      <c r="J11" s="40">
        <f>C33*'E Balans VL '!D21/100/3.6*1000000+C33*'E Balans VL '!E21/100/3.6*1000000</f>
        <v>0</v>
      </c>
      <c r="K11" s="33"/>
      <c r="L11" s="33"/>
      <c r="M11" s="33"/>
      <c r="N11" s="33">
        <f>C33*'E Balans VL '!Y21/100/3.6*1000000</f>
        <v>4.1671777497589995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136.27249050674101</v>
      </c>
      <c r="C13" s="33"/>
      <c r="D13" s="37">
        <f>IF( ISERROR(IND_papier_gas_kWh/1000),0,IND_papier_gas_kWh/1000)*0.902</f>
        <v>132.69636973345825</v>
      </c>
      <c r="E13" s="33">
        <f>C35*'E Balans VL '!I23/100/3.6*1000000</f>
        <v>4.1927488933663453</v>
      </c>
      <c r="F13" s="33">
        <f>C35*'E Balans VL '!L23/100/3.6*1000000+C35*'E Balans VL '!N23/100/3.6*1000000</f>
        <v>28.935412176747878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17373.346643143603</v>
      </c>
      <c r="C15" s="33"/>
      <c r="D15" s="37">
        <f>IF( ISERROR(IND_rest_gas_kWh/1000),0,IND_rest_gas_kWh/1000)*0.902</f>
        <v>9854.7011429577196</v>
      </c>
      <c r="E15" s="33">
        <f>C37*'E Balans VL '!I15/100/3.6*1000000</f>
        <v>156.79034469547133</v>
      </c>
      <c r="F15" s="33">
        <f>C37*'E Balans VL '!L15/100/3.6*1000000+C37*'E Balans VL '!N15/100/3.6*1000000</f>
        <v>3473.0714993377196</v>
      </c>
      <c r="G15" s="34"/>
      <c r="H15" s="33"/>
      <c r="I15" s="33"/>
      <c r="J15" s="40">
        <f>C37*'E Balans VL '!D15/100/3.6*1000000+C37*'E Balans VL '!E15/100/3.6*1000000</f>
        <v>116.98086223875742</v>
      </c>
      <c r="K15" s="33"/>
      <c r="L15" s="33"/>
      <c r="M15" s="33"/>
      <c r="N15" s="33">
        <f>C37*'E Balans VL '!Y15/100/3.6*1000000</f>
        <v>312.6482605179944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20606.094116261036</v>
      </c>
      <c r="C18" s="21">
        <f>C5+C16</f>
        <v>0</v>
      </c>
      <c r="D18" s="21">
        <f>MAX((D5+D16),0)</f>
        <v>150090.05470056224</v>
      </c>
      <c r="E18" s="21">
        <f>MAX((E5+E16),0)</f>
        <v>193.24521574287357</v>
      </c>
      <c r="F18" s="21">
        <f>MAX((F5+F16),0)</f>
        <v>4735.2964203660613</v>
      </c>
      <c r="G18" s="21"/>
      <c r="H18" s="21"/>
      <c r="I18" s="21"/>
      <c r="J18" s="21">
        <f>MAX((J5+J16),0)</f>
        <v>121.64546129198148</v>
      </c>
      <c r="K18" s="21"/>
      <c r="L18" s="21">
        <f>MAX((L5+L16),0)</f>
        <v>0</v>
      </c>
      <c r="M18" s="21"/>
      <c r="N18" s="21">
        <f>MAX((N5+N16),0)</f>
        <v>431.60082591220038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0.21226965366277159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4374.0484614012057</v>
      </c>
      <c r="C22" s="23">
        <f ca="1">C18*C20</f>
        <v>0</v>
      </c>
      <c r="D22" s="23">
        <f>D18*D20</f>
        <v>30318.191049513574</v>
      </c>
      <c r="E22" s="23">
        <f>E18*E20</f>
        <v>43.866663973632299</v>
      </c>
      <c r="F22" s="23">
        <f>F18*F20</f>
        <v>1264.3241442377384</v>
      </c>
      <c r="G22" s="23"/>
      <c r="H22" s="23"/>
      <c r="I22" s="23"/>
      <c r="J22" s="23">
        <f>J18*J20</f>
        <v>43.062493297361442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65.080479298028791</v>
      </c>
      <c r="C30" s="39">
        <f>IF(ISERROR(B30*3.6/1000000/'E Balans VL '!Z18*100),0,B30*3.6/1000000/'E Balans VL '!Z18*100)</f>
        <v>4.332447248340701E-3</v>
      </c>
      <c r="D30" s="238" t="s">
        <v>720</v>
      </c>
    </row>
    <row r="31" spans="1:18">
      <c r="A31" s="6" t="s">
        <v>33</v>
      </c>
      <c r="B31" s="37">
        <f>IF( ISERROR(IND_ander_ele_kWh/1000),0,IND_ander_ele_kWh/1000)</f>
        <v>1392.2555595235899</v>
      </c>
      <c r="C31" s="39">
        <f>IF(ISERROR(B31*3.6/1000000/'E Balans VL '!Z19*100),0,B31*3.6/1000000/'E Balans VL '!Z19*100)</f>
        <v>6.1713171518894237E-2</v>
      </c>
      <c r="D31" s="238" t="s">
        <v>720</v>
      </c>
    </row>
    <row r="32" spans="1:18">
      <c r="A32" s="172" t="s">
        <v>41</v>
      </c>
      <c r="B32" s="37">
        <f>IF( ISERROR(IND_voed_ele_kWh/1000),0,IND_voed_ele_kWh/1000)</f>
        <v>776.04918101289104</v>
      </c>
      <c r="C32" s="39">
        <f>IF(ISERROR(B32*3.6/1000000/'E Balans VL '!Z20*100),0,B32*3.6/1000000/'E Balans VL '!Z20*100)</f>
        <v>2.5922268842804692E-2</v>
      </c>
      <c r="D32" s="238" t="s">
        <v>720</v>
      </c>
    </row>
    <row r="33" spans="1:5">
      <c r="A33" s="172" t="s">
        <v>40</v>
      </c>
      <c r="B33" s="37">
        <f>IF( ISERROR(IND_textiel_ele_kWh/1000),0,IND_textiel_ele_kWh/1000)</f>
        <v>587.43402878728909</v>
      </c>
      <c r="C33" s="39">
        <f>IF(ISERROR(B33*3.6/1000000/'E Balans VL '!Z21*100),0,B33*3.6/1000000/'E Balans VL '!Z21*100)</f>
        <v>7.733704453620166E-2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136.27249050674101</v>
      </c>
      <c r="C35" s="39">
        <f>IF(ISERROR(B35*3.6/1000000/'E Balans VL '!Z22*100),0,B35*3.6/1000000/'E Balans VL '!Z22*100)</f>
        <v>2.6503502535340048E-2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17373.346643143603</v>
      </c>
      <c r="C37" s="39">
        <f>IF(ISERROR(B37*3.6/1000000/'E Balans VL '!Z15*100),0,B37*3.6/1000000/'E Balans VL '!Z15*100)</f>
        <v>0.12922939542223791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2694.0491269070358</v>
      </c>
      <c r="C5" s="17">
        <f>'Eigen informatie GS &amp; warmtenet'!B60</f>
        <v>0</v>
      </c>
      <c r="D5" s="30">
        <f>IF(ISERROR(SUM(LB_lb_gas_kWh,LB_rest_gas_kWh,onbekend_gas_kWh)/1000),0,SUM(LB_lb_gas_kWh,LB_rest_gas_kWh,onbekend_gas_kWh)/1000)*0.902</f>
        <v>4350.5306728011783</v>
      </c>
      <c r="E5" s="17">
        <f>B17*'E Balans VL '!I25/3.6*1000000/100</f>
        <v>28.212665694822153</v>
      </c>
      <c r="F5" s="17">
        <f>B17*('E Balans VL '!L25/3.6*1000000+'E Balans VL '!N25/3.6*1000000)/100</f>
        <v>13837.065273793383</v>
      </c>
      <c r="G5" s="18"/>
      <c r="H5" s="17"/>
      <c r="I5" s="17"/>
      <c r="J5" s="17">
        <f>('E Balans VL '!D25+'E Balans VL '!E25)/3.6*1000000*landbouw!B17/100</f>
        <v>240.60273420706537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2694.0491269070358</v>
      </c>
      <c r="C8" s="21">
        <f>C5+C6</f>
        <v>0</v>
      </c>
      <c r="D8" s="21">
        <f>MAX((D5+D6),0)</f>
        <v>4350.5306728011783</v>
      </c>
      <c r="E8" s="21">
        <f>MAX((E5+E6),0)</f>
        <v>28.212665694822153</v>
      </c>
      <c r="F8" s="21">
        <f>MAX((F5+F6),0)</f>
        <v>13837.065273793383</v>
      </c>
      <c r="G8" s="21"/>
      <c r="H8" s="21"/>
      <c r="I8" s="21"/>
      <c r="J8" s="21">
        <f>MAX((J5+J6),0)</f>
        <v>240.60273420706537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0.21226965366277159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571.86487511904863</v>
      </c>
      <c r="C12" s="23">
        <f ca="1">C8*C10</f>
        <v>0</v>
      </c>
      <c r="D12" s="23">
        <f>D8*D10</f>
        <v>878.80719590583806</v>
      </c>
      <c r="E12" s="23">
        <f>E8*E10</f>
        <v>6.4042751127246289</v>
      </c>
      <c r="F12" s="23">
        <f>F8*F10</f>
        <v>3694.4964281028338</v>
      </c>
      <c r="G12" s="23"/>
      <c r="H12" s="23"/>
      <c r="I12" s="23"/>
      <c r="J12" s="23">
        <f>J8*J10</f>
        <v>85.173367909301135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0.41466616538954026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339.48349092067861</v>
      </c>
      <c r="C26" s="248">
        <f>B26*'GWP N2O_CH4'!B5</f>
        <v>7129.1533093342505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170.40224700214512</v>
      </c>
      <c r="C27" s="248">
        <f>B27*'GWP N2O_CH4'!B5</f>
        <v>3578.4471870450475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5.0379805339653068</v>
      </c>
      <c r="C28" s="248">
        <f>B28*'GWP N2O_CH4'!B4</f>
        <v>1561.7739655292451</v>
      </c>
      <c r="D28" s="50"/>
    </row>
    <row r="29" spans="1:4">
      <c r="A29" s="41" t="s">
        <v>278</v>
      </c>
      <c r="B29" s="248">
        <f>B34*'ha_N2O bodem landbouw'!B4</f>
        <v>38.471438676198574</v>
      </c>
      <c r="C29" s="248">
        <f>B29*'GWP N2O_CH4'!B4</f>
        <v>11926.145989621558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6.3579105134503409E-3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2.3442960295434729E-6</v>
      </c>
      <c r="C5" s="446" t="s">
        <v>212</v>
      </c>
      <c r="D5" s="431">
        <f>SUM(D6:D11)</f>
        <v>1.42964051189746E-5</v>
      </c>
      <c r="E5" s="431">
        <f>SUM(E6:E11)</f>
        <v>1.4018249715129665E-3</v>
      </c>
      <c r="F5" s="444" t="s">
        <v>212</v>
      </c>
      <c r="G5" s="431">
        <f>SUM(G6:G11)</f>
        <v>0.23346748624174712</v>
      </c>
      <c r="H5" s="431">
        <f>SUM(H6:H11)</f>
        <v>4.6742025219026227E-2</v>
      </c>
      <c r="I5" s="446" t="s">
        <v>212</v>
      </c>
      <c r="J5" s="446" t="s">
        <v>212</v>
      </c>
      <c r="K5" s="446" t="s">
        <v>212</v>
      </c>
      <c r="L5" s="446" t="s">
        <v>212</v>
      </c>
      <c r="M5" s="431">
        <f>SUM(M6:M11)</f>
        <v>1.224418758203516E-2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1.1200825677143809E-6</v>
      </c>
      <c r="C6" s="432"/>
      <c r="D6" s="432">
        <f>vkm_2011_GW_PW*SUMIFS(TableVerdeelsleutelVkm[CNG],TableVerdeelsleutelVkm[Voertuigtype],"Lichte voertuigen")*SUMIFS(TableECFTransport[EnergieConsumptieFactor (PJ per km)],TableECFTransport[Index],CONCATENATE($A6,"_CNG_CNG"))</f>
        <v>4.8285457511627778E-6</v>
      </c>
      <c r="E6" s="434">
        <f>vkm_2011_GW_PW*SUMIFS(TableVerdeelsleutelVkm[LPG],TableVerdeelsleutelVkm[Voertuigtype],"Lichte voertuigen")*SUMIFS(TableECFTransport[EnergieConsumptieFactor (PJ per km)],TableECFTransport[Index],CONCATENATE($A6,"_LPG_LPG"))</f>
        <v>5.0238055807357994E-4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6.179418781778942E-2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1.6269129090229473E-2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3.4211087967927108E-3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3.6758026509230102E-2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1.2603817910249621E-5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1.5878778726003066E-3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1.2242134618290918E-6</v>
      </c>
      <c r="C8" s="432"/>
      <c r="D8" s="434">
        <f>vkm_2011_NGW_PW*SUMIFS(TableVerdeelsleutelVkm[CNG],TableVerdeelsleutelVkm[Voertuigtype],"Lichte voertuigen")*SUMIFS(TableECFTransport[EnergieConsumptieFactor (PJ per km)],TableECFTransport[Index],CONCATENATE($A8,"_CNG_CNG"))</f>
        <v>9.4678593678118219E-6</v>
      </c>
      <c r="E8" s="434">
        <f>vkm_2011_NGW_PW*SUMIFS(TableVerdeelsleutelVkm[LPG],TableVerdeelsleutelVkm[Voertuigtype],"Lichte voertuigen")*SUMIFS(TableECFTransport[EnergieConsumptieFactor (PJ per km)],TableECFTransport[Index],CONCATENATE($A8,"_LPG_LPG"))</f>
        <v>8.9944441343938657E-4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0.10493395518463111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3.0451361664274146E-2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5.9401266416088342E-3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2.9981316730096495E-2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8.9306466123579576E-6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1.2950742710333074E-3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0.65119334153985353</v>
      </c>
      <c r="C14" s="21"/>
      <c r="D14" s="21">
        <f t="shared" ref="D14:M14" si="0">((D5)*10^9/3600)+D12</f>
        <v>3.9712236441596112</v>
      </c>
      <c r="E14" s="21">
        <f t="shared" si="0"/>
        <v>389.39582542026847</v>
      </c>
      <c r="F14" s="21"/>
      <c r="G14" s="21">
        <f t="shared" si="0"/>
        <v>64852.079511596421</v>
      </c>
      <c r="H14" s="21">
        <f t="shared" si="0"/>
        <v>12983.895894173953</v>
      </c>
      <c r="I14" s="21"/>
      <c r="J14" s="21"/>
      <c r="K14" s="21"/>
      <c r="L14" s="21"/>
      <c r="M14" s="21">
        <f t="shared" si="0"/>
        <v>3401.1632172319887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0.21226965366277159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0.13822858507616764</v>
      </c>
      <c r="C18" s="23"/>
      <c r="D18" s="23">
        <f t="shared" ref="D18:M18" si="1">D14*D16</f>
        <v>0.80218717612024149</v>
      </c>
      <c r="E18" s="23">
        <f t="shared" si="1"/>
        <v>88.392852370400945</v>
      </c>
      <c r="F18" s="23"/>
      <c r="G18" s="23">
        <f t="shared" si="1"/>
        <v>17315.505229596245</v>
      </c>
      <c r="H18" s="23">
        <f t="shared" si="1"/>
        <v>3232.9900776493141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4.6112577024059803E-3</v>
      </c>
      <c r="H50" s="322">
        <f t="shared" si="2"/>
        <v>0</v>
      </c>
      <c r="I50" s="322">
        <f t="shared" si="2"/>
        <v>0</v>
      </c>
      <c r="J50" s="322">
        <f t="shared" si="2"/>
        <v>0</v>
      </c>
      <c r="K50" s="322">
        <f t="shared" si="2"/>
        <v>0</v>
      </c>
      <c r="L50" s="322">
        <f t="shared" si="2"/>
        <v>0</v>
      </c>
      <c r="M50" s="322">
        <f t="shared" si="2"/>
        <v>1.9655788235253542E-4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4.6112577024059803E-3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1.9655788235253542E-4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1280.9049173349945</v>
      </c>
      <c r="H54" s="21">
        <f t="shared" si="3"/>
        <v>0</v>
      </c>
      <c r="I54" s="21">
        <f t="shared" si="3"/>
        <v>0</v>
      </c>
      <c r="J54" s="21">
        <f t="shared" si="3"/>
        <v>0</v>
      </c>
      <c r="K54" s="21">
        <f t="shared" si="3"/>
        <v>0</v>
      </c>
      <c r="L54" s="21">
        <f t="shared" si="3"/>
        <v>0</v>
      </c>
      <c r="M54" s="21">
        <f t="shared" si="3"/>
        <v>54.599411764593171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0.21226965366277159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342.00161292844354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3706.780266724405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3706.780266724405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25585.157654608432</v>
      </c>
      <c r="D10" s="702">
        <f ca="1">tertiair!C16</f>
        <v>0</v>
      </c>
      <c r="E10" s="702">
        <f ca="1">tertiair!D16</f>
        <v>19419.411563390586</v>
      </c>
      <c r="F10" s="702">
        <f>tertiair!E16</f>
        <v>455.05947746941035</v>
      </c>
      <c r="G10" s="702">
        <f ca="1">tertiair!F16</f>
        <v>4596.0970780039061</v>
      </c>
      <c r="H10" s="702">
        <f>tertiair!G16</f>
        <v>0</v>
      </c>
      <c r="I10" s="702">
        <f>tertiair!H16</f>
        <v>0</v>
      </c>
      <c r="J10" s="702">
        <f>tertiair!I16</f>
        <v>0</v>
      </c>
      <c r="K10" s="702">
        <f>tertiair!J16</f>
        <v>0</v>
      </c>
      <c r="L10" s="702">
        <f>tertiair!K16</f>
        <v>0</v>
      </c>
      <c r="M10" s="702">
        <f ca="1">tertiair!L16</f>
        <v>0</v>
      </c>
      <c r="N10" s="702">
        <f>tertiair!M16</f>
        <v>0</v>
      </c>
      <c r="O10" s="702">
        <f ca="1">tertiair!N16</f>
        <v>1208.1519036570628</v>
      </c>
      <c r="P10" s="702">
        <f>tertiair!O16</f>
        <v>4.6900000000000004</v>
      </c>
      <c r="Q10" s="703">
        <f>tertiair!P16</f>
        <v>19.066666666666666</v>
      </c>
      <c r="R10" s="705">
        <f ca="1">SUM(C10:Q10)</f>
        <v>51287.63434379606</v>
      </c>
      <c r="S10" s="67"/>
    </row>
    <row r="11" spans="1:19" s="457" customFormat="1">
      <c r="A11" s="858" t="s">
        <v>226</v>
      </c>
      <c r="B11" s="863"/>
      <c r="C11" s="702">
        <f>huishoudens!B8</f>
        <v>44947.489023677677</v>
      </c>
      <c r="D11" s="702">
        <f>huishoudens!C8</f>
        <v>0</v>
      </c>
      <c r="E11" s="702">
        <f>huishoudens!D8</f>
        <v>64022.979040919279</v>
      </c>
      <c r="F11" s="702">
        <f>huishoudens!E8</f>
        <v>3778.5112434833964</v>
      </c>
      <c r="G11" s="702">
        <f>huishoudens!F8</f>
        <v>61780.025618806765</v>
      </c>
      <c r="H11" s="702">
        <f>huishoudens!G8</f>
        <v>0</v>
      </c>
      <c r="I11" s="702">
        <f>huishoudens!H8</f>
        <v>0</v>
      </c>
      <c r="J11" s="702">
        <f>huishoudens!I8</f>
        <v>0</v>
      </c>
      <c r="K11" s="702">
        <f>huishoudens!J8</f>
        <v>3459.5374319190582</v>
      </c>
      <c r="L11" s="702">
        <f>huishoudens!K8</f>
        <v>0</v>
      </c>
      <c r="M11" s="702">
        <f>huishoudens!L8</f>
        <v>0</v>
      </c>
      <c r="N11" s="702">
        <f>huishoudens!M8</f>
        <v>0</v>
      </c>
      <c r="O11" s="702">
        <f>huishoudens!N8</f>
        <v>15666.200691585296</v>
      </c>
      <c r="P11" s="702">
        <f>huishoudens!O8</f>
        <v>181.34666666666669</v>
      </c>
      <c r="Q11" s="703">
        <f>huishoudens!P8</f>
        <v>343.2</v>
      </c>
      <c r="R11" s="705">
        <f>SUM(C11:Q11)</f>
        <v>194179.28971705816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20606.094116261036</v>
      </c>
      <c r="D13" s="702">
        <f>industrie!C18</f>
        <v>0</v>
      </c>
      <c r="E13" s="702">
        <f>industrie!D18</f>
        <v>150090.05470056224</v>
      </c>
      <c r="F13" s="702">
        <f>industrie!E18</f>
        <v>193.24521574287357</v>
      </c>
      <c r="G13" s="702">
        <f>industrie!F18</f>
        <v>4735.2964203660613</v>
      </c>
      <c r="H13" s="702">
        <f>industrie!G18</f>
        <v>0</v>
      </c>
      <c r="I13" s="702">
        <f>industrie!H18</f>
        <v>0</v>
      </c>
      <c r="J13" s="702">
        <f>industrie!I18</f>
        <v>0</v>
      </c>
      <c r="K13" s="702">
        <f>industrie!J18</f>
        <v>121.64546129198148</v>
      </c>
      <c r="L13" s="702">
        <f>industrie!K18</f>
        <v>0</v>
      </c>
      <c r="M13" s="702">
        <f>industrie!L18</f>
        <v>0</v>
      </c>
      <c r="N13" s="702">
        <f>industrie!M18</f>
        <v>0</v>
      </c>
      <c r="O13" s="702">
        <f>industrie!N18</f>
        <v>431.60082591220038</v>
      </c>
      <c r="P13" s="702">
        <f>industrie!O18</f>
        <v>0</v>
      </c>
      <c r="Q13" s="703">
        <f>industrie!P18</f>
        <v>0</v>
      </c>
      <c r="R13" s="705">
        <f>SUM(C13:Q13)</f>
        <v>176177.93674013639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91138.74079454715</v>
      </c>
      <c r="D15" s="707">
        <f t="shared" ref="D15:Q15" ca="1" si="0">SUM(D9:D14)</f>
        <v>0</v>
      </c>
      <c r="E15" s="707">
        <f t="shared" ca="1" si="0"/>
        <v>233532.44530487212</v>
      </c>
      <c r="F15" s="707">
        <f t="shared" si="0"/>
        <v>4426.8159366956797</v>
      </c>
      <c r="G15" s="707">
        <f t="shared" ca="1" si="0"/>
        <v>71111.419117176731</v>
      </c>
      <c r="H15" s="707">
        <f t="shared" si="0"/>
        <v>0</v>
      </c>
      <c r="I15" s="707">
        <f t="shared" si="0"/>
        <v>0</v>
      </c>
      <c r="J15" s="707">
        <f t="shared" si="0"/>
        <v>0</v>
      </c>
      <c r="K15" s="707">
        <f t="shared" si="0"/>
        <v>3581.1828932110398</v>
      </c>
      <c r="L15" s="707">
        <f t="shared" si="0"/>
        <v>0</v>
      </c>
      <c r="M15" s="707">
        <f t="shared" ca="1" si="0"/>
        <v>0</v>
      </c>
      <c r="N15" s="707">
        <f t="shared" si="0"/>
        <v>0</v>
      </c>
      <c r="O15" s="707">
        <f t="shared" ca="1" si="0"/>
        <v>17305.953421154558</v>
      </c>
      <c r="P15" s="707">
        <f t="shared" si="0"/>
        <v>186.03666666666669</v>
      </c>
      <c r="Q15" s="708">
        <f t="shared" si="0"/>
        <v>362.26666666666665</v>
      </c>
      <c r="R15" s="709">
        <f ca="1">SUM(R9:R14)</f>
        <v>421644.8608009906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1280.9049173349945</v>
      </c>
      <c r="I18" s="702">
        <f>transport!H54</f>
        <v>0</v>
      </c>
      <c r="J18" s="702">
        <f>transport!I54</f>
        <v>0</v>
      </c>
      <c r="K18" s="702">
        <f>transport!J54</f>
        <v>0</v>
      </c>
      <c r="L18" s="702">
        <f>transport!K54</f>
        <v>0</v>
      </c>
      <c r="M18" s="702">
        <f>transport!L54</f>
        <v>0</v>
      </c>
      <c r="N18" s="702">
        <f>transport!M54</f>
        <v>54.599411764593171</v>
      </c>
      <c r="O18" s="702">
        <f>transport!N54</f>
        <v>0</v>
      </c>
      <c r="P18" s="702">
        <f>transport!O54</f>
        <v>0</v>
      </c>
      <c r="Q18" s="703">
        <f>transport!P54</f>
        <v>0</v>
      </c>
      <c r="R18" s="705">
        <f>SUM(C18:Q18)</f>
        <v>1335.5043290995877</v>
      </c>
      <c r="S18" s="67"/>
    </row>
    <row r="19" spans="1:19" s="457" customFormat="1" ht="15" thickBot="1">
      <c r="A19" s="858" t="s">
        <v>308</v>
      </c>
      <c r="B19" s="863"/>
      <c r="C19" s="711">
        <f>transport!B14</f>
        <v>0.65119334153985353</v>
      </c>
      <c r="D19" s="711">
        <f>transport!C14</f>
        <v>0</v>
      </c>
      <c r="E19" s="711">
        <f>transport!D14</f>
        <v>3.9712236441596112</v>
      </c>
      <c r="F19" s="711">
        <f>transport!E14</f>
        <v>389.39582542026847</v>
      </c>
      <c r="G19" s="711">
        <f>transport!F14</f>
        <v>0</v>
      </c>
      <c r="H19" s="711">
        <f>transport!G14</f>
        <v>64852.079511596421</v>
      </c>
      <c r="I19" s="711">
        <f>transport!H14</f>
        <v>12983.895894173953</v>
      </c>
      <c r="J19" s="711">
        <f>transport!I14</f>
        <v>0</v>
      </c>
      <c r="K19" s="711">
        <f>transport!J14</f>
        <v>0</v>
      </c>
      <c r="L19" s="711">
        <f>transport!K14</f>
        <v>0</v>
      </c>
      <c r="M19" s="711">
        <f>transport!L14</f>
        <v>0</v>
      </c>
      <c r="N19" s="711">
        <f>transport!M14</f>
        <v>3401.1632172319887</v>
      </c>
      <c r="O19" s="711">
        <f>transport!N14</f>
        <v>0</v>
      </c>
      <c r="P19" s="711">
        <f>transport!O14</f>
        <v>0</v>
      </c>
      <c r="Q19" s="712">
        <f>transport!P14</f>
        <v>0</v>
      </c>
      <c r="R19" s="713">
        <f>SUM(C19:Q19)</f>
        <v>81631.156865408338</v>
      </c>
      <c r="S19" s="67"/>
    </row>
    <row r="20" spans="1:19" s="457" customFormat="1" ht="15.75" thickBot="1">
      <c r="A20" s="714" t="s">
        <v>231</v>
      </c>
      <c r="B20" s="866"/>
      <c r="C20" s="861">
        <f>SUM(C17:C19)</f>
        <v>0.65119334153985353</v>
      </c>
      <c r="D20" s="715">
        <f t="shared" ref="D20:R20" si="1">SUM(D17:D19)</f>
        <v>0</v>
      </c>
      <c r="E20" s="715">
        <f t="shared" si="1"/>
        <v>3.9712236441596112</v>
      </c>
      <c r="F20" s="715">
        <f t="shared" si="1"/>
        <v>389.39582542026847</v>
      </c>
      <c r="G20" s="715">
        <f t="shared" si="1"/>
        <v>0</v>
      </c>
      <c r="H20" s="715">
        <f t="shared" si="1"/>
        <v>66132.984428931421</v>
      </c>
      <c r="I20" s="715">
        <f t="shared" si="1"/>
        <v>12983.895894173953</v>
      </c>
      <c r="J20" s="715">
        <f t="shared" si="1"/>
        <v>0</v>
      </c>
      <c r="K20" s="715">
        <f t="shared" si="1"/>
        <v>0</v>
      </c>
      <c r="L20" s="715">
        <f t="shared" si="1"/>
        <v>0</v>
      </c>
      <c r="M20" s="715">
        <f t="shared" si="1"/>
        <v>0</v>
      </c>
      <c r="N20" s="715">
        <f t="shared" si="1"/>
        <v>3455.762628996582</v>
      </c>
      <c r="O20" s="715">
        <f t="shared" si="1"/>
        <v>0</v>
      </c>
      <c r="P20" s="715">
        <f t="shared" si="1"/>
        <v>0</v>
      </c>
      <c r="Q20" s="716">
        <f t="shared" si="1"/>
        <v>0</v>
      </c>
      <c r="R20" s="717">
        <f t="shared" si="1"/>
        <v>82966.66119450792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2694.0491269070358</v>
      </c>
      <c r="D22" s="711">
        <f>+landbouw!C8</f>
        <v>0</v>
      </c>
      <c r="E22" s="711">
        <f>+landbouw!D8</f>
        <v>4350.5306728011783</v>
      </c>
      <c r="F22" s="711">
        <f>+landbouw!E8</f>
        <v>28.212665694822153</v>
      </c>
      <c r="G22" s="711">
        <f>+landbouw!F8</f>
        <v>13837.065273793383</v>
      </c>
      <c r="H22" s="711">
        <f>+landbouw!G8</f>
        <v>0</v>
      </c>
      <c r="I22" s="711">
        <f>+landbouw!H8</f>
        <v>0</v>
      </c>
      <c r="J22" s="711">
        <f>+landbouw!I8</f>
        <v>0</v>
      </c>
      <c r="K22" s="711">
        <f>+landbouw!J8</f>
        <v>240.60273420706537</v>
      </c>
      <c r="L22" s="711">
        <f>+landbouw!K8</f>
        <v>0</v>
      </c>
      <c r="M22" s="711">
        <f>+landbouw!L8</f>
        <v>0</v>
      </c>
      <c r="N22" s="711">
        <f>+landbouw!M8</f>
        <v>0</v>
      </c>
      <c r="O22" s="711">
        <f>+landbouw!N8</f>
        <v>0</v>
      </c>
      <c r="P22" s="711">
        <f>+landbouw!O8</f>
        <v>0</v>
      </c>
      <c r="Q22" s="712">
        <f>+landbouw!P8</f>
        <v>0</v>
      </c>
      <c r="R22" s="713">
        <f>SUM(C22:Q22)</f>
        <v>21150.460473403487</v>
      </c>
      <c r="S22" s="67"/>
    </row>
    <row r="23" spans="1:19" s="457" customFormat="1" ht="17.25" thickTop="1" thickBot="1">
      <c r="A23" s="718" t="s">
        <v>116</v>
      </c>
      <c r="B23" s="852"/>
      <c r="C23" s="719">
        <f ca="1">C20+C15+C22</f>
        <v>93833.441114795729</v>
      </c>
      <c r="D23" s="719">
        <f t="shared" ref="D23:Q23" ca="1" si="2">D20+D15+D22</f>
        <v>0</v>
      </c>
      <c r="E23" s="719">
        <f t="shared" ca="1" si="2"/>
        <v>237886.94720131747</v>
      </c>
      <c r="F23" s="719">
        <f t="shared" si="2"/>
        <v>4844.4244278107708</v>
      </c>
      <c r="G23" s="719">
        <f t="shared" ca="1" si="2"/>
        <v>84948.484390970116</v>
      </c>
      <c r="H23" s="719">
        <f t="shared" si="2"/>
        <v>66132.984428931421</v>
      </c>
      <c r="I23" s="719">
        <f t="shared" si="2"/>
        <v>12983.895894173953</v>
      </c>
      <c r="J23" s="719">
        <f t="shared" si="2"/>
        <v>0</v>
      </c>
      <c r="K23" s="719">
        <f t="shared" si="2"/>
        <v>3821.7856274181049</v>
      </c>
      <c r="L23" s="719">
        <f t="shared" si="2"/>
        <v>0</v>
      </c>
      <c r="M23" s="719">
        <f t="shared" ca="1" si="2"/>
        <v>0</v>
      </c>
      <c r="N23" s="719">
        <f t="shared" si="2"/>
        <v>3455.762628996582</v>
      </c>
      <c r="O23" s="719">
        <f t="shared" ca="1" si="2"/>
        <v>17305.953421154558</v>
      </c>
      <c r="P23" s="719">
        <f t="shared" si="2"/>
        <v>186.03666666666669</v>
      </c>
      <c r="Q23" s="720">
        <f t="shared" si="2"/>
        <v>362.26666666666665</v>
      </c>
      <c r="R23" s="721">
        <f ca="1">R20+R15+R22</f>
        <v>525761.98246890202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5430.9525542511419</v>
      </c>
      <c r="D36" s="702">
        <f ca="1">tertiair!C20</f>
        <v>0</v>
      </c>
      <c r="E36" s="702">
        <f ca="1">tertiair!D20</f>
        <v>3922.7211358048985</v>
      </c>
      <c r="F36" s="702">
        <f>tertiair!E20</f>
        <v>103.29850138555615</v>
      </c>
      <c r="G36" s="702">
        <f ca="1">tertiair!F20</f>
        <v>1227.1579198270431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10684.13011126864</v>
      </c>
    </row>
    <row r="37" spans="1:18">
      <c r="A37" s="873" t="s">
        <v>226</v>
      </c>
      <c r="B37" s="880"/>
      <c r="C37" s="702">
        <f ca="1">huishoudens!B12</f>
        <v>9540.9879280672885</v>
      </c>
      <c r="D37" s="702">
        <f ca="1">huishoudens!C12</f>
        <v>0</v>
      </c>
      <c r="E37" s="702">
        <f>huishoudens!D12</f>
        <v>12932.641766265695</v>
      </c>
      <c r="F37" s="702">
        <f>huishoudens!E12</f>
        <v>857.72205227073096</v>
      </c>
      <c r="G37" s="702">
        <f>huishoudens!F12</f>
        <v>16495.266840221408</v>
      </c>
      <c r="H37" s="702">
        <f>huishoudens!G12</f>
        <v>0</v>
      </c>
      <c r="I37" s="702">
        <f>huishoudens!H12</f>
        <v>0</v>
      </c>
      <c r="J37" s="702">
        <f>huishoudens!I12</f>
        <v>0</v>
      </c>
      <c r="K37" s="702">
        <f>huishoudens!J12</f>
        <v>1224.6762508993465</v>
      </c>
      <c r="L37" s="702">
        <f>huishoudens!K12</f>
        <v>0</v>
      </c>
      <c r="M37" s="702">
        <f>huishoudens!L12</f>
        <v>0</v>
      </c>
      <c r="N37" s="702">
        <f>huishoudens!M12</f>
        <v>0</v>
      </c>
      <c r="O37" s="702">
        <f>huishoudens!N12</f>
        <v>0</v>
      </c>
      <c r="P37" s="702">
        <f>huishoudens!O12</f>
        <v>0</v>
      </c>
      <c r="Q37" s="812">
        <f>huishoudens!P12</f>
        <v>0</v>
      </c>
      <c r="R37" s="905">
        <f ca="1">SUM(C37:Q37)</f>
        <v>41051.294837724468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4374.0484614012057</v>
      </c>
      <c r="D39" s="702">
        <f ca="1">industrie!C22</f>
        <v>0</v>
      </c>
      <c r="E39" s="702">
        <f>industrie!D22</f>
        <v>30318.191049513574</v>
      </c>
      <c r="F39" s="702">
        <f>industrie!E22</f>
        <v>43.866663973632299</v>
      </c>
      <c r="G39" s="702">
        <f>industrie!F22</f>
        <v>1264.3241442377384</v>
      </c>
      <c r="H39" s="702">
        <f>industrie!G22</f>
        <v>0</v>
      </c>
      <c r="I39" s="702">
        <f>industrie!H22</f>
        <v>0</v>
      </c>
      <c r="J39" s="702">
        <f>industrie!I22</f>
        <v>0</v>
      </c>
      <c r="K39" s="702">
        <f>industrie!J22</f>
        <v>43.062493297361442</v>
      </c>
      <c r="L39" s="702">
        <f>industrie!K22</f>
        <v>0</v>
      </c>
      <c r="M39" s="702">
        <f>industrie!L22</f>
        <v>0</v>
      </c>
      <c r="N39" s="702">
        <f>industrie!M22</f>
        <v>0</v>
      </c>
      <c r="O39" s="702">
        <f>industrie!N22</f>
        <v>0</v>
      </c>
      <c r="P39" s="702">
        <f>industrie!O22</f>
        <v>0</v>
      </c>
      <c r="Q39" s="812">
        <f>industrie!P22</f>
        <v>0</v>
      </c>
      <c r="R39" s="906">
        <f ca="1">SUM(C39:Q39)</f>
        <v>36043.492812423508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19345.988943719636</v>
      </c>
      <c r="D41" s="747">
        <f t="shared" ref="D41:R41" ca="1" si="4">SUM(D35:D40)</f>
        <v>0</v>
      </c>
      <c r="E41" s="747">
        <f t="shared" ca="1" si="4"/>
        <v>47173.553951584166</v>
      </c>
      <c r="F41" s="747">
        <f t="shared" si="4"/>
        <v>1004.8872176299194</v>
      </c>
      <c r="G41" s="747">
        <f t="shared" ca="1" si="4"/>
        <v>18986.748904286193</v>
      </c>
      <c r="H41" s="747">
        <f t="shared" si="4"/>
        <v>0</v>
      </c>
      <c r="I41" s="747">
        <f t="shared" si="4"/>
        <v>0</v>
      </c>
      <c r="J41" s="747">
        <f t="shared" si="4"/>
        <v>0</v>
      </c>
      <c r="K41" s="747">
        <f t="shared" si="4"/>
        <v>1267.738744196708</v>
      </c>
      <c r="L41" s="747">
        <f t="shared" si="4"/>
        <v>0</v>
      </c>
      <c r="M41" s="747">
        <f t="shared" ca="1" si="4"/>
        <v>0</v>
      </c>
      <c r="N41" s="747">
        <f t="shared" si="4"/>
        <v>0</v>
      </c>
      <c r="O41" s="747">
        <f t="shared" ca="1" si="4"/>
        <v>0</v>
      </c>
      <c r="P41" s="747">
        <f t="shared" si="4"/>
        <v>0</v>
      </c>
      <c r="Q41" s="748">
        <f t="shared" si="4"/>
        <v>0</v>
      </c>
      <c r="R41" s="749">
        <f t="shared" ca="1" si="4"/>
        <v>87778.917761416611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342.00161292844354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342.00161292844354</v>
      </c>
    </row>
    <row r="45" spans="1:18" ht="15" thickBot="1">
      <c r="A45" s="876" t="s">
        <v>308</v>
      </c>
      <c r="B45" s="886"/>
      <c r="C45" s="711">
        <f ca="1">transport!B18</f>
        <v>0.13822858507616764</v>
      </c>
      <c r="D45" s="711">
        <f>transport!C18</f>
        <v>0</v>
      </c>
      <c r="E45" s="711">
        <f>transport!D18</f>
        <v>0.80218717612024149</v>
      </c>
      <c r="F45" s="711">
        <f>transport!E18</f>
        <v>88.392852370400945</v>
      </c>
      <c r="G45" s="711">
        <f>transport!F18</f>
        <v>0</v>
      </c>
      <c r="H45" s="711">
        <f>transport!G18</f>
        <v>17315.505229596245</v>
      </c>
      <c r="I45" s="711">
        <f>transport!H18</f>
        <v>3232.9900776493141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20637.828575377156</v>
      </c>
    </row>
    <row r="46" spans="1:18" ht="15.75" thickBot="1">
      <c r="A46" s="874" t="s">
        <v>231</v>
      </c>
      <c r="B46" s="887"/>
      <c r="C46" s="747">
        <f t="shared" ref="C46:R46" ca="1" si="5">SUM(C43:C45)</f>
        <v>0.13822858507616764</v>
      </c>
      <c r="D46" s="747">
        <f t="shared" ca="1" si="5"/>
        <v>0</v>
      </c>
      <c r="E46" s="747">
        <f t="shared" si="5"/>
        <v>0.80218717612024149</v>
      </c>
      <c r="F46" s="747">
        <f t="shared" si="5"/>
        <v>88.392852370400945</v>
      </c>
      <c r="G46" s="747">
        <f t="shared" si="5"/>
        <v>0</v>
      </c>
      <c r="H46" s="747">
        <f t="shared" si="5"/>
        <v>17657.50684252469</v>
      </c>
      <c r="I46" s="747">
        <f t="shared" si="5"/>
        <v>3232.9900776493141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20979.830188305601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571.86487511904863</v>
      </c>
      <c r="D48" s="702">
        <f ca="1">+landbouw!C12</f>
        <v>0</v>
      </c>
      <c r="E48" s="702">
        <f>+landbouw!D12</f>
        <v>878.80719590583806</v>
      </c>
      <c r="F48" s="702">
        <f>+landbouw!E12</f>
        <v>6.4042751127246289</v>
      </c>
      <c r="G48" s="702">
        <f>+landbouw!F12</f>
        <v>3694.4964281028338</v>
      </c>
      <c r="H48" s="702">
        <f>+landbouw!G12</f>
        <v>0</v>
      </c>
      <c r="I48" s="702">
        <f>+landbouw!H12</f>
        <v>0</v>
      </c>
      <c r="J48" s="702">
        <f>+landbouw!I12</f>
        <v>0</v>
      </c>
      <c r="K48" s="702">
        <f>+landbouw!J12</f>
        <v>85.173367909301135</v>
      </c>
      <c r="L48" s="702">
        <f>+landbouw!K12</f>
        <v>0</v>
      </c>
      <c r="M48" s="702">
        <f>+landbouw!L12</f>
        <v>0</v>
      </c>
      <c r="N48" s="702">
        <f>+landbouw!M12</f>
        <v>0</v>
      </c>
      <c r="O48" s="702">
        <f>+landbouw!N12</f>
        <v>0</v>
      </c>
      <c r="P48" s="702">
        <f>+landbouw!O12</f>
        <v>0</v>
      </c>
      <c r="Q48" s="703">
        <f>+landbouw!P12</f>
        <v>0</v>
      </c>
      <c r="R48" s="745">
        <f ca="1">SUM(C48:Q48)</f>
        <v>5236.7461421497464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19917.992047423762</v>
      </c>
      <c r="D53" s="757">
        <f t="shared" ref="D53:Q53" ca="1" si="6">D41+D46+D48</f>
        <v>0</v>
      </c>
      <c r="E53" s="757">
        <f t="shared" ca="1" si="6"/>
        <v>48053.163334666126</v>
      </c>
      <c r="F53" s="757">
        <f t="shared" si="6"/>
        <v>1099.6843451130451</v>
      </c>
      <c r="G53" s="757">
        <f t="shared" ca="1" si="6"/>
        <v>22681.245332389026</v>
      </c>
      <c r="H53" s="757">
        <f t="shared" si="6"/>
        <v>17657.50684252469</v>
      </c>
      <c r="I53" s="757">
        <f t="shared" si="6"/>
        <v>3232.9900776493141</v>
      </c>
      <c r="J53" s="757">
        <f t="shared" si="6"/>
        <v>0</v>
      </c>
      <c r="K53" s="757">
        <f t="shared" si="6"/>
        <v>1352.9121121060091</v>
      </c>
      <c r="L53" s="757">
        <f t="shared" si="6"/>
        <v>0</v>
      </c>
      <c r="M53" s="757">
        <f t="shared" ca="1" si="6"/>
        <v>0</v>
      </c>
      <c r="N53" s="757">
        <f t="shared" si="6"/>
        <v>0</v>
      </c>
      <c r="O53" s="757">
        <f t="shared" ca="1" si="6"/>
        <v>0</v>
      </c>
      <c r="P53" s="757">
        <f>P41+P46+P48</f>
        <v>0</v>
      </c>
      <c r="Q53" s="758">
        <f t="shared" si="6"/>
        <v>0</v>
      </c>
      <c r="R53" s="759">
        <f ca="1">R41+R46+R48</f>
        <v>113995.49409187195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0.21226965366277159</v>
      </c>
      <c r="D55" s="823">
        <f t="shared" ca="1" si="7"/>
        <v>0</v>
      </c>
      <c r="E55" s="823">
        <f t="shared" ca="1" si="7"/>
        <v>0.20199999999999999</v>
      </c>
      <c r="F55" s="823">
        <f t="shared" si="7"/>
        <v>0.22700000000000004</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3706.780266724405</v>
      </c>
      <c r="C66" s="779">
        <f>'lokale energieproductie'!B6</f>
        <v>3706.780266724405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3706.780266724405</v>
      </c>
      <c r="C69" s="787">
        <f>SUM(C64:C68)</f>
        <v>3706.780266724405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44947.489023677677</v>
      </c>
      <c r="C4" s="461">
        <f>huishoudens!C8</f>
        <v>0</v>
      </c>
      <c r="D4" s="461">
        <f>huishoudens!D8</f>
        <v>64022.979040919279</v>
      </c>
      <c r="E4" s="461">
        <f>huishoudens!E8</f>
        <v>3778.5112434833964</v>
      </c>
      <c r="F4" s="461">
        <f>huishoudens!F8</f>
        <v>61780.025618806765</v>
      </c>
      <c r="G4" s="461">
        <f>huishoudens!G8</f>
        <v>0</v>
      </c>
      <c r="H4" s="461">
        <f>huishoudens!H8</f>
        <v>0</v>
      </c>
      <c r="I4" s="461">
        <f>huishoudens!I8</f>
        <v>0</v>
      </c>
      <c r="J4" s="461">
        <f>huishoudens!J8</f>
        <v>3459.5374319190582</v>
      </c>
      <c r="K4" s="461">
        <f>huishoudens!K8</f>
        <v>0</v>
      </c>
      <c r="L4" s="461">
        <f>huishoudens!L8</f>
        <v>0</v>
      </c>
      <c r="M4" s="461">
        <f>huishoudens!M8</f>
        <v>0</v>
      </c>
      <c r="N4" s="461">
        <f>huishoudens!N8</f>
        <v>15666.200691585296</v>
      </c>
      <c r="O4" s="461">
        <f>huishoudens!O8</f>
        <v>181.34666666666669</v>
      </c>
      <c r="P4" s="462">
        <f>huishoudens!P8</f>
        <v>343.2</v>
      </c>
      <c r="Q4" s="463">
        <f>SUM(B4:P4)</f>
        <v>194179.28971705816</v>
      </c>
    </row>
    <row r="5" spans="1:17">
      <c r="A5" s="460" t="s">
        <v>156</v>
      </c>
      <c r="B5" s="461">
        <f ca="1">tertiair!B16</f>
        <v>23499.003654608434</v>
      </c>
      <c r="C5" s="461">
        <f ca="1">tertiair!C16</f>
        <v>0</v>
      </c>
      <c r="D5" s="461">
        <f ca="1">tertiair!D16</f>
        <v>19419.411563390586</v>
      </c>
      <c r="E5" s="461">
        <f>tertiair!E16</f>
        <v>455.05947746941035</v>
      </c>
      <c r="F5" s="461">
        <f ca="1">tertiair!F16</f>
        <v>4596.0970780039061</v>
      </c>
      <c r="G5" s="461">
        <f>tertiair!G16</f>
        <v>0</v>
      </c>
      <c r="H5" s="461">
        <f>tertiair!H16</f>
        <v>0</v>
      </c>
      <c r="I5" s="461">
        <f>tertiair!I16</f>
        <v>0</v>
      </c>
      <c r="J5" s="461">
        <f>tertiair!J16</f>
        <v>0</v>
      </c>
      <c r="K5" s="461">
        <f>tertiair!K16</f>
        <v>0</v>
      </c>
      <c r="L5" s="461">
        <f ca="1">tertiair!L16</f>
        <v>0</v>
      </c>
      <c r="M5" s="461">
        <f>tertiair!M16</f>
        <v>0</v>
      </c>
      <c r="N5" s="461">
        <f ca="1">tertiair!N16</f>
        <v>1208.1519036570628</v>
      </c>
      <c r="O5" s="461">
        <f>tertiair!O16</f>
        <v>4.6900000000000004</v>
      </c>
      <c r="P5" s="462">
        <f>tertiair!P16</f>
        <v>19.066666666666666</v>
      </c>
      <c r="Q5" s="460">
        <f t="shared" ref="Q5:Q13" ca="1" si="0">SUM(B5:P5)</f>
        <v>49201.480343796065</v>
      </c>
    </row>
    <row r="6" spans="1:17">
      <c r="A6" s="460" t="s">
        <v>195</v>
      </c>
      <c r="B6" s="461">
        <f>'openbare verlichting'!B8</f>
        <v>2086.154</v>
      </c>
      <c r="C6" s="461"/>
      <c r="D6" s="461"/>
      <c r="E6" s="461"/>
      <c r="F6" s="461"/>
      <c r="G6" s="461"/>
      <c r="H6" s="461"/>
      <c r="I6" s="461"/>
      <c r="J6" s="461"/>
      <c r="K6" s="461"/>
      <c r="L6" s="461"/>
      <c r="M6" s="461"/>
      <c r="N6" s="461"/>
      <c r="O6" s="461"/>
      <c r="P6" s="462"/>
      <c r="Q6" s="460">
        <f t="shared" si="0"/>
        <v>2086.154</v>
      </c>
    </row>
    <row r="7" spans="1:17">
      <c r="A7" s="460" t="s">
        <v>112</v>
      </c>
      <c r="B7" s="461">
        <f>landbouw!B8</f>
        <v>2694.0491269070358</v>
      </c>
      <c r="C7" s="461">
        <f>landbouw!C8</f>
        <v>0</v>
      </c>
      <c r="D7" s="461">
        <f>landbouw!D8</f>
        <v>4350.5306728011783</v>
      </c>
      <c r="E7" s="461">
        <f>landbouw!E8</f>
        <v>28.212665694822153</v>
      </c>
      <c r="F7" s="461">
        <f>landbouw!F8</f>
        <v>13837.065273793383</v>
      </c>
      <c r="G7" s="461">
        <f>landbouw!G8</f>
        <v>0</v>
      </c>
      <c r="H7" s="461">
        <f>landbouw!H8</f>
        <v>0</v>
      </c>
      <c r="I7" s="461">
        <f>landbouw!I8</f>
        <v>0</v>
      </c>
      <c r="J7" s="461">
        <f>landbouw!J8</f>
        <v>240.60273420706537</v>
      </c>
      <c r="K7" s="461">
        <f>landbouw!K8</f>
        <v>0</v>
      </c>
      <c r="L7" s="461">
        <f>landbouw!L8</f>
        <v>0</v>
      </c>
      <c r="M7" s="461">
        <f>landbouw!M8</f>
        <v>0</v>
      </c>
      <c r="N7" s="461">
        <f>landbouw!N8</f>
        <v>0</v>
      </c>
      <c r="O7" s="461">
        <f>landbouw!O8</f>
        <v>0</v>
      </c>
      <c r="P7" s="462">
        <f>landbouw!P8</f>
        <v>0</v>
      </c>
      <c r="Q7" s="460">
        <f t="shared" si="0"/>
        <v>21150.460473403487</v>
      </c>
    </row>
    <row r="8" spans="1:17">
      <c r="A8" s="460" t="s">
        <v>656</v>
      </c>
      <c r="B8" s="461">
        <f>industrie!B18</f>
        <v>20606.094116261036</v>
      </c>
      <c r="C8" s="461">
        <f>industrie!C18</f>
        <v>0</v>
      </c>
      <c r="D8" s="461">
        <f>industrie!D18</f>
        <v>150090.05470056224</v>
      </c>
      <c r="E8" s="461">
        <f>industrie!E18</f>
        <v>193.24521574287357</v>
      </c>
      <c r="F8" s="461">
        <f>industrie!F18</f>
        <v>4735.2964203660613</v>
      </c>
      <c r="G8" s="461">
        <f>industrie!G18</f>
        <v>0</v>
      </c>
      <c r="H8" s="461">
        <f>industrie!H18</f>
        <v>0</v>
      </c>
      <c r="I8" s="461">
        <f>industrie!I18</f>
        <v>0</v>
      </c>
      <c r="J8" s="461">
        <f>industrie!J18</f>
        <v>121.64546129198148</v>
      </c>
      <c r="K8" s="461">
        <f>industrie!K18</f>
        <v>0</v>
      </c>
      <c r="L8" s="461">
        <f>industrie!L18</f>
        <v>0</v>
      </c>
      <c r="M8" s="461">
        <f>industrie!M18</f>
        <v>0</v>
      </c>
      <c r="N8" s="461">
        <f>industrie!N18</f>
        <v>431.60082591220038</v>
      </c>
      <c r="O8" s="461">
        <f>industrie!O18</f>
        <v>0</v>
      </c>
      <c r="P8" s="462">
        <f>industrie!P18</f>
        <v>0</v>
      </c>
      <c r="Q8" s="460">
        <f t="shared" si="0"/>
        <v>176177.93674013639</v>
      </c>
    </row>
    <row r="9" spans="1:17" s="466" customFormat="1">
      <c r="A9" s="464" t="s">
        <v>574</v>
      </c>
      <c r="B9" s="465">
        <f>transport!B14</f>
        <v>0.65119334153985353</v>
      </c>
      <c r="C9" s="465">
        <f>transport!C14</f>
        <v>0</v>
      </c>
      <c r="D9" s="465">
        <f>transport!D14</f>
        <v>3.9712236441596112</v>
      </c>
      <c r="E9" s="465">
        <f>transport!E14</f>
        <v>389.39582542026847</v>
      </c>
      <c r="F9" s="465">
        <f>transport!F14</f>
        <v>0</v>
      </c>
      <c r="G9" s="465">
        <f>transport!G14</f>
        <v>64852.079511596421</v>
      </c>
      <c r="H9" s="465">
        <f>transport!H14</f>
        <v>12983.895894173953</v>
      </c>
      <c r="I9" s="465">
        <f>transport!I14</f>
        <v>0</v>
      </c>
      <c r="J9" s="465">
        <f>transport!J14</f>
        <v>0</v>
      </c>
      <c r="K9" s="465">
        <f>transport!K14</f>
        <v>0</v>
      </c>
      <c r="L9" s="465">
        <f>transport!L14</f>
        <v>0</v>
      </c>
      <c r="M9" s="465">
        <f>transport!M14</f>
        <v>3401.1632172319887</v>
      </c>
      <c r="N9" s="465">
        <f>transport!N14</f>
        <v>0</v>
      </c>
      <c r="O9" s="465">
        <f>transport!O14</f>
        <v>0</v>
      </c>
      <c r="P9" s="465">
        <f>transport!P14</f>
        <v>0</v>
      </c>
      <c r="Q9" s="464">
        <f>SUM(B9:P9)</f>
        <v>81631.156865408338</v>
      </c>
    </row>
    <row r="10" spans="1:17">
      <c r="A10" s="460" t="s">
        <v>564</v>
      </c>
      <c r="B10" s="461">
        <f>transport!B54</f>
        <v>0</v>
      </c>
      <c r="C10" s="461">
        <f>transport!C54</f>
        <v>0</v>
      </c>
      <c r="D10" s="461">
        <f>transport!D54</f>
        <v>0</v>
      </c>
      <c r="E10" s="461">
        <f>transport!E54</f>
        <v>0</v>
      </c>
      <c r="F10" s="461">
        <f>transport!F54</f>
        <v>0</v>
      </c>
      <c r="G10" s="461">
        <f>transport!G54</f>
        <v>1280.9049173349945</v>
      </c>
      <c r="H10" s="461">
        <f>transport!H54</f>
        <v>0</v>
      </c>
      <c r="I10" s="461">
        <f>transport!I54</f>
        <v>0</v>
      </c>
      <c r="J10" s="461">
        <f>transport!J54</f>
        <v>0</v>
      </c>
      <c r="K10" s="461">
        <f>transport!K54</f>
        <v>0</v>
      </c>
      <c r="L10" s="461">
        <f>transport!L54</f>
        <v>0</v>
      </c>
      <c r="M10" s="461">
        <f>transport!M54</f>
        <v>54.599411764593171</v>
      </c>
      <c r="N10" s="461">
        <f>transport!N54</f>
        <v>0</v>
      </c>
      <c r="O10" s="461">
        <f>transport!O54</f>
        <v>0</v>
      </c>
      <c r="P10" s="462">
        <f>transport!P54</f>
        <v>0</v>
      </c>
      <c r="Q10" s="460">
        <f t="shared" si="0"/>
        <v>1335.5043290995877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93833.441114795729</v>
      </c>
      <c r="C14" s="471">
        <f t="shared" ref="C14:Q14" ca="1" si="1">SUM(C4:C13)</f>
        <v>0</v>
      </c>
      <c r="D14" s="471">
        <f t="shared" ca="1" si="1"/>
        <v>237886.94720131744</v>
      </c>
      <c r="E14" s="471">
        <f t="shared" si="1"/>
        <v>4844.4244278107708</v>
      </c>
      <c r="F14" s="471">
        <f t="shared" ca="1" si="1"/>
        <v>84948.484390970116</v>
      </c>
      <c r="G14" s="471">
        <f t="shared" si="1"/>
        <v>66132.984428931421</v>
      </c>
      <c r="H14" s="471">
        <f t="shared" si="1"/>
        <v>12983.895894173953</v>
      </c>
      <c r="I14" s="471">
        <f t="shared" si="1"/>
        <v>0</v>
      </c>
      <c r="J14" s="471">
        <f t="shared" si="1"/>
        <v>3821.7856274181049</v>
      </c>
      <c r="K14" s="471">
        <f t="shared" si="1"/>
        <v>0</v>
      </c>
      <c r="L14" s="471">
        <f t="shared" ca="1" si="1"/>
        <v>0</v>
      </c>
      <c r="M14" s="471">
        <f t="shared" si="1"/>
        <v>3455.762628996582</v>
      </c>
      <c r="N14" s="471">
        <f t="shared" ca="1" si="1"/>
        <v>17305.953421154558</v>
      </c>
      <c r="O14" s="471">
        <f t="shared" si="1"/>
        <v>186.03666666666669</v>
      </c>
      <c r="P14" s="472">
        <f t="shared" si="1"/>
        <v>362.26666666666665</v>
      </c>
      <c r="Q14" s="472">
        <f t="shared" ca="1" si="1"/>
        <v>525761.9824689019</v>
      </c>
    </row>
    <row r="16" spans="1:17">
      <c r="A16" s="474" t="s">
        <v>569</v>
      </c>
      <c r="B16" s="828">
        <f ca="1">huishoudens!B10</f>
        <v>0.21226965366277159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9540.9879280672885</v>
      </c>
      <c r="C21" s="461">
        <f t="shared" ref="C21:C30" ca="1" si="3">C4*$C$16</f>
        <v>0</v>
      </c>
      <c r="D21" s="461">
        <f t="shared" ref="D21:D30" si="4">D4*$D$16</f>
        <v>12932.641766265695</v>
      </c>
      <c r="E21" s="461">
        <f t="shared" ref="E21:E30" si="5">E4*$E$16</f>
        <v>857.72205227073096</v>
      </c>
      <c r="F21" s="461">
        <f t="shared" ref="F21:F30" si="6">F4*$F$16</f>
        <v>16495.266840221408</v>
      </c>
      <c r="G21" s="461">
        <f t="shared" ref="G21:G30" si="7">G4*$G$16</f>
        <v>0</v>
      </c>
      <c r="H21" s="461">
        <f t="shared" ref="H21:H30" si="8">H4*$H$16</f>
        <v>0</v>
      </c>
      <c r="I21" s="461">
        <f t="shared" ref="I21:I30" si="9">I4*$I$16</f>
        <v>0</v>
      </c>
      <c r="J21" s="461">
        <f t="shared" ref="J21:J30" si="10">J4*$J$16</f>
        <v>1224.6762508993465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41051.294837724468</v>
      </c>
    </row>
    <row r="22" spans="1:17">
      <c r="A22" s="460" t="s">
        <v>156</v>
      </c>
      <c r="B22" s="461">
        <f t="shared" ca="1" si="2"/>
        <v>4988.1253671839359</v>
      </c>
      <c r="C22" s="461">
        <f t="shared" ca="1" si="3"/>
        <v>0</v>
      </c>
      <c r="D22" s="461">
        <f t="shared" ca="1" si="4"/>
        <v>3922.7211358048985</v>
      </c>
      <c r="E22" s="461">
        <f t="shared" si="5"/>
        <v>103.29850138555615</v>
      </c>
      <c r="F22" s="461">
        <f t="shared" ca="1" si="6"/>
        <v>1227.1579198270431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10241.302924201433</v>
      </c>
    </row>
    <row r="23" spans="1:17">
      <c r="A23" s="460" t="s">
        <v>195</v>
      </c>
      <c r="B23" s="461">
        <f t="shared" ca="1" si="2"/>
        <v>442.82718706720561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442.82718706720561</v>
      </c>
    </row>
    <row r="24" spans="1:17">
      <c r="A24" s="460" t="s">
        <v>112</v>
      </c>
      <c r="B24" s="461">
        <f t="shared" ca="1" si="2"/>
        <v>571.86487511904863</v>
      </c>
      <c r="C24" s="461">
        <f t="shared" ca="1" si="3"/>
        <v>0</v>
      </c>
      <c r="D24" s="461">
        <f t="shared" si="4"/>
        <v>878.80719590583806</v>
      </c>
      <c r="E24" s="461">
        <f t="shared" si="5"/>
        <v>6.4042751127246289</v>
      </c>
      <c r="F24" s="461">
        <f t="shared" si="6"/>
        <v>3694.4964281028338</v>
      </c>
      <c r="G24" s="461">
        <f t="shared" si="7"/>
        <v>0</v>
      </c>
      <c r="H24" s="461">
        <f t="shared" si="8"/>
        <v>0</v>
      </c>
      <c r="I24" s="461">
        <f t="shared" si="9"/>
        <v>0</v>
      </c>
      <c r="J24" s="461">
        <f t="shared" si="10"/>
        <v>85.173367909301135</v>
      </c>
      <c r="K24" s="461">
        <f t="shared" si="11"/>
        <v>0</v>
      </c>
      <c r="L24" s="461">
        <f t="shared" si="12"/>
        <v>0</v>
      </c>
      <c r="M24" s="461">
        <f t="shared" si="13"/>
        <v>0</v>
      </c>
      <c r="N24" s="461">
        <f t="shared" si="14"/>
        <v>0</v>
      </c>
      <c r="O24" s="461">
        <f t="shared" si="15"/>
        <v>0</v>
      </c>
      <c r="P24" s="462">
        <f t="shared" si="16"/>
        <v>0</v>
      </c>
      <c r="Q24" s="460">
        <f t="shared" ca="1" si="17"/>
        <v>5236.7461421497464</v>
      </c>
    </row>
    <row r="25" spans="1:17">
      <c r="A25" s="460" t="s">
        <v>656</v>
      </c>
      <c r="B25" s="461">
        <f t="shared" ca="1" si="2"/>
        <v>4374.0484614012057</v>
      </c>
      <c r="C25" s="461">
        <f t="shared" ca="1" si="3"/>
        <v>0</v>
      </c>
      <c r="D25" s="461">
        <f t="shared" si="4"/>
        <v>30318.191049513574</v>
      </c>
      <c r="E25" s="461">
        <f t="shared" si="5"/>
        <v>43.866663973632299</v>
      </c>
      <c r="F25" s="461">
        <f t="shared" si="6"/>
        <v>1264.3241442377384</v>
      </c>
      <c r="G25" s="461">
        <f t="shared" si="7"/>
        <v>0</v>
      </c>
      <c r="H25" s="461">
        <f t="shared" si="8"/>
        <v>0</v>
      </c>
      <c r="I25" s="461">
        <f t="shared" si="9"/>
        <v>0</v>
      </c>
      <c r="J25" s="461">
        <f t="shared" si="10"/>
        <v>43.062493297361442</v>
      </c>
      <c r="K25" s="461">
        <f t="shared" si="11"/>
        <v>0</v>
      </c>
      <c r="L25" s="461">
        <f t="shared" si="12"/>
        <v>0</v>
      </c>
      <c r="M25" s="461">
        <f t="shared" si="13"/>
        <v>0</v>
      </c>
      <c r="N25" s="461">
        <f t="shared" si="14"/>
        <v>0</v>
      </c>
      <c r="O25" s="461">
        <f t="shared" si="15"/>
        <v>0</v>
      </c>
      <c r="P25" s="462">
        <f t="shared" si="16"/>
        <v>0</v>
      </c>
      <c r="Q25" s="460">
        <f t="shared" ca="1" si="17"/>
        <v>36043.492812423508</v>
      </c>
    </row>
    <row r="26" spans="1:17" s="466" customFormat="1">
      <c r="A26" s="464" t="s">
        <v>574</v>
      </c>
      <c r="B26" s="822">
        <f t="shared" ca="1" si="2"/>
        <v>0.13822858507616764</v>
      </c>
      <c r="C26" s="465">
        <f t="shared" ca="1" si="3"/>
        <v>0</v>
      </c>
      <c r="D26" s="465">
        <f t="shared" si="4"/>
        <v>0.80218717612024149</v>
      </c>
      <c r="E26" s="465">
        <f t="shared" si="5"/>
        <v>88.392852370400945</v>
      </c>
      <c r="F26" s="465">
        <f t="shared" si="6"/>
        <v>0</v>
      </c>
      <c r="G26" s="465">
        <f t="shared" si="7"/>
        <v>17315.505229596245</v>
      </c>
      <c r="H26" s="465">
        <f t="shared" si="8"/>
        <v>3232.9900776493141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20637.828575377156</v>
      </c>
    </row>
    <row r="27" spans="1:17">
      <c r="A27" s="460" t="s">
        <v>564</v>
      </c>
      <c r="B27" s="461">
        <f t="shared" ca="1" si="2"/>
        <v>0</v>
      </c>
      <c r="C27" s="461">
        <f t="shared" ca="1" si="3"/>
        <v>0</v>
      </c>
      <c r="D27" s="461">
        <f t="shared" si="4"/>
        <v>0</v>
      </c>
      <c r="E27" s="461">
        <f t="shared" si="5"/>
        <v>0</v>
      </c>
      <c r="F27" s="461">
        <f t="shared" si="6"/>
        <v>0</v>
      </c>
      <c r="G27" s="461">
        <f t="shared" si="7"/>
        <v>342.00161292844354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342.00161292844354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19917.992047423759</v>
      </c>
      <c r="C31" s="471">
        <f t="shared" ca="1" si="18"/>
        <v>0</v>
      </c>
      <c r="D31" s="471">
        <f t="shared" ca="1" si="18"/>
        <v>48053.163334666133</v>
      </c>
      <c r="E31" s="471">
        <f t="shared" si="18"/>
        <v>1099.6843451130449</v>
      </c>
      <c r="F31" s="471">
        <f t="shared" ca="1" si="18"/>
        <v>22681.245332389022</v>
      </c>
      <c r="G31" s="471">
        <f t="shared" si="18"/>
        <v>17657.50684252469</v>
      </c>
      <c r="H31" s="471">
        <f t="shared" si="18"/>
        <v>3232.9900776493141</v>
      </c>
      <c r="I31" s="471">
        <f t="shared" si="18"/>
        <v>0</v>
      </c>
      <c r="J31" s="471">
        <f t="shared" si="18"/>
        <v>1352.9121121060091</v>
      </c>
      <c r="K31" s="471">
        <f t="shared" si="18"/>
        <v>0</v>
      </c>
      <c r="L31" s="471">
        <f t="shared" ca="1" si="18"/>
        <v>0</v>
      </c>
      <c r="M31" s="471">
        <f t="shared" si="18"/>
        <v>0</v>
      </c>
      <c r="N31" s="471">
        <f t="shared" ca="1" si="18"/>
        <v>0</v>
      </c>
      <c r="O31" s="471">
        <f t="shared" si="18"/>
        <v>0</v>
      </c>
      <c r="P31" s="472">
        <f t="shared" si="18"/>
        <v>0</v>
      </c>
      <c r="Q31" s="472">
        <f t="shared" ca="1" si="18"/>
        <v>113995.49409187197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0.21226965366277159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0.21226965366277159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0.21226965366277159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2018-06-27T09:01:29Z</dcterms:modified>
</cp:coreProperties>
</file>