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B97" i="18"/>
  <c r="H101" s="1"/>
  <c r="J16" s="1"/>
  <c r="K78" i="14" s="1"/>
  <c r="K81" s="1"/>
  <c r="L68"/>
  <c r="D8" i="17"/>
  <c r="F16" i="16"/>
  <c r="D13" i="15"/>
  <c r="C13"/>
  <c r="D12" i="22"/>
  <c r="E17" i="14"/>
  <c r="D13" i="48"/>
  <c r="D31" i="20"/>
  <c r="E43" i="14" s="1"/>
  <c r="D101" i="18"/>
  <c r="G101"/>
  <c r="C101"/>
  <c r="E12" i="22"/>
  <c r="F17" i="14"/>
  <c r="E13" i="48"/>
  <c r="B12" i="22"/>
  <c r="C17" i="14"/>
  <c r="B13" i="48"/>
  <c r="B13" i="16"/>
  <c r="C35"/>
  <c r="C64" i="14"/>
  <c r="D11" i="48"/>
  <c r="D14" i="15"/>
  <c r="K19" i="19"/>
  <c r="L35" i="14" s="1"/>
  <c r="I19" i="19"/>
  <c r="J35" i="14" s="1"/>
  <c r="B6" i="48"/>
  <c r="Q6" s="1"/>
  <c r="P22" i="16"/>
  <c r="Q39" i="14" s="1"/>
  <c r="P18" i="16"/>
  <c r="Q13" i="14" s="1"/>
  <c r="J8" i="17"/>
  <c r="J7" i="48" s="1"/>
  <c r="J24" s="1"/>
  <c r="G19" i="18"/>
  <c r="K19"/>
  <c r="L16" i="16"/>
  <c r="L18" s="1"/>
  <c r="N6" i="17"/>
  <c r="C100" i="18"/>
  <c r="G100"/>
  <c r="B81" i="14"/>
  <c r="F100" i="18"/>
  <c r="E31" i="20"/>
  <c r="F43" i="14" s="1"/>
  <c r="H14" i="22"/>
  <c r="F8" i="17"/>
  <c r="G22" i="14" s="1"/>
  <c r="D100" i="18"/>
  <c r="H100"/>
  <c r="B100"/>
  <c r="C7" s="1"/>
  <c r="D67" i="14" s="1"/>
  <c r="E9"/>
  <c r="J9"/>
  <c r="N9"/>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J15"/>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D30"/>
  <c r="P30"/>
  <c r="E23"/>
  <c r="I23"/>
  <c r="O24"/>
  <c r="I25"/>
  <c r="P11" i="14"/>
  <c r="O12" i="13"/>
  <c r="P37" i="14" s="1"/>
  <c r="F69"/>
  <c r="C9" i="18"/>
  <c r="H9"/>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L5" i="17" l="1"/>
  <c r="L8" s="1"/>
  <c r="I16" i="18"/>
  <c r="L29" i="48"/>
  <c r="G31" i="20"/>
  <c r="H43" i="14" s="1"/>
  <c r="B101" i="18"/>
  <c r="C16" s="1"/>
  <c r="D78" i="14" s="1"/>
  <c r="F7" i="48"/>
  <c r="F24" s="1"/>
  <c r="L30"/>
  <c r="B35" i="13"/>
  <c r="B47" s="1"/>
  <c r="I101" i="18"/>
  <c r="H16" s="1"/>
  <c r="J12" i="17"/>
  <c r="K48" i="14" s="1"/>
  <c r="F12" i="17"/>
  <c r="G48" i="14" s="1"/>
  <c r="E101" i="18"/>
  <c r="E16" s="1"/>
  <c r="N5" i="17"/>
  <c r="N8" s="1"/>
  <c r="E9" i="18"/>
  <c r="J41" i="14"/>
  <c r="G13" i="48"/>
  <c r="G30" s="1"/>
  <c r="F101" i="18"/>
  <c r="H17" i="14"/>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12" i="17"/>
  <c r="F48" i="14" s="1"/>
  <c r="C5" i="48"/>
  <c r="C14" s="1"/>
  <c r="L7" l="1"/>
  <c r="L24" s="1"/>
  <c r="L12" i="17"/>
  <c r="M48" i="14" s="1"/>
  <c r="M22"/>
  <c r="O22"/>
  <c r="N12" i="17"/>
  <c r="O48" i="14" s="1"/>
  <c r="N7" i="48"/>
  <c r="N24" s="1"/>
  <c r="J78" i="14"/>
  <c r="J81" s="1"/>
  <c r="I19" i="18"/>
  <c r="E19" i="14"/>
  <c r="E20" s="1"/>
  <c r="O81"/>
  <c r="B17" i="6" s="1"/>
  <c r="I78" i="14"/>
  <c r="H19" i="18"/>
  <c r="M16"/>
  <c r="M19" s="1"/>
  <c r="E7" i="48"/>
  <c r="E24" s="1"/>
  <c r="F78" i="14"/>
  <c r="F81" s="1"/>
  <c r="E19" i="18"/>
  <c r="E13" i="14"/>
  <c r="O78"/>
  <c r="R22"/>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I81" i="14" l="1"/>
  <c r="C78"/>
  <c r="C81" s="1"/>
  <c r="E23"/>
  <c r="Q7" i="48"/>
  <c r="L3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5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<sst xmlns="http://schemas.openxmlformats.org/spreadsheetml/2006/main" count="2029" uniqueCount="894">
  <si>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</si>
  <si>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</si>
  <si>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</si>
  <si>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</si>
  <si>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</si>
  <si>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</si>
  <si>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</si>
  <si>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</si>
  <si>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</si>
  <si>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</si>
  <si>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</si>
  <si>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</si>
  <si>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</si>
  <si>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</si>
  <si>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</si>
  <si>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</si>
  <si>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</si>
  <si>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</si>
  <si>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</si>
  <si>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</si>
  <si>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</si>
  <si>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</si>
  <si>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</si>
  <si>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</si>
  <si>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</si>
  <si>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</si>
  <si>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</si>
  <si>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</si>
  <si>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</si>
  <si>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</si>
  <si>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</si>
  <si>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</si>
  <si>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</si>
  <si>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</si>
  <si>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</si>
  <si>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</si>
  <si>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</si>
  <si>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</si>
  <si>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</si>
  <si>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</si>
  <si>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</si>
  <si>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</si>
  <si>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</si>
  <si>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</si>
  <si>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</si>
  <si>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</si>
  <si>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</si>
  <si>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</si>
  <si>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</si>
  <si>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</si>
  <si>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</si>
  <si>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</si>
  <si>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</si>
  <si>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</si>
  <si>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</si>
  <si>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</si>
  <si>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</si>
  <si>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</si>
  <si>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</si>
  <si>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</si>
  <si>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</si>
  <si>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</si>
  <si>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</si>
  <si>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</si>
  <si>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</si>
  <si>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</si>
  <si>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</si>
  <si>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</si>
  <si>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</si>
  <si>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</si>
  <si>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</si>
  <si>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</si>
  <si>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</si>
  <si>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</si>
  <si>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</si>
  <si>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</si>
  <si>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</si>
  <si>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</si>
  <si>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</si>
  <si>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</si>
  <si>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</si>
  <si>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</si>
  <si>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</si>
  <si>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</si>
  <si>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</si>
  <si>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</si>
  <si>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</si>
  <si>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</si>
  <si>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</si>
  <si>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</si>
  <si>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</si>
  <si>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</si>
  <si>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</si>
  <si>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</si>
  <si>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</si>
  <si>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</si>
  <si>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</si>
  <si>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</si>
  <si>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</si>
  <si>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</si>
  <si>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</si>
  <si>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</si>
  <si>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</si>
  <si>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</si>
  <si>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</si>
  <si>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</si>
  <si>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</si>
  <si>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</si>
  <si>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</si>
  <si>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</si>
  <si>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</si>
  <si>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</si>
  <si>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</si>
  <si>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</si>
  <si>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</si>
  <si>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</si>
  <si>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</si>
  <si>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</si>
  <si>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</si>
  <si>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</si>
  <si>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</si>
  <si>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</si>
  <si>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</si>
  <si>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</si>
  <si>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</si>
  <si>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</si>
  <si>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</si>
  <si>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</si>
  <si>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</si>
  <si>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</si>
  <si>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</si>
  <si>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</si>
  <si>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</si>
  <si>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</si>
  <si>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</si>
  <si>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</si>
  <si>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</si>
  <si>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</si>
  <si>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</si>
  <si>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</si>
  <si>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</si>
  <si>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</si>
  <si>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</si>
  <si>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</si>
  <si>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</si>
  <si>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</si>
  <si>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</si>
  <si>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</si>
  <si>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</si>
  <si>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</si>
  <si>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</si>
  <si>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</si>
  <si>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</si>
  <si>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</si>
  <si>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</si>
  <si>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</si>
  <si>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</si>
  <si>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</si>
  <si>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</si>
  <si>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</si>
  <si>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</si>
  <si>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</si>
  <si>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</si>
  <si>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</si>
  <si>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</si>
  <si>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</si>
  <si>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</si>
  <si>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</si>
  <si>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</si>
  <si>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</si>
  <si>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</si>
  <si>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</si>
  <si>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</si>
  <si>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</si>
  <si>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</si>
  <si>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</si>
  <si>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</si>
  <si>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</si>
  <si>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</si>
  <si>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</si>
  <si>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</si>
  <si>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</si>
  <si>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</si>
  <si>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</si>
  <si>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</si>
  <si>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</si>
  <si>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</si>
  <si>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</si>
  <si>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</si>
  <si>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</si>
  <si>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</si>
  <si>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</si>
  <si>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</si>
  <si>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</si>
  <si>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</si>
  <si>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</si>
  <si>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</si>
  <si>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</si>
  <si>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</si>
  <si>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</si>
  <si>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</si>
  <si>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</si>
  <si>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</si>
  <si>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</si>
  <si>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</si>
  <si>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</si>
  <si>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</si>
  <si>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</si>
  <si>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</si>
  <si>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</si>
  <si>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</si>
  <si>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</si>
  <si>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</si>
  <si>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</si>
  <si>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</si>
  <si>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</si>
  <si>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</si>
  <si>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</si>
  <si>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</si>
  <si>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</si>
  <si>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</si>
  <si>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</si>
  <si>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</si>
  <si>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</si>
  <si>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</si>
  <si>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</si>
  <si>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</si>
  <si>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</si>
  <si>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</si>
  <si>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</si>
  <si>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</si>
  <si>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</si>
  <si>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</si>
  <si>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</si>
  <si>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</si>
  <si>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</si>
  <si>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</si>
  <si>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</si>
  <si>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</si>
  <si>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</si>
  <si>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</si>
  <si>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</si>
  <si>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</si>
  <si>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</si>
  <si>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</si>
  <si>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</si>
  <si>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</si>
  <si>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</si>
  <si>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</si>
  <si>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</si>
  <si>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</si>
  <si>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</si>
  <si>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</si>
  <si>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</si>
  <si>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</si>
  <si>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</si>
  <si>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</si>
  <si>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</si>
  <si>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</si>
  <si>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</si>
  <si>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</si>
  <si>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</si>
  <si>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</si>
  <si>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</si>
  <si>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</si>
  <si>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</si>
  <si>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</si>
  <si>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</si>
  <si>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</si>
  <si>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</si>
  <si>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</si>
  <si>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</si>
  <si>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</si>
  <si>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</si>
  <si>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</si>
  <si>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</si>
  <si>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</si>
  <si>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</si>
  <si>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</si>
  <si>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</si>
  <si>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</si>
  <si>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</si>
  <si>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</si>
  <si>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</si>
  <si>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</si>
  <si>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</si>
  <si>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</si>
  <si>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</si>
  <si>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</si>
  <si>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</si>
  <si>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</si>
  <si>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</si>
  <si>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</si>
  <si>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</si>
  <si>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</si>
  <si>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</si>
  <si>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</si>
  <si>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</si>
  <si>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</si>
  <si>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</si>
  <si>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</si>
  <si>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</si>
  <si>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</si>
  <si>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</si>
  <si>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</si>
  <si>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</si>
  <si>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</si>
  <si>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</si>
  <si>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</si>
  <si>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</si>
  <si>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</si>
  <si>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</si>
  <si>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</si>
  <si>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</si>
  <si>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</si>
  <si>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</si>
  <si>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</si>
  <si>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</si>
  <si>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</si>
  <si>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</si>
  <si>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</si>
  <si>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</si>
  <si>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</si>
  <si>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</si>
  <si>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</si>
  <si>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</si>
  <si>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</si>
  <si>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</si>
  <si>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</si>
  <si>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</si>
  <si>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</si>
  <si>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</si>
  <si>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</si>
  <si>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</si>
  <si>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</si>
  <si>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</si>
  <si>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</si>
  <si>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</si>
  <si>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</si>
  <si>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</si>
  <si>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</si>
  <si>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</si>
  <si>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</si>
  <si>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</si>
  <si>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</si>
  <si>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</si>
  <si>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</si>
  <si>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</si>
  <si>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</si>
  <si>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</si>
  <si>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</si>
  <si>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</si>
  <si>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</si>
  <si>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</si>
  <si>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</si>
  <si>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</si>
  <si>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</si>
  <si>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</si>
  <si>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</si>
  <si>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</si>
  <si>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</si>
  <si>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</si>
  <si>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</si>
  <si>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</si>
  <si>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</si>
  <si>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</si>
  <si>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</si>
  <si>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</si>
  <si>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</si>
  <si>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</si>
  <si>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</si>
  <si>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</si>
  <si>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</si>
  <si>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</si>
  <si>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</si>
  <si>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</si>
  <si>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</si>
  <si>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</si>
  <si>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</si>
  <si>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</si>
  <si>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</si>
  <si>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</si>
  <si>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</si>
  <si>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</si>
  <si>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</si>
  <si>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</si>
  <si>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</si>
  <si>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</si>
  <si>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</si>
  <si>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</si>
  <si>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</si>
  <si>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</si>
  <si>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</si>
  <si>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</si>
  <si>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</si>
  <si>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</si>
  <si>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</si>
  <si>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</si>
  <si>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</si>
  <si>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</si>
  <si>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</si>
  <si>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</si>
  <si>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</si>
  <si>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</si>
  <si>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</si>
  <si>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</si>
  <si>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</si>
  <si>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</si>
  <si>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</si>
  <si>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</si>
  <si>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</si>
  <si>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</si>
  <si>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</si>
  <si>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</si>
  <si>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</si>
  <si>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</si>
  <si>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</si>
  <si>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</si>
  <si>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</si>
  <si>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</si>
  <si>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</si>
  <si>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</si>
  <si>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</si>
  <si>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</si>
  <si>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</si>
  <si>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</si>
  <si>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</si>
  <si>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</si>
  <si>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</si>
  <si>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</si>
  <si>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</si>
  <si>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</si>
  <si>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</si>
  <si>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</si>
  <si>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</si>
  <si>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</si>
  <si>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</si>
  <si>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</si>
  <si>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</si>
  <si>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</si>
  <si>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</si>
  <si>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</si>
  <si>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</si>
  <si>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</si>
  <si>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</si>
  <si>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</si>
  <si>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</si>
  <si>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</si>
  <si>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</si>
  <si>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</si>
  <si>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</si>
  <si>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</si>
  <si>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</si>
  <si>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</si>
  <si>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</si>
  <si>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</si>
  <si>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</si>
  <si>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</si>
  <si>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</si>
  <si>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</si>
  <si>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</si>
  <si>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</si>
  <si>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</si>
  <si>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</si>
  <si>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</si>
  <si>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</si>
  <si>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</si>
  <si>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</si>
  <si>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</si>
  <si>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</si>
  <si>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</si>
  <si>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</si>
  <si>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</si>
  <si>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</si>
  <si>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</si>
  <si>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</si>
  <si>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</si>
  <si>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</si>
  <si>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</si>
  <si>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</si>
  <si>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</si>
  <si>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</si>
  <si>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</si>
  <si>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</si>
  <si>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</si>
  <si>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</si>
  <si>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</si>
  <si>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</si>
  <si>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</si>
  <si>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</si>
  <si>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</si>
  <si>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</si>
  <si>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</si>
  <si>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</si>
  <si>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</si>
  <si>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</si>
  <si>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</si>
  <si>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</si>
  <si>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</si>
  <si>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</si>
  <si>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</si>
  <si>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</si>
  <si>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</si>
  <si>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</si>
  <si>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</si>
  <si>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</si>
  <si>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</si>
  <si>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</si>
  <si>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</si>
  <si>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</si>
  <si>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</si>
  <si>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</si>
  <si>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</si>
  <si>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</si>
  <si>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</si>
  <si>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</si>
  <si>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</si>
  <si>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</si>
  <si>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</si>
  <si>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</si>
  <si>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</si>
  <si>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</si>
  <si>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</si>
  <si>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</si>
  <si>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</si>
  <si>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</si>
  <si>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</si>
  <si>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</si>
  <si>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</si>
  <si>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</si>
  <si>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</si>
  <si>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</si>
  <si>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</si>
  <si>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</si>
  <si>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</si>
  <si>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</si>
  <si>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</si>
  <si>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</si>
  <si>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</si>
  <si>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</si>
  <si>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</si>
  <si>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</si>
  <si>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</si>
  <si>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</si>
  <si>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</si>
  <si>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</si>
  <si>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</si>
  <si>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</si>
  <si>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</si>
  <si>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</si>
  <si>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</si>
  <si>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</si>
  <si>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</si>
  <si>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</si>
  <si>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</si>
  <si>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</si>
  <si>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</si>
  <si>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</si>
  <si>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</si>
  <si>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</si>
  <si>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</si>
  <si>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</si>
  <si>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</si>
  <si>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</si>
  <si>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</si>
  <si>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</si>
  <si>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</si>
  <si>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</si>
  <si>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</si>
  <si>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</si>
  <si>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</si>
  <si>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</si>
  <si>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</si>
  <si>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</si>
  <si>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</si>
  <si>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</si>
  <si>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</si>
  <si>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</si>
  <si>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</si>
  <si>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</si>
  <si>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</si>
  <si>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</si>
  <si>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</si>
  <si>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</si>
  <si>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</si>
  <si>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</si>
  <si>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</si>
  <si>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</si>
  <si>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</si>
  <si>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</si>
  <si>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</si>
  <si>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</si>
  <si>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</si>
  <si>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</si>
  <si>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</si>
  <si>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</si>
  <si>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</si>
  <si>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</si>
  <si>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</si>
  <si>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</si>
  <si>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</si>
  <si>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</si>
  <si>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</si>
  <si>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</si>
  <si>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</si>
  <si>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</si>
  <si>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</si>
  <si>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</si>
  <si>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</si>
  <si>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</si>
  <si>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</si>
  <si>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</si>
  <si>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</si>
  <si>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</si>
  <si>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</si>
  <si>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</si>
  <si>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</si>
  <si>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</si>
  <si>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</si>
  <si>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</si>
  <si>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</si>
  <si>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</si>
  <si>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</si>
  <si>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</si>
  <si>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</si>
  <si>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</si>
  <si>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</si>
  <si>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</si>
  <si>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</si>
  <si>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</si>
  <si>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</si>
  <si>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</si>
  <si>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</si>
  <si>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</si>
  <si>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</si>
  <si>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</si>
  <si>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</si>
  <si>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</si>
  <si>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</si>
  <si>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</si>
  <si>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</si>
  <si>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</si>
  <si>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</si>
  <si>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</si>
  <si>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</si>
  <si>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</si>
  <si>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</si>
  <si>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</si>
  <si>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</si>
  <si>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</si>
  <si>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</si>
  <si>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</si>
  <si>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</si>
  <si>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</si>
  <si>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</si>
  <si>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</si>
  <si>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</si>
  <si>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</si>
  <si>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</si>
  <si>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</si>
  <si>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</si>
  <si>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</si>
  <si>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</si>
  <si>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</si>
  <si>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</si>
  <si>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</si>
  <si>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</si>
  <si>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</si>
  <si>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</si>
  <si>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</si>
  <si>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</si>
  <si>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</si>
  <si>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</si>
  <si>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</si>
  <si>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</si>
  <si>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</si>
  <si>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</si>
  <si>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</si>
  <si>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</si>
  <si>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</si>
  <si>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</si>
  <si>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</si>
  <si>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</si>
  <si>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</si>
  <si>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</si>
  <si>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</si>
  <si>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</si>
  <si>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</si>
  <si>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</si>
  <si>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</si>
  <si>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</si>
  <si>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</si>
  <si>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</si>
  <si>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</si>
  <si>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</si>
  <si>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</si>
  <si>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</si>
  <si>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</si>
  <si>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</si>
  <si>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</si>
  <si>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</si>
  <si>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</si>
  <si>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</si>
  <si>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</si>
  <si>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</si>
  <si>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</si>
  <si>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</si>
  <si>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</si>
  <si>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</si>
  <si>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</si>
  <si>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</si>
  <si>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</si>
  <si>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</si>
  <si>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</si>
  <si>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</si>
  <si>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</si>
  <si>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</si>
  <si>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</si>
  <si>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</si>
  <si>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</si>
  <si>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</si>
  <si>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</si>
  <si>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</si>
  <si>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</si>
  <si>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</si>
  <si>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</si>
  <si>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</si>
  <si>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</si>
  <si>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</si>
  <si>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</si>
  <si>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</si>
  <si>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</si>
  <si>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</si>
  <si>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</si>
  <si>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</si>
  <si>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</si>
  <si>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</si>
  <si>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</si>
  <si>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</si>
  <si>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</si>
  <si>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</si>
  <si>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</si>
  <si>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</si>
  <si>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</si>
  <si>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</si>
  <si>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</si>
  <si>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</si>
  <si>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</si>
  <si>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</si>
  <si>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</si>
  <si>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</si>
  <si>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</si>
  <si>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</si>
  <si>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</si>
  <si>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</si>
  <si>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</si>
  <si>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</si>
  <si>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</si>
  <si>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</si>
  <si>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</si>
  <si>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</si>
  <si>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</si>
  <si>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</si>
  <si>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</si>
  <si>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</si>
  <si>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</si>
  <si>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</si>
  <si>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</si>
  <si>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</si>
  <si>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</si>
  <si>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</si>
  <si>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</si>
  <si>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</si>
  <si>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</si>
  <si>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</si>
  <si>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</si>
  <si>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</si>
  <si>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</si>
  <si>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</si>
  <si>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</si>
  <si>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</si>
  <si>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</si>
  <si>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</si>
  <si>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</si>
  <si>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</si>
  <si>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</si>
  <si>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</si>
  <si>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</si>
  <si>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</si>
  <si>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</si>
  <si>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</si>
  <si>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</si>
  <si>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</si>
  <si>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</si>
  <si>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</si>
  <si>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</si>
  <si>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</si>
  <si>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</si>
  <si>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</si>
  <si>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</si>
  <si>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</si>
  <si>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</si>
  <si>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</si>
  <si>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</si>
  <si>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</si>
  <si>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</si>
  <si>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</si>
  <si>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</si>
  <si>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</si>
  <si>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</si>
  <si>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</si>
  <si>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</si>
  <si>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</si>
  <si>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</si>
  <si>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</si>
  <si>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</si>
  <si>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</si>
  <si>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</si>
  <si>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</si>
  <si>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</si>
  <si>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</si>
  <si>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</si>
  <si>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</si>
  <si>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</si>
  <si>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</si>
  <si>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</si>
  <si>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</si>
  <si>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</si>
  <si>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</si>
  <si>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</si>
  <si>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</si>
  <si>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</si>
  <si>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</si>
  <si>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</si>
  <si>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</si>
  <si>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</si>
  <si>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</si>
  <si>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</si>
  <si>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</si>
  <si>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</si>
  <si>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</si>
  <si>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</si>
  <si>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</si>
  <si>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</si>
  <si>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</si>
  <si>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</si>
  <si>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</si>
  <si>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</si>
  <si>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</si>
  <si>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</si>
  <si>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</si>
  <si>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</si>
  <si>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</si>
  <si>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</si>
  <si>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</si>
  <si>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</si>
  <si>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</si>
  <si>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</si>
  <si>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</si>
  <si>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</si>
  <si>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</si>
  <si>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</si>
  <si>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</si>
  <si>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</si>
  <si>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</si>
  <si>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</si>
  <si>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</si>
  <si>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</si>
  <si>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</si>
  <si>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</si>
  <si>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</si>
  <si>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</si>
  <si>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</si>
  <si>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</si>
  <si>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</si>
  <si>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</si>
  <si>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</si>
  <si>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</si>
  <si>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</si>
  <si>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</si>
  <si>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</si>
  <si>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</si>
  <si>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</si>
  <si>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</si>
  <si>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</si>
  <si>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34027</t>
  </si>
  <si>
    <t>MENEN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</si>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</sst>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34027</v>
      </c>
      <c r="B6" s="396"/>
      <c r="C6" s="397"/>
    </row>
    <row r="7" spans="1:7" s="394" customFormat="1" ht="15.75" customHeight="1">
      <c r="A7" s="398" t="str">
        <f>txtMunicipality</f>
        <v>MENEN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13895</v>
      </c>
      <c r="C9" s="336">
        <v>14721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1479</v>
      </c>
    </row>
    <row r="15" spans="1:6">
      <c r="A15" s="1194" t="s">
        <v>185</v>
      </c>
      <c r="B15" s="333">
        <v>25</v>
      </c>
    </row>
    <row r="16" spans="1:6">
      <c r="A16" s="1194" t="s">
        <v>6</v>
      </c>
      <c r="B16" s="333">
        <v>462</v>
      </c>
    </row>
    <row r="17" spans="1:6">
      <c r="A17" s="1194" t="s">
        <v>7</v>
      </c>
      <c r="B17" s="333">
        <v>344</v>
      </c>
    </row>
    <row r="18" spans="1:6">
      <c r="A18" s="1194" t="s">
        <v>8</v>
      </c>
      <c r="B18" s="333">
        <v>427</v>
      </c>
    </row>
    <row r="19" spans="1:6">
      <c r="A19" s="1194" t="s">
        <v>9</v>
      </c>
      <c r="B19" s="333">
        <v>408</v>
      </c>
    </row>
    <row r="20" spans="1:6">
      <c r="A20" s="1194" t="s">
        <v>10</v>
      </c>
      <c r="B20" s="333">
        <v>424</v>
      </c>
    </row>
    <row r="21" spans="1:6">
      <c r="A21" s="1194" t="s">
        <v>11</v>
      </c>
      <c r="B21" s="333">
        <v>2938</v>
      </c>
    </row>
    <row r="22" spans="1:6">
      <c r="A22" s="1194" t="s">
        <v>12</v>
      </c>
      <c r="B22" s="333">
        <v>7550</v>
      </c>
    </row>
    <row r="23" spans="1:6">
      <c r="A23" s="1194" t="s">
        <v>13</v>
      </c>
      <c r="B23" s="333">
        <v>133</v>
      </c>
    </row>
    <row r="24" spans="1:6">
      <c r="A24" s="1194" t="s">
        <v>14</v>
      </c>
      <c r="B24" s="333">
        <v>10</v>
      </c>
    </row>
    <row r="25" spans="1:6">
      <c r="A25" s="1194" t="s">
        <v>15</v>
      </c>
      <c r="B25" s="333">
        <v>977</v>
      </c>
    </row>
    <row r="26" spans="1:6">
      <c r="A26" s="1194" t="s">
        <v>16</v>
      </c>
      <c r="B26" s="333">
        <v>248</v>
      </c>
    </row>
    <row r="27" spans="1:6">
      <c r="A27" s="1194" t="s">
        <v>17</v>
      </c>
      <c r="B27" s="333">
        <v>0</v>
      </c>
    </row>
    <row r="28" spans="1:6">
      <c r="A28" s="1194" t="s">
        <v>18</v>
      </c>
      <c r="B28" s="333">
        <v>62944</v>
      </c>
    </row>
    <row r="29" spans="1:6">
      <c r="A29" s="1194" t="s">
        <v>888</v>
      </c>
      <c r="B29" s="333">
        <v>107</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20429.309718625402</v>
      </c>
      <c r="E38" s="333">
        <v>4</v>
      </c>
      <c r="F38" s="333">
        <v>24955.318160824299</v>
      </c>
    </row>
    <row r="39" spans="1:6">
      <c r="A39" s="1194" t="s">
        <v>30</v>
      </c>
      <c r="B39" s="1194" t="s">
        <v>31</v>
      </c>
      <c r="C39" s="333">
        <v>11613</v>
      </c>
      <c r="D39" s="333">
        <v>164018645.645762</v>
      </c>
      <c r="E39" s="333">
        <v>13613</v>
      </c>
      <c r="F39" s="333">
        <v>46212062.809806697</v>
      </c>
    </row>
    <row r="40" spans="1:6">
      <c r="A40" s="1194" t="s">
        <v>30</v>
      </c>
      <c r="B40" s="1194" t="s">
        <v>29</v>
      </c>
      <c r="C40" s="333">
        <v>0</v>
      </c>
      <c r="D40" s="333">
        <v>0</v>
      </c>
      <c r="E40" s="333">
        <v>0</v>
      </c>
      <c r="F40" s="333">
        <v>0</v>
      </c>
    </row>
    <row r="41" spans="1:6">
      <c r="A41" s="1194" t="s">
        <v>32</v>
      </c>
      <c r="B41" s="1194" t="s">
        <v>33</v>
      </c>
      <c r="C41" s="333">
        <v>113</v>
      </c>
      <c r="D41" s="333">
        <v>2565517.9021673198</v>
      </c>
      <c r="E41" s="333">
        <v>240</v>
      </c>
      <c r="F41" s="333">
        <v>9188018.37333427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6</v>
      </c>
      <c r="D44" s="333">
        <v>112575.239898042</v>
      </c>
      <c r="E44" s="333">
        <v>25</v>
      </c>
      <c r="F44" s="333">
        <v>647667.29763937404</v>
      </c>
    </row>
    <row r="45" spans="1:6">
      <c r="A45" s="1194" t="s">
        <v>32</v>
      </c>
      <c r="B45" s="1194" t="s">
        <v>37</v>
      </c>
      <c r="C45" s="333">
        <v>3</v>
      </c>
      <c r="D45" s="333">
        <v>78170.194050811202</v>
      </c>
      <c r="E45" s="333">
        <v>5</v>
      </c>
      <c r="F45" s="333">
        <v>51641.947658785699</v>
      </c>
    </row>
    <row r="46" spans="1:6">
      <c r="A46" s="1194" t="s">
        <v>32</v>
      </c>
      <c r="B46" s="1194" t="s">
        <v>38</v>
      </c>
      <c r="C46" s="333">
        <v>0</v>
      </c>
      <c r="D46" s="333">
        <v>0</v>
      </c>
      <c r="E46" s="333">
        <v>0</v>
      </c>
      <c r="F46" s="333">
        <v>0</v>
      </c>
    </row>
    <row r="47" spans="1:6">
      <c r="A47" s="1194" t="s">
        <v>32</v>
      </c>
      <c r="B47" s="1194" t="s">
        <v>39</v>
      </c>
      <c r="C47" s="333">
        <v>7</v>
      </c>
      <c r="D47" s="333">
        <v>150818.83764217899</v>
      </c>
      <c r="E47" s="333">
        <v>10</v>
      </c>
      <c r="F47" s="333">
        <v>92780.356096151401</v>
      </c>
    </row>
    <row r="48" spans="1:6">
      <c r="A48" s="1194" t="s">
        <v>32</v>
      </c>
      <c r="B48" s="1194" t="s">
        <v>29</v>
      </c>
      <c r="C48" s="333">
        <v>50</v>
      </c>
      <c r="D48" s="333">
        <v>55360984.997389697</v>
      </c>
      <c r="E48" s="333">
        <v>69</v>
      </c>
      <c r="F48" s="333">
        <v>26877350.2775467</v>
      </c>
    </row>
    <row r="49" spans="1:6">
      <c r="A49" s="1194" t="s">
        <v>32</v>
      </c>
      <c r="B49" s="1194" t="s">
        <v>40</v>
      </c>
      <c r="C49" s="333">
        <v>4</v>
      </c>
      <c r="D49" s="333">
        <v>730793.56012193696</v>
      </c>
      <c r="E49" s="333">
        <v>20</v>
      </c>
      <c r="F49" s="333">
        <v>2852715.8079433301</v>
      </c>
    </row>
    <row r="50" spans="1:6">
      <c r="A50" s="1194" t="s">
        <v>32</v>
      </c>
      <c r="B50" s="1194" t="s">
        <v>41</v>
      </c>
      <c r="C50" s="333">
        <v>39</v>
      </c>
      <c r="D50" s="333">
        <v>2609557.4963959302</v>
      </c>
      <c r="E50" s="333">
        <v>140</v>
      </c>
      <c r="F50" s="333">
        <v>6716872.63731422</v>
      </c>
    </row>
    <row r="51" spans="1:6">
      <c r="A51" s="1194" t="s">
        <v>42</v>
      </c>
      <c r="B51" s="1194" t="s">
        <v>43</v>
      </c>
      <c r="C51" s="333">
        <v>9</v>
      </c>
      <c r="D51" s="333">
        <v>144362.40921804</v>
      </c>
      <c r="E51" s="333">
        <v>71</v>
      </c>
      <c r="F51" s="333">
        <v>1010960.35466775</v>
      </c>
    </row>
    <row r="52" spans="1:6">
      <c r="A52" s="1194" t="s">
        <v>42</v>
      </c>
      <c r="B52" s="1194" t="s">
        <v>29</v>
      </c>
      <c r="C52" s="333">
        <v>8</v>
      </c>
      <c r="D52" s="333">
        <v>257076.540161207</v>
      </c>
      <c r="E52" s="333">
        <v>11</v>
      </c>
      <c r="F52" s="333">
        <v>214585.72899251699</v>
      </c>
    </row>
    <row r="53" spans="1:6">
      <c r="A53" s="1194" t="s">
        <v>44</v>
      </c>
      <c r="B53" s="1194" t="s">
        <v>45</v>
      </c>
      <c r="C53" s="333">
        <v>562</v>
      </c>
      <c r="D53" s="333">
        <v>8584366.1801810097</v>
      </c>
      <c r="E53" s="333">
        <v>720</v>
      </c>
      <c r="F53" s="333">
        <v>3118027.4135375801</v>
      </c>
    </row>
    <row r="54" spans="1:6">
      <c r="A54" s="1194" t="s">
        <v>46</v>
      </c>
      <c r="B54" s="1194" t="s">
        <v>47</v>
      </c>
      <c r="C54" s="333">
        <v>0</v>
      </c>
      <c r="D54" s="333">
        <v>0</v>
      </c>
      <c r="E54" s="333">
        <v>1</v>
      </c>
      <c r="F54" s="333">
        <v>2488367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127</v>
      </c>
      <c r="D57" s="333">
        <v>3691868.49514637</v>
      </c>
      <c r="E57" s="333">
        <v>201</v>
      </c>
      <c r="F57" s="333">
        <v>5111950.2121194303</v>
      </c>
    </row>
    <row r="58" spans="1:6">
      <c r="A58" s="1194" t="s">
        <v>49</v>
      </c>
      <c r="B58" s="1194" t="s">
        <v>51</v>
      </c>
      <c r="C58" s="333">
        <v>113</v>
      </c>
      <c r="D58" s="333">
        <v>13316201.2414659</v>
      </c>
      <c r="E58" s="333">
        <v>131</v>
      </c>
      <c r="F58" s="333">
        <v>6146007.3209907096</v>
      </c>
    </row>
    <row r="59" spans="1:6">
      <c r="A59" s="1194" t="s">
        <v>49</v>
      </c>
      <c r="B59" s="1194" t="s">
        <v>52</v>
      </c>
      <c r="C59" s="333">
        <v>354</v>
      </c>
      <c r="D59" s="333">
        <v>12283675.1406467</v>
      </c>
      <c r="E59" s="333">
        <v>559</v>
      </c>
      <c r="F59" s="333">
        <v>28087929.669096299</v>
      </c>
    </row>
    <row r="60" spans="1:6">
      <c r="A60" s="1194" t="s">
        <v>49</v>
      </c>
      <c r="B60" s="1194" t="s">
        <v>53</v>
      </c>
      <c r="C60" s="333">
        <v>122</v>
      </c>
      <c r="D60" s="333">
        <v>4475425.1282653799</v>
      </c>
      <c r="E60" s="333">
        <v>155</v>
      </c>
      <c r="F60" s="333">
        <v>3032039.2634736202</v>
      </c>
    </row>
    <row r="61" spans="1:6">
      <c r="A61" s="1194" t="s">
        <v>49</v>
      </c>
      <c r="B61" s="1194" t="s">
        <v>54</v>
      </c>
      <c r="C61" s="333">
        <v>355</v>
      </c>
      <c r="D61" s="333">
        <v>19647224.760543</v>
      </c>
      <c r="E61" s="333">
        <v>548</v>
      </c>
      <c r="F61" s="333">
        <v>14687226.32237</v>
      </c>
    </row>
    <row r="62" spans="1:6">
      <c r="A62" s="1194" t="s">
        <v>49</v>
      </c>
      <c r="B62" s="1194" t="s">
        <v>55</v>
      </c>
      <c r="C62" s="333">
        <v>25</v>
      </c>
      <c r="D62" s="333">
        <v>3450697.91104603</v>
      </c>
      <c r="E62" s="333">
        <v>24</v>
      </c>
      <c r="F62" s="333">
        <v>1046630.63906437</v>
      </c>
    </row>
    <row r="63" spans="1:6">
      <c r="A63" s="1194" t="s">
        <v>49</v>
      </c>
      <c r="B63" s="1194" t="s">
        <v>29</v>
      </c>
      <c r="C63" s="333">
        <v>80</v>
      </c>
      <c r="D63" s="333">
        <v>4130160.6122546601</v>
      </c>
      <c r="E63" s="333">
        <v>74</v>
      </c>
      <c r="F63" s="333">
        <v>755828.66235260898</v>
      </c>
    </row>
    <row r="64" spans="1:6">
      <c r="A64" s="1194" t="s">
        <v>56</v>
      </c>
      <c r="B64" s="1194" t="s">
        <v>57</v>
      </c>
      <c r="C64" s="333">
        <v>0</v>
      </c>
      <c r="D64" s="333">
        <v>0</v>
      </c>
      <c r="E64" s="333">
        <v>0</v>
      </c>
      <c r="F64" s="333">
        <v>0</v>
      </c>
    </row>
    <row r="65" spans="1:6">
      <c r="A65" s="1194" t="s">
        <v>56</v>
      </c>
      <c r="B65" s="1194" t="s">
        <v>29</v>
      </c>
      <c r="C65" s="333">
        <v>1</v>
      </c>
      <c r="D65" s="333">
        <v>22515.746733655302</v>
      </c>
      <c r="E65" s="333">
        <v>1</v>
      </c>
      <c r="F65" s="333">
        <v>19656.714816529999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16</v>
      </c>
      <c r="D68" s="333">
        <v>696461.881314517</v>
      </c>
      <c r="E68" s="333">
        <v>36</v>
      </c>
      <c r="F68" s="333">
        <v>1020877.83827432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80462545</v>
      </c>
      <c r="E73" s="333">
        <v>93354821.22715503</v>
      </c>
      <c r="F73" s="333">
        <v>85208054</v>
      </c>
    </row>
    <row r="74" spans="1:6">
      <c r="A74" s="1194" t="s">
        <v>64</v>
      </c>
      <c r="B74" s="1194" t="s">
        <v>775</v>
      </c>
      <c r="C74" s="1205" t="s">
        <v>776</v>
      </c>
      <c r="D74" s="333">
        <v>5863756.6400309484</v>
      </c>
      <c r="E74" s="333">
        <v>7122219.0609698892</v>
      </c>
      <c r="F74" s="333">
        <v>6502773.3075502105</v>
      </c>
    </row>
    <row r="75" spans="1:6">
      <c r="A75" s="1194" t="s">
        <v>65</v>
      </c>
      <c r="B75" s="1194" t="s">
        <v>773</v>
      </c>
      <c r="C75" s="1205" t="s">
        <v>777</v>
      </c>
      <c r="D75" s="333">
        <v>25808222</v>
      </c>
      <c r="E75" s="333">
        <v>30080283.85625685</v>
      </c>
      <c r="F75" s="333">
        <v>27377036</v>
      </c>
    </row>
    <row r="76" spans="1:6">
      <c r="A76" s="1194" t="s">
        <v>65</v>
      </c>
      <c r="B76" s="1194" t="s">
        <v>775</v>
      </c>
      <c r="C76" s="1205" t="s">
        <v>778</v>
      </c>
      <c r="D76" s="333">
        <v>831800.64003094845</v>
      </c>
      <c r="E76" s="333">
        <v>1089101.6705230277</v>
      </c>
      <c r="F76" s="333">
        <v>975437.30755021004</v>
      </c>
    </row>
    <row r="77" spans="1:6">
      <c r="A77" s="1194" t="s">
        <v>66</v>
      </c>
      <c r="B77" s="1194" t="s">
        <v>773</v>
      </c>
      <c r="C77" s="1205" t="s">
        <v>779</v>
      </c>
      <c r="D77" s="333">
        <v>76189722</v>
      </c>
      <c r="E77" s="333">
        <v>84638890.109517947</v>
      </c>
      <c r="F77" s="333">
        <v>79890401</v>
      </c>
    </row>
    <row r="78" spans="1:6">
      <c r="A78" s="1190" t="s">
        <v>66</v>
      </c>
      <c r="B78" s="1190" t="s">
        <v>775</v>
      </c>
      <c r="C78" s="1190" t="s">
        <v>780</v>
      </c>
      <c r="D78" s="1190">
        <v>16165439</v>
      </c>
      <c r="E78" s="1190">
        <v>17284873.574308287</v>
      </c>
      <c r="F78" s="336">
        <v>16393423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682936.71993810311</v>
      </c>
      <c r="C83" s="333">
        <v>615293.36382031394</v>
      </c>
      <c r="D83" s="333">
        <v>610085.3848995798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2043.0643615137919</v>
      </c>
    </row>
    <row r="92" spans="1:6">
      <c r="A92" s="1190" t="s">
        <v>69</v>
      </c>
      <c r="B92" s="336">
        <v>3826.3372822688239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9352</v>
      </c>
    </row>
    <row r="98" spans="1:6">
      <c r="A98" s="1194" t="s">
        <v>72</v>
      </c>
      <c r="B98" s="333">
        <v>4</v>
      </c>
    </row>
    <row r="99" spans="1:6">
      <c r="A99" s="1194" t="s">
        <v>73</v>
      </c>
      <c r="B99" s="333">
        <v>84</v>
      </c>
    </row>
    <row r="100" spans="1:6">
      <c r="A100" s="1194" t="s">
        <v>74</v>
      </c>
      <c r="B100" s="333">
        <v>634</v>
      </c>
    </row>
    <row r="101" spans="1:6">
      <c r="A101" s="1194" t="s">
        <v>75</v>
      </c>
      <c r="B101" s="333">
        <v>133</v>
      </c>
    </row>
    <row r="102" spans="1:6">
      <c r="A102" s="1194" t="s">
        <v>76</v>
      </c>
      <c r="B102" s="333">
        <v>247</v>
      </c>
    </row>
    <row r="103" spans="1:6">
      <c r="A103" s="1194" t="s">
        <v>77</v>
      </c>
      <c r="B103" s="333">
        <v>504</v>
      </c>
    </row>
    <row r="104" spans="1:6">
      <c r="A104" s="1194" t="s">
        <v>78</v>
      </c>
      <c r="B104" s="333">
        <v>2008</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31</v>
      </c>
    </row>
    <row r="124" spans="1:6">
      <c r="A124" s="1190" t="s">
        <v>89</v>
      </c>
      <c r="B124" s="333">
        <v>1</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49</v>
      </c>
    </row>
    <row r="130" spans="1:6">
      <c r="A130" s="1194" t="s">
        <v>296</v>
      </c>
      <c r="B130" s="333">
        <v>2</v>
      </c>
    </row>
    <row r="131" spans="1:6">
      <c r="A131" s="1194" t="s">
        <v>297</v>
      </c>
      <c r="B131" s="333">
        <v>2</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157265.15581169151</v>
      </c>
      <c r="C3" s="43" t="s">
        <v>171</v>
      </c>
      <c r="D3" s="43"/>
      <c r="E3" s="156"/>
      <c r="F3" s="43"/>
      <c r="G3" s="43"/>
      <c r="H3" s="43"/>
      <c r="I3" s="43"/>
      <c r="J3" s="43"/>
      <c r="K3" s="96"/>
    </row>
    <row r="4" spans="1:11">
      <c r="A4" s="364" t="s">
        <v>172</v>
      </c>
      <c r="B4" s="49">
        <f>IF(ISERROR('SEAP template'!B69),0,'SEAP template'!B69)</f>
        <v>5869.4016437826158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0.21275190615759065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2488.3670000000002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2488.3670000000002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0.21275190615759065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529.40482246964541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46212.062809806695</v>
      </c>
      <c r="C5" s="17">
        <f>IF(ISERROR('Eigen informatie GS &amp; warmtenet'!B57),0,'Eigen informatie GS &amp; warmtenet'!B57)</f>
        <v>0</v>
      </c>
      <c r="D5" s="30">
        <f>(SUM(HH_hh_gas_kWh,HH_rest_gas_kWh)/1000)*0.902</f>
        <v>147944.81837247734</v>
      </c>
      <c r="E5" s="17">
        <f>B46*B57</f>
        <v>4046.7500623183419</v>
      </c>
      <c r="F5" s="17">
        <f>B51*B62</f>
        <v>0</v>
      </c>
      <c r="G5" s="18"/>
      <c r="H5" s="17"/>
      <c r="I5" s="17"/>
      <c r="J5" s="17">
        <f>B50*B61+C50*C61</f>
        <v>7971.8528385597529</v>
      </c>
      <c r="K5" s="17"/>
      <c r="L5" s="17"/>
      <c r="M5" s="17"/>
      <c r="N5" s="17">
        <f>B48*B59+C48*C59</f>
        <v>18538.672736146185</v>
      </c>
      <c r="O5" s="17">
        <f>B69*B70*B71</f>
        <v>126.63</v>
      </c>
      <c r="P5" s="17">
        <f>B77*B78*B79/1000-B77*B78*B79/1000/B80</f>
        <v>209.73333333333335</v>
      </c>
    </row>
    <row r="6" spans="1:16">
      <c r="A6" s="16" t="s">
        <v>633</v>
      </c>
      <c r="B6" s="830">
        <f>kWh_PV_kleiner_dan_10kW</f>
        <v>2043.0643615137919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48255.127171320484</v>
      </c>
      <c r="C8" s="21">
        <f>C5</f>
        <v>0</v>
      </c>
      <c r="D8" s="21">
        <f>D5</f>
        <v>147944.81837247734</v>
      </c>
      <c r="E8" s="21">
        <f>E5</f>
        <v>4046.7500623183419</v>
      </c>
      <c r="F8" s="21">
        <f>F5</f>
        <v>0</v>
      </c>
      <c r="G8" s="21"/>
      <c r="H8" s="21"/>
      <c r="I8" s="21"/>
      <c r="J8" s="21">
        <f>J5</f>
        <v>7971.8528385597529</v>
      </c>
      <c r="K8" s="21"/>
      <c r="L8" s="21">
        <f>L5</f>
        <v>0</v>
      </c>
      <c r="M8" s="21">
        <f>M5</f>
        <v>0</v>
      </c>
      <c r="N8" s="21">
        <f>N5</f>
        <v>18538.672736146185</v>
      </c>
      <c r="O8" s="21">
        <f>O5</f>
        <v>126.63</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0.21275190615759065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10266.370287575379</v>
      </c>
      <c r="C12" s="23">
        <f ca="1">C10*C8</f>
        <v>0</v>
      </c>
      <c r="D12" s="23">
        <f>D8*D10</f>
        <v>29884.853311240426</v>
      </c>
      <c r="E12" s="23">
        <f>E10*E8</f>
        <v>918.61226414626367</v>
      </c>
      <c r="F12" s="23">
        <f>F10*F8</f>
        <v>0</v>
      </c>
      <c r="G12" s="23"/>
      <c r="H12" s="23"/>
      <c r="I12" s="23"/>
      <c r="J12" s="23">
        <f>J10*J8</f>
        <v>2822.0359048501523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9352</v>
      </c>
      <c r="C18" s="167" t="s">
        <v>111</v>
      </c>
      <c r="D18" s="229"/>
      <c r="E18" s="15"/>
    </row>
    <row r="19" spans="1:7">
      <c r="A19" s="172" t="s">
        <v>72</v>
      </c>
      <c r="B19" s="37">
        <f>aantalw2001_ander</f>
        <v>4</v>
      </c>
      <c r="C19" s="167" t="s">
        <v>111</v>
      </c>
      <c r="D19" s="230"/>
      <c r="E19" s="15"/>
    </row>
    <row r="20" spans="1:7">
      <c r="A20" s="172" t="s">
        <v>73</v>
      </c>
      <c r="B20" s="37">
        <f>aantalw2001_propaan</f>
        <v>84</v>
      </c>
      <c r="C20" s="168">
        <f>IF(ISERROR(B20/SUM($B$20,$B$21,$B$22)*100),0,B20/SUM($B$20,$B$21,$B$22)*100)</f>
        <v>9.8707403055229133</v>
      </c>
      <c r="D20" s="230"/>
      <c r="E20" s="15"/>
    </row>
    <row r="21" spans="1:7">
      <c r="A21" s="172" t="s">
        <v>74</v>
      </c>
      <c r="B21" s="37">
        <f>aantalw2001_elektriciteit</f>
        <v>634</v>
      </c>
      <c r="C21" s="168">
        <f>IF(ISERROR(B21/SUM($B$20,$B$21,$B$22)*100),0,B21/SUM($B$20,$B$21,$B$22)*100)</f>
        <v>74.500587544065795</v>
      </c>
      <c r="D21" s="230"/>
      <c r="E21" s="15"/>
    </row>
    <row r="22" spans="1:7">
      <c r="A22" s="172" t="s">
        <v>75</v>
      </c>
      <c r="B22" s="37">
        <f>aantalw2001_hout</f>
        <v>133</v>
      </c>
      <c r="C22" s="168">
        <f>IF(ISERROR(B22/SUM($B$20,$B$21,$B$22)*100),0,B22/SUM($B$20,$B$21,$B$22)*100)</f>
        <v>15.62867215041128</v>
      </c>
      <c r="D22" s="230"/>
      <c r="E22" s="15"/>
    </row>
    <row r="23" spans="1:7">
      <c r="A23" s="172" t="s">
        <v>76</v>
      </c>
      <c r="B23" s="37">
        <f>aantalw2001_niet_gespec</f>
        <v>247</v>
      </c>
      <c r="C23" s="167" t="s">
        <v>111</v>
      </c>
      <c r="D23" s="229"/>
      <c r="E23" s="15"/>
    </row>
    <row r="24" spans="1:7">
      <c r="A24" s="172" t="s">
        <v>77</v>
      </c>
      <c r="B24" s="37">
        <f>aantalw2001_steenkool</f>
        <v>504</v>
      </c>
      <c r="C24" s="167" t="s">
        <v>111</v>
      </c>
      <c r="D24" s="230"/>
      <c r="E24" s="15"/>
    </row>
    <row r="25" spans="1:7">
      <c r="A25" s="172" t="s">
        <v>78</v>
      </c>
      <c r="B25" s="37">
        <f>aantalw2001_stookolie</f>
        <v>2008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13895</v>
      </c>
      <c r="C28" s="36"/>
      <c r="D28" s="229"/>
    </row>
    <row r="29" spans="1:7" s="15" customFormat="1">
      <c r="A29" s="231" t="s">
        <v>714</v>
      </c>
      <c r="B29" s="37">
        <f>SUM(HH_hh_gas_aantal,HH_rest_gas_aantal)</f>
        <v>11613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11613</v>
      </c>
      <c r="C32" s="168">
        <f>IF(ISERROR(B32/SUM($B$32,$B$34,$B$35,$B$36,$B$38,$B$39)*100),0,B32/SUM($B$32,$B$34,$B$35,$B$36,$B$38,$B$39)*100)</f>
        <v>83.643042350907521</v>
      </c>
      <c r="D32" s="234"/>
      <c r="G32" s="15"/>
    </row>
    <row r="33" spans="1:7">
      <c r="A33" s="172" t="s">
        <v>72</v>
      </c>
      <c r="B33" s="34" t="s">
        <v>111</v>
      </c>
      <c r="C33" s="168"/>
      <c r="D33" s="234"/>
      <c r="G33" s="15"/>
    </row>
    <row r="34" spans="1:7">
      <c r="A34" s="172" t="s">
        <v>73</v>
      </c>
      <c r="B34" s="33">
        <f>IF((($B$28-$B$32-$B$39-$B$77-$B$38)*C20/100)&lt;0,0,($B$28-$B$32-$B$39-$B$77-$B$38)*C20/100)</f>
        <v>196.73372502937715</v>
      </c>
      <c r="C34" s="168">
        <f>IF(ISERROR(B34/SUM($B$32,$B$34,$B$35,$B$36,$B$38,$B$39)*100),0,B34/SUM($B$32,$B$34,$B$35,$B$36,$B$38,$B$39)*100)</f>
        <v>1.416981597733918</v>
      </c>
      <c r="D34" s="234"/>
      <c r="G34" s="15"/>
    </row>
    <row r="35" spans="1:7">
      <c r="A35" s="172" t="s">
        <v>74</v>
      </c>
      <c r="B35" s="33">
        <f>IF((($B$28-$B$32-$B$39-$B$77-$B$38)*C21/100)&lt;0,0,($B$28-$B$32-$B$39-$B$77-$B$38)*C21/100)</f>
        <v>1484.8712103407752</v>
      </c>
      <c r="C35" s="168">
        <f>IF(ISERROR(B35/SUM($B$32,$B$34,$B$35,$B$36,$B$38,$B$39)*100),0,B35/SUM($B$32,$B$34,$B$35,$B$36,$B$38,$B$39)*100)</f>
        <v>10.69483729718219</v>
      </c>
      <c r="D35" s="234"/>
      <c r="G35" s="15"/>
    </row>
    <row r="36" spans="1:7">
      <c r="A36" s="172" t="s">
        <v>75</v>
      </c>
      <c r="B36" s="33">
        <f>IF((($B$28-$B$32-$B$39-$B$77-$B$38)*C22/100)&lt;0,0,($B$28-$B$32-$B$39-$B$77-$B$38)*C22/100)</f>
        <v>311.49506462984721</v>
      </c>
      <c r="C36" s="168">
        <f>IF(ISERROR(B36/SUM($B$32,$B$34,$B$35,$B$36,$B$38,$B$39)*100),0,B36/SUM($B$32,$B$34,$B$35,$B$36,$B$38,$B$39)*100)</f>
        <v>2.2435541964120369</v>
      </c>
      <c r="D36" s="234"/>
      <c r="G36" s="15"/>
    </row>
    <row r="37" spans="1:7">
      <c r="A37" s="172" t="s">
        <v>76</v>
      </c>
      <c r="B37" s="34" t="s">
        <v>111</v>
      </c>
      <c r="C37" s="168"/>
      <c r="D37" s="174"/>
      <c r="G37" s="15"/>
    </row>
    <row r="38" spans="1:7">
      <c r="A38" s="172" t="s">
        <v>77</v>
      </c>
      <c r="B38" s="33">
        <f>IF((B24-(B29-B18)*0.1)&lt;0,0,B24-(B29-B18)*0.1)</f>
        <v>277.89999999999998</v>
      </c>
      <c r="C38" s="168">
        <f>IF(ISERROR(B38/SUM($B$32,$B$34,$B$35,$B$36,$B$38,$B$39)*100),0,B38/SUM($B$32,$B$34,$B$35,$B$36,$B$38,$B$39)*100)</f>
        <v>2.0015845577643332</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11613</v>
      </c>
      <c r="C44" s="34" t="s">
        <v>111</v>
      </c>
      <c r="D44" s="175"/>
    </row>
    <row r="45" spans="1:7">
      <c r="A45" s="172" t="s">
        <v>72</v>
      </c>
      <c r="B45" s="33" t="str">
        <f t="shared" si="0"/>
        <v>-</v>
      </c>
      <c r="C45" s="34" t="s">
        <v>111</v>
      </c>
      <c r="D45" s="175"/>
    </row>
    <row r="46" spans="1:7">
      <c r="A46" s="172" t="s">
        <v>73</v>
      </c>
      <c r="B46" s="33">
        <f t="shared" si="0"/>
        <v>196.73372502937715</v>
      </c>
      <c r="C46" s="34" t="s">
        <v>111</v>
      </c>
      <c r="D46" s="175"/>
    </row>
    <row r="47" spans="1:7">
      <c r="A47" s="172" t="s">
        <v>74</v>
      </c>
      <c r="B47" s="33">
        <f t="shared" si="0"/>
        <v>1484.8712103407752</v>
      </c>
      <c r="C47" s="34" t="s">
        <v>111</v>
      </c>
      <c r="D47" s="175"/>
    </row>
    <row r="48" spans="1:7">
      <c r="A48" s="172" t="s">
        <v>75</v>
      </c>
      <c r="B48" s="33">
        <f t="shared" si="0"/>
        <v>311.49506462984721</v>
      </c>
      <c r="C48" s="33">
        <f>B48*10</f>
        <v>3114.9506462984718</v>
      </c>
      <c r="D48" s="235"/>
    </row>
    <row r="49" spans="1:6">
      <c r="A49" s="172" t="s">
        <v>76</v>
      </c>
      <c r="B49" s="33" t="str">
        <f t="shared" si="0"/>
        <v>-</v>
      </c>
      <c r="C49" s="34" t="s">
        <v>111</v>
      </c>
      <c r="D49" s="235"/>
    </row>
    <row r="50" spans="1:6">
      <c r="A50" s="172" t="s">
        <v>77</v>
      </c>
      <c r="B50" s="33">
        <f t="shared" si="0"/>
        <v>277.89999999999998</v>
      </c>
      <c r="C50" s="33">
        <f>B50*2</f>
        <v>555.79999999999995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58867.612089467038</v>
      </c>
      <c r="C5" s="17">
        <f>IF(ISERROR('Eigen informatie GS &amp; warmtenet'!B58),0,'Eigen informatie GS &amp; warmtenet'!B58)</f>
        <v>0</v>
      </c>
      <c r="D5" s="30">
        <f>SUM(D6:D12)</f>
        <v>55017.718467009981</v>
      </c>
      <c r="E5" s="17">
        <f>SUM(E6:E12)</f>
        <v>880.07654092510734</v>
      </c>
      <c r="F5" s="17">
        <f>SUM(F6:F12)</f>
        <v>10861.280800409575</v>
      </c>
      <c r="G5" s="18"/>
      <c r="H5" s="17"/>
      <c r="I5" s="17"/>
      <c r="J5" s="17">
        <f>SUM(J6:J12)</f>
        <v>0</v>
      </c>
      <c r="K5" s="17"/>
      <c r="L5" s="17"/>
      <c r="M5" s="17"/>
      <c r="N5" s="17">
        <f>SUM(N6:N12)</f>
        <v>1382.4975389964302</v>
      </c>
      <c r="O5" s="17">
        <f>B38*B39*B40</f>
        <v>3.1266666666666669</v>
      </c>
      <c r="P5" s="17">
        <f>B46*B47*B48/1000-B46*B47*B48/1000/B49</f>
        <v>38.133333333333333</v>
      </c>
      <c r="R5" s="32"/>
    </row>
    <row r="6" spans="1:18">
      <c r="A6" s="32" t="s">
        <v>54</v>
      </c>
      <c r="B6" s="37">
        <f>B26</f>
        <v>14687.226322370001</v>
      </c>
      <c r="C6" s="33"/>
      <c r="D6" s="37">
        <f>IF(ISERROR(TER_kantoor_gas_kWh/1000),0,TER_kantoor_gas_kWh/1000)*0.902</f>
        <v>17721.796734009786</v>
      </c>
      <c r="E6" s="33">
        <f>$C$26*'E Balans VL '!I12/100/3.6*1000000</f>
        <v>514.11069711007667</v>
      </c>
      <c r="F6" s="33">
        <f>$C$26*('E Balans VL '!L12+'E Balans VL '!N12)/100/3.6*1000000</f>
        <v>2226.8988421304662</v>
      </c>
      <c r="G6" s="34"/>
      <c r="H6" s="33"/>
      <c r="I6" s="33"/>
      <c r="J6" s="33">
        <f>$C$26*('E Balans VL '!D12+'E Balans VL '!E12)/100/3.6*1000000</f>
        <v>0</v>
      </c>
      <c r="K6" s="33"/>
      <c r="L6" s="33"/>
      <c r="M6" s="33"/>
      <c r="N6" s="33">
        <f>$C$26*'E Balans VL '!Y12/100/3.6*1000000</f>
        <v>113.52766249659562</v>
      </c>
      <c r="O6" s="33"/>
      <c r="P6" s="33"/>
      <c r="R6" s="32"/>
    </row>
    <row r="7" spans="1:18">
      <c r="A7" s="32" t="s">
        <v>53</v>
      </c>
      <c r="B7" s="37">
        <f t="shared" ref="B7:B12" si="0">B27</f>
        <v>3032.0392634736204</v>
      </c>
      <c r="C7" s="33"/>
      <c r="D7" s="37">
        <f>IF(ISERROR(TER_horeca_gas_kWh/1000),0,TER_horeca_gas_kWh/1000)*0.902</f>
        <v>4036.8334656953725</v>
      </c>
      <c r="E7" s="33">
        <f>$C$27*'E Balans VL '!I9/100/3.6*1000000</f>
        <v>171.0473307634328</v>
      </c>
      <c r="F7" s="33">
        <f>$C$27*('E Balans VL '!L9+'E Balans VL '!N9)/100/3.6*1000000</f>
        <v>528.19801921782766</v>
      </c>
      <c r="G7" s="34"/>
      <c r="H7" s="33"/>
      <c r="I7" s="33"/>
      <c r="J7" s="33">
        <f>$C$27*('E Balans VL '!D9+'E Balans VL '!E9)/100/3.6*1000000</f>
        <v>0</v>
      </c>
      <c r="K7" s="33"/>
      <c r="L7" s="33"/>
      <c r="M7" s="33"/>
      <c r="N7" s="33">
        <f>$C$27*'E Balans VL '!Y9/100/3.6*1000000</f>
        <v>0</v>
      </c>
      <c r="O7" s="33"/>
      <c r="P7" s="33"/>
      <c r="R7" s="32"/>
    </row>
    <row r="8" spans="1:18">
      <c r="A8" s="6" t="s">
        <v>52</v>
      </c>
      <c r="B8" s="37">
        <f t="shared" si="0"/>
        <v>28087.929669096298</v>
      </c>
      <c r="C8" s="33"/>
      <c r="D8" s="37">
        <f>IF(ISERROR(TER_handel_gas_kWh/1000),0,TER_handel_gas_kWh/1000)*0.902</f>
        <v>11079.874976863322</v>
      </c>
      <c r="E8" s="33">
        <f>$C$28*'E Balans VL '!I13/100/3.6*1000000</f>
        <v>144.20057722887415</v>
      </c>
      <c r="F8" s="33">
        <f>$C$28*('E Balans VL '!L13+'E Balans VL '!N13)/100/3.6*1000000</f>
        <v>4330.7247519089015</v>
      </c>
      <c r="G8" s="34"/>
      <c r="H8" s="33"/>
      <c r="I8" s="33"/>
      <c r="J8" s="33">
        <f>$C$28*('E Balans VL '!D13+'E Balans VL '!E13)/100/3.6*1000000</f>
        <v>0</v>
      </c>
      <c r="K8" s="33"/>
      <c r="L8" s="33"/>
      <c r="M8" s="33"/>
      <c r="N8" s="33">
        <f>$C$28*'E Balans VL '!Y13/100/3.6*1000000</f>
        <v>13.137067565568101</v>
      </c>
      <c r="O8" s="33"/>
      <c r="P8" s="33"/>
      <c r="R8" s="32"/>
    </row>
    <row r="9" spans="1:18">
      <c r="A9" s="32" t="s">
        <v>51</v>
      </c>
      <c r="B9" s="37">
        <f t="shared" si="0"/>
        <v>6146.0073209907096</v>
      </c>
      <c r="C9" s="33"/>
      <c r="D9" s="37">
        <f>IF(ISERROR(TER_gezond_gas_kWh/1000),0,TER_gezond_gas_kWh/1000)*0.902</f>
        <v>12011.213519802242</v>
      </c>
      <c r="E9" s="33">
        <f>$C$29*'E Balans VL '!I10/100/3.6*1000000</f>
        <v>2.5474762642552271</v>
      </c>
      <c r="F9" s="33">
        <f>$C$29*('E Balans VL '!L10+'E Balans VL '!N10)/100/3.6*1000000</f>
        <v>1513.6734576570773</v>
      </c>
      <c r="G9" s="34"/>
      <c r="H9" s="33"/>
      <c r="I9" s="33"/>
      <c r="J9" s="33">
        <f>$C$29*('E Balans VL '!D10+'E Balans VL '!E10)/100/3.6*1000000</f>
        <v>0</v>
      </c>
      <c r="K9" s="33"/>
      <c r="L9" s="33"/>
      <c r="M9" s="33"/>
      <c r="N9" s="33">
        <f>$C$29*'E Balans VL '!Y10/100/3.6*1000000</f>
        <v>53.116715390454374</v>
      </c>
      <c r="O9" s="33"/>
      <c r="P9" s="33"/>
      <c r="R9" s="32"/>
    </row>
    <row r="10" spans="1:18">
      <c r="A10" s="32" t="s">
        <v>50</v>
      </c>
      <c r="B10" s="37">
        <f t="shared" si="0"/>
        <v>5111.95021211943</v>
      </c>
      <c r="C10" s="33"/>
      <c r="D10" s="37">
        <f>IF(ISERROR(TER_ander_gas_kWh/1000),0,TER_ander_gas_kWh/1000)*0.902</f>
        <v>3330.0653826220259</v>
      </c>
      <c r="E10" s="33">
        <f>$C$30*'E Balans VL '!I14/100/3.6*1000000</f>
        <v>31.162574618681017</v>
      </c>
      <c r="F10" s="33">
        <f>$C$30*('E Balans VL '!L14+'E Balans VL '!N14)/100/3.6*1000000</f>
        <v>1355.2480270073984</v>
      </c>
      <c r="G10" s="34"/>
      <c r="H10" s="33"/>
      <c r="I10" s="33"/>
      <c r="J10" s="33">
        <f>$C$30*('E Balans VL '!D14+'E Balans VL '!E14)/100/3.6*1000000</f>
        <v>0</v>
      </c>
      <c r="K10" s="33"/>
      <c r="L10" s="33"/>
      <c r="M10" s="33"/>
      <c r="N10" s="33">
        <f>$C$30*'E Balans VL '!Y14/100/3.6*1000000</f>
        <v>1178.1940627798488</v>
      </c>
      <c r="O10" s="33"/>
      <c r="P10" s="33"/>
      <c r="R10" s="32"/>
    </row>
    <row r="11" spans="1:18">
      <c r="A11" s="32" t="s">
        <v>55</v>
      </c>
      <c r="B11" s="37">
        <f t="shared" si="0"/>
        <v>1046.6306390643699</v>
      </c>
      <c r="C11" s="33"/>
      <c r="D11" s="37">
        <f>IF(ISERROR(TER_onderwijs_gas_kWh/1000),0,TER_onderwijs_gas_kWh/1000)*0.902</f>
        <v>3112.5295157635192</v>
      </c>
      <c r="E11" s="33">
        <f>$C$31*'E Balans VL '!I11/100/3.6*1000000</f>
        <v>0.7975870456001678</v>
      </c>
      <c r="F11" s="33">
        <f>$C$31*('E Balans VL '!L11+'E Balans VL '!N11)/100/3.6*1000000</f>
        <v>757.39928817252985</v>
      </c>
      <c r="G11" s="34"/>
      <c r="H11" s="33"/>
      <c r="I11" s="33"/>
      <c r="J11" s="33">
        <f>$C$31*('E Balans VL '!D11+'E Balans VL '!E11)/100/3.6*1000000</f>
        <v>0</v>
      </c>
      <c r="K11" s="33"/>
      <c r="L11" s="33"/>
      <c r="M11" s="33"/>
      <c r="N11" s="33">
        <f>$C$31*'E Balans VL '!Y11/100/3.6*1000000</f>
        <v>3.0846706334873888</v>
      </c>
      <c r="O11" s="33"/>
      <c r="P11" s="33"/>
      <c r="R11" s="32"/>
    </row>
    <row r="12" spans="1:18">
      <c r="A12" s="32" t="s">
        <v>261</v>
      </c>
      <c r="B12" s="37">
        <f t="shared" si="0"/>
        <v>755.82866235260894</v>
      </c>
      <c r="C12" s="33"/>
      <c r="D12" s="37">
        <f>IF(ISERROR(TER_rest_gas_kWh/1000),0,TER_rest_gas_kWh/1000)*0.902</f>
        <v>3725.4048722537036</v>
      </c>
      <c r="E12" s="33">
        <f>$C$32*'E Balans VL '!I8/100/3.6*1000000</f>
        <v>16.210297894187338</v>
      </c>
      <c r="F12" s="33">
        <f>$C$32*('E Balans VL '!L8+'E Balans VL '!N8)/100/3.6*1000000</f>
        <v>149.13841431537529</v>
      </c>
      <c r="G12" s="34"/>
      <c r="H12" s="33"/>
      <c r="I12" s="33"/>
      <c r="J12" s="33">
        <f>$C$32*('E Balans VL '!D8+'E Balans VL '!E8)/100/3.6*1000000</f>
        <v>0</v>
      </c>
      <c r="K12" s="33"/>
      <c r="L12" s="33"/>
      <c r="M12" s="33"/>
      <c r="N12" s="33">
        <f>$C$32*'E Balans VL '!Y8/100/3.6*1000000</f>
        <v>21.437360130476108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58867.612089467038</v>
      </c>
      <c r="C16" s="21">
        <f ca="1">C5+C13+C14</f>
        <v>0</v>
      </c>
      <c r="D16" s="21">
        <f t="shared" ref="D16:N16" ca="1" si="1">MAX((D5+D13+D14),0)</f>
        <v>55017.718467009981</v>
      </c>
      <c r="E16" s="21">
        <f t="shared" si="1"/>
        <v>880.07654092510734</v>
      </c>
      <c r="F16" s="21">
        <f t="shared" ca="1" si="1"/>
        <v>10861.280800409575</v>
      </c>
      <c r="G16" s="21">
        <f t="shared" si="1"/>
        <v>0</v>
      </c>
      <c r="H16" s="21">
        <f t="shared" si="1"/>
        <v>0</v>
      </c>
      <c r="I16" s="21">
        <f t="shared" si="1"/>
        <v>0</v>
      </c>
      <c r="J16" s="21">
        <f t="shared" si="1"/>
        <v>0</v>
      </c>
      <c r="K16" s="21">
        <f t="shared" si="1"/>
        <v>0</v>
      </c>
      <c r="L16" s="21">
        <f t="shared" ca="1" si="1"/>
        <v>0</v>
      </c>
      <c r="M16" s="21">
        <f t="shared" si="1"/>
        <v>0</v>
      </c>
      <c r="N16" s="21">
        <f t="shared" ca="1" si="1"/>
        <v>1382.4975389964302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0.21275190615759065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12524.19668297974</v>
      </c>
      <c r="C20" s="23">
        <f t="shared" ref="C20:P20" ca="1" si="2">C16*C18</f>
        <v>0</v>
      </c>
      <c r="D20" s="23">
        <f t="shared" ca="1" si="2"/>
        <v>11113.579130336017</v>
      </c>
      <c r="E20" s="23">
        <f t="shared" si="2"/>
        <v>199.77737478999939</v>
      </c>
      <c r="F20" s="23">
        <f t="shared" ca="1" si="2"/>
        <v>2899.9619737093567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14687.226322370001</v>
      </c>
      <c r="C26" s="39">
        <f>IF(ISERROR(B26*3.6/1000000/'E Balans VL '!Z12*100),0,B26*3.6/1000000/'E Balans VL '!Z12*100)</f>
        <v>0.30906832102282605</v>
      </c>
      <c r="D26" s="238" t="s">
        <v>720</v>
      </c>
      <c r="F26" s="6"/>
    </row>
    <row r="27" spans="1:18">
      <c r="A27" s="232" t="s">
        <v>53</v>
      </c>
      <c r="B27" s="33">
        <f>IF(ISERROR(TER_horeca_ele_kWh/1000),0,TER_horeca_ele_kWh/1000)</f>
        <v>3032.0392634736204</v>
      </c>
      <c r="C27" s="39">
        <f>IF(ISERROR(B27*3.6/1000000/'E Balans VL '!Z9*100),0,B27*3.6/1000000/'E Balans VL '!Z9*100)</f>
        <v>0.25671424448688118</v>
      </c>
      <c r="D27" s="238" t="s">
        <v>720</v>
      </c>
      <c r="F27" s="6"/>
    </row>
    <row r="28" spans="1:18">
      <c r="A28" s="172" t="s">
        <v>52</v>
      </c>
      <c r="B28" s="33">
        <f>IF(ISERROR(TER_handel_ele_kWh/1000),0,TER_handel_ele_kWh/1000)</f>
        <v>28087.929669096298</v>
      </c>
      <c r="C28" s="39">
        <f>IF(ISERROR(B28*3.6/1000000/'E Balans VL '!Z13*100),0,B28*3.6/1000000/'E Balans VL '!Z13*100)</f>
        <v>0.77761044891682041</v>
      </c>
      <c r="D28" s="238" t="s">
        <v>720</v>
      </c>
      <c r="F28" s="6"/>
    </row>
    <row r="29" spans="1:18">
      <c r="A29" s="232" t="s">
        <v>51</v>
      </c>
      <c r="B29" s="33">
        <f>IF(ISERROR(TER_gezond_ele_kWh/1000),0,TER_gezond_ele_kWh/1000)</f>
        <v>6146.0073209907096</v>
      </c>
      <c r="C29" s="39">
        <f>IF(ISERROR(B29*3.6/1000000/'E Balans VL '!Z10*100),0,B29*3.6/1000000/'E Balans VL '!Z10*100)</f>
        <v>0.79891281529363112</v>
      </c>
      <c r="D29" s="238" t="s">
        <v>720</v>
      </c>
      <c r="F29" s="6"/>
    </row>
    <row r="30" spans="1:18">
      <c r="A30" s="232" t="s">
        <v>50</v>
      </c>
      <c r="B30" s="33">
        <f>IF(ISERROR(TER_ander_ele_kWh/1000),0,TER_ander_ele_kWh/1000)</f>
        <v>5111.95021211943</v>
      </c>
      <c r="C30" s="39">
        <f>IF(ISERROR(B30*3.6/1000000/'E Balans VL '!Z14*100),0,B30*3.6/1000000/'E Balans VL '!Z14*100)</f>
        <v>0.39622302160392453</v>
      </c>
      <c r="D30" s="238" t="s">
        <v>720</v>
      </c>
      <c r="F30" s="6"/>
    </row>
    <row r="31" spans="1:18">
      <c r="A31" s="232" t="s">
        <v>55</v>
      </c>
      <c r="B31" s="33">
        <f>IF(ISERROR(TER_onderwijs_ele_kWh/1000),0,TER_onderwijs_ele_kWh/1000)</f>
        <v>1046.6306390643699</v>
      </c>
      <c r="C31" s="39">
        <f>IF(ISERROR(B31*3.6/1000000/'E Balans VL '!Z11*100),0,B31*3.6/1000000/'E Balans VL '!Z11*100)</f>
        <v>0.20023827546169354</v>
      </c>
      <c r="D31" s="238" t="s">
        <v>720</v>
      </c>
    </row>
    <row r="32" spans="1:18">
      <c r="A32" s="232" t="s">
        <v>261</v>
      </c>
      <c r="B32" s="33">
        <f>IF(ISERROR(TER_rest_ele_kWh/1000),0,TER_rest_ele_kWh/1000)</f>
        <v>755.82866235260894</v>
      </c>
      <c r="C32" s="39">
        <f>IF(ISERROR(B32*3.6/1000000/'E Balans VL '!Z8*100),0,B32*3.6/1000000/'E Balans VL '!Z8*100)</f>
        <v>6.2323877336902273E-3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46427.046697532831</v>
      </c>
      <c r="C5" s="17">
        <f>IF(ISERROR('Eigen informatie GS &amp; warmtenet'!B59),0,'Eigen informatie GS &amp; warmtenet'!B59)</f>
        <v>0</v>
      </c>
      <c r="D5" s="30">
        <f>SUM(D6:D15)</f>
        <v>55570.793241354666</v>
      </c>
      <c r="E5" s="17">
        <f>SUM(E6:E15)</f>
        <v>473.36073724353793</v>
      </c>
      <c r="F5" s="17">
        <f>SUM(F6:F15)</f>
        <v>13796.586733104257</v>
      </c>
      <c r="G5" s="18"/>
      <c r="H5" s="17"/>
      <c r="I5" s="17"/>
      <c r="J5" s="17">
        <f>SUM(J6:J15)</f>
        <v>223.123958594616</v>
      </c>
      <c r="K5" s="17"/>
      <c r="L5" s="17"/>
      <c r="M5" s="17"/>
      <c r="N5" s="17">
        <f>SUM(N6:N15)</f>
        <v>1285.5873554301329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647.66729763937406</v>
      </c>
      <c r="C8" s="33"/>
      <c r="D8" s="37">
        <f>IF( ISERROR(IND_metaal_Gas_kWH/1000),0,IND_metaal_Gas_kWH/1000)*0.902</f>
        <v>101.54286638803389</v>
      </c>
      <c r="E8" s="33">
        <f>C30*'E Balans VL '!I18/100/3.6*1000000</f>
        <v>4.5510151992046985</v>
      </c>
      <c r="F8" s="33">
        <f>C30*'E Balans VL '!L18/100/3.6*1000000+C30*'E Balans VL '!N18/100/3.6*1000000</f>
        <v>71.110080054144049</v>
      </c>
      <c r="G8" s="34"/>
      <c r="H8" s="33"/>
      <c r="I8" s="33"/>
      <c r="J8" s="40">
        <f>C30*'E Balans VL '!D18/100/3.6*1000000+C30*'E Balans VL '!E18/100/3.6*1000000</f>
        <v>13.362772327064878</v>
      </c>
      <c r="K8" s="33"/>
      <c r="L8" s="33"/>
      <c r="M8" s="33"/>
      <c r="N8" s="33">
        <f>C30*'E Balans VL '!Y18/100/3.6*1000000</f>
        <v>2.427503676501118</v>
      </c>
      <c r="O8" s="33"/>
      <c r="P8" s="33"/>
      <c r="R8" s="32"/>
    </row>
    <row r="9" spans="1:18">
      <c r="A9" s="6" t="s">
        <v>33</v>
      </c>
      <c r="B9" s="37">
        <f t="shared" si="0"/>
        <v>9188.0183733342692</v>
      </c>
      <c r="C9" s="33"/>
      <c r="D9" s="37">
        <f>IF( ISERROR(IND_andere_gas_kWh/1000),0,IND_andere_gas_kWh/1000)*0.902</f>
        <v>2314.0971477549224</v>
      </c>
      <c r="E9" s="33">
        <f>C31*'E Balans VL '!I19/100/3.6*1000000</f>
        <v>154.32402426203029</v>
      </c>
      <c r="F9" s="33">
        <f>C31*'E Balans VL '!L19/100/3.6*1000000+C31*'E Balans VL '!N19/100/3.6*1000000</f>
        <v>7182.6694538205102</v>
      </c>
      <c r="G9" s="34"/>
      <c r="H9" s="33"/>
      <c r="I9" s="33"/>
      <c r="J9" s="40">
        <f>C31*'E Balans VL '!D19/100/3.6*1000000+C31*'E Balans VL '!E19/100/3.6*1000000</f>
        <v>0.82867815109997545</v>
      </c>
      <c r="K9" s="33"/>
      <c r="L9" s="33"/>
      <c r="M9" s="33"/>
      <c r="N9" s="33">
        <f>C31*'E Balans VL '!Y19/100/3.6*1000000</f>
        <v>680.97957024140351</v>
      </c>
      <c r="O9" s="33"/>
      <c r="P9" s="33"/>
      <c r="R9" s="32"/>
    </row>
    <row r="10" spans="1:18">
      <c r="A10" s="6" t="s">
        <v>41</v>
      </c>
      <c r="B10" s="37">
        <f t="shared" si="0"/>
        <v>6716.8726373142199</v>
      </c>
      <c r="C10" s="33"/>
      <c r="D10" s="37">
        <f>IF( ISERROR(IND_voed_gas_kWh/1000),0,IND_voed_gas_kWh/1000)*0.902</f>
        <v>2353.8208617491291</v>
      </c>
      <c r="E10" s="33">
        <f>C32*'E Balans VL '!I20/100/3.6*1000000</f>
        <v>61.281954746564708</v>
      </c>
      <c r="F10" s="33">
        <f>C32*'E Balans VL '!L20/100/3.6*1000000+C32*'E Balans VL '!N20/100/3.6*1000000</f>
        <v>1083.6416478798974</v>
      </c>
      <c r="G10" s="34"/>
      <c r="H10" s="33"/>
      <c r="I10" s="33"/>
      <c r="J10" s="40">
        <f>C32*'E Balans VL '!D20/100/3.6*1000000+C32*'E Balans VL '!E20/100/3.6*1000000</f>
        <v>27.664485315327028</v>
      </c>
      <c r="K10" s="33"/>
      <c r="L10" s="33"/>
      <c r="M10" s="33"/>
      <c r="N10" s="33">
        <f>C32*'E Balans VL '!Y20/100/3.6*1000000</f>
        <v>98.262550281183323</v>
      </c>
      <c r="O10" s="33"/>
      <c r="P10" s="33"/>
      <c r="R10" s="32"/>
    </row>
    <row r="11" spans="1:18">
      <c r="A11" s="6" t="s">
        <v>40</v>
      </c>
      <c r="B11" s="37">
        <f t="shared" si="0"/>
        <v>2852.7158079433302</v>
      </c>
      <c r="C11" s="33"/>
      <c r="D11" s="37">
        <f>IF( ISERROR(IND_textiel_gas_kWh/1000),0,IND_textiel_gas_kWh/1000)*0.902</f>
        <v>659.17579122998711</v>
      </c>
      <c r="E11" s="33">
        <f>C33*'E Balans VL '!I21/100/3.6*1000000</f>
        <v>6.506515601760559</v>
      </c>
      <c r="F11" s="33">
        <f>C33*'E Balans VL '!L21/100/3.6*1000000+C33*'E Balans VL '!N21/100/3.6*1000000</f>
        <v>60.979446276780493</v>
      </c>
      <c r="G11" s="34"/>
      <c r="H11" s="33"/>
      <c r="I11" s="33"/>
      <c r="J11" s="40">
        <f>C33*'E Balans VL '!D21/100/3.6*1000000+C33*'E Balans VL '!E21/100/3.6*1000000</f>
        <v>0</v>
      </c>
      <c r="K11" s="33"/>
      <c r="L11" s="33"/>
      <c r="M11" s="33"/>
      <c r="N11" s="33">
        <f>C33*'E Balans VL '!Y21/100/3.6*1000000</f>
        <v>20.23678108295595</v>
      </c>
      <c r="O11" s="33"/>
      <c r="P11" s="33"/>
      <c r="R11" s="32"/>
    </row>
    <row r="12" spans="1:18">
      <c r="A12" s="6" t="s">
        <v>37</v>
      </c>
      <c r="B12" s="37">
        <f t="shared" si="0"/>
        <v>51.641947658785696</v>
      </c>
      <c r="C12" s="33"/>
      <c r="D12" s="37">
        <f>IF( ISERROR(IND_min_gas_kWh/1000),0,IND_min_gas_kWh/1000)*0.902</f>
        <v>70.509515033831704</v>
      </c>
      <c r="E12" s="33">
        <f>C34*'E Balans VL '!I22/100/3.6*1000000</f>
        <v>1.280888192404855</v>
      </c>
      <c r="F12" s="33">
        <f>C34*'E Balans VL '!L22/100/3.6*1000000+C34*'E Balans VL '!N22/100/3.6*1000000</f>
        <v>5.4874514102016887</v>
      </c>
      <c r="G12" s="34"/>
      <c r="H12" s="33"/>
      <c r="I12" s="33"/>
      <c r="J12" s="40">
        <f>C34*'E Balans VL '!D22/100/3.6*1000000+C34*'E Balans VL '!E22/100/3.6*1000000</f>
        <v>0.29335656424483414</v>
      </c>
      <c r="K12" s="33"/>
      <c r="L12" s="33"/>
      <c r="M12" s="33"/>
      <c r="N12" s="33">
        <f>C34*'E Balans VL '!Y22/100/3.6*1000000</f>
        <v>0</v>
      </c>
      <c r="O12" s="33"/>
      <c r="P12" s="33"/>
      <c r="R12" s="32"/>
    </row>
    <row r="13" spans="1:18">
      <c r="A13" s="6" t="s">
        <v>39</v>
      </c>
      <c r="B13" s="37">
        <f t="shared" si="0"/>
        <v>92.780356096151408</v>
      </c>
      <c r="C13" s="33"/>
      <c r="D13" s="37">
        <f>IF( ISERROR(IND_papier_gas_kWh/1000),0,IND_papier_gas_kWh/1000)*0.902</f>
        <v>136.03859155324545</v>
      </c>
      <c r="E13" s="33">
        <f>C35*'E Balans VL '!I23/100/3.6*1000000</f>
        <v>2.8546094219143319</v>
      </c>
      <c r="F13" s="33">
        <f>C35*'E Balans VL '!L23/100/3.6*1000000+C35*'E Balans VL '!N23/100/3.6*1000000</f>
        <v>19.700512081084923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26877.350277546699</v>
      </c>
      <c r="C15" s="33"/>
      <c r="D15" s="37">
        <f>IF( ISERROR(IND_rest_gas_kWh/1000),0,IND_rest_gas_kWh/1000)*0.902</f>
        <v>49935.608467645514</v>
      </c>
      <c r="E15" s="33">
        <f>C37*'E Balans VL '!I15/100/3.6*1000000</f>
        <v>242.5617298196585</v>
      </c>
      <c r="F15" s="33">
        <f>C37*'E Balans VL '!L15/100/3.6*1000000+C37*'E Balans VL '!N15/100/3.6*1000000</f>
        <v>5372.998141581641</v>
      </c>
      <c r="G15" s="34"/>
      <c r="H15" s="33"/>
      <c r="I15" s="33"/>
      <c r="J15" s="40">
        <f>C37*'E Balans VL '!D15/100/3.6*1000000+C37*'E Balans VL '!E15/100/3.6*1000000</f>
        <v>180.9746662368793</v>
      </c>
      <c r="K15" s="33"/>
      <c r="L15" s="33"/>
      <c r="M15" s="33"/>
      <c r="N15" s="33">
        <f>C37*'E Balans VL '!Y15/100/3.6*1000000</f>
        <v>483.6809501480891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46427.046697532831</v>
      </c>
      <c r="C18" s="21">
        <f>C5+C16</f>
        <v>0</v>
      </c>
      <c r="D18" s="21">
        <f>MAX((D5+D16),0)</f>
        <v>55570.793241354666</v>
      </c>
      <c r="E18" s="21">
        <f>MAX((E5+E16),0)</f>
        <v>473.36073724353793</v>
      </c>
      <c r="F18" s="21">
        <f>MAX((F5+F16),0)</f>
        <v>13796.586733104257</v>
      </c>
      <c r="G18" s="21"/>
      <c r="H18" s="21"/>
      <c r="I18" s="21"/>
      <c r="J18" s="21">
        <f>MAX((J5+J16),0)</f>
        <v>223.123958594616</v>
      </c>
      <c r="K18" s="21"/>
      <c r="L18" s="21">
        <f>MAX((L5+L16),0)</f>
        <v>0</v>
      </c>
      <c r="M18" s="21"/>
      <c r="N18" s="21">
        <f>MAX((N5+N16),0)</f>
        <v>1285.5873554301329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0.21275190615759065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9877.4426821675843</v>
      </c>
      <c r="C22" s="23">
        <f ca="1">C18*C20</f>
        <v>0</v>
      </c>
      <c r="D22" s="23">
        <f>D18*D20</f>
        <v>11225.300234753644</v>
      </c>
      <c r="E22" s="23">
        <f>E18*E20</f>
        <v>107.45288735428311</v>
      </c>
      <c r="F22" s="23">
        <f>F18*F20</f>
        <v>3683.6886577388368</v>
      </c>
      <c r="G22" s="23"/>
      <c r="H22" s="23"/>
      <c r="I22" s="23"/>
      <c r="J22" s="23">
        <f>J18*J20</f>
        <v>78.985881342494054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647.66729763937406</v>
      </c>
      <c r="C30" s="39">
        <f>IF(ISERROR(B30*3.6/1000000/'E Balans VL '!Z18*100),0,B30*3.6/1000000/'E Balans VL '!Z18*100)</f>
        <v>4.3115607502647174E-2</v>
      </c>
      <c r="D30" s="238" t="s">
        <v>720</v>
      </c>
    </row>
    <row r="31" spans="1:18">
      <c r="A31" s="6" t="s">
        <v>33</v>
      </c>
      <c r="B31" s="37">
        <f>IF( ISERROR(IND_ander_ele_kWh/1000),0,IND_ander_ele_kWh/1000)</f>
        <v>9188.0183733342692</v>
      </c>
      <c r="C31" s="39">
        <f>IF(ISERROR(B31*3.6/1000000/'E Balans VL '!Z19*100),0,B31*3.6/1000000/'E Balans VL '!Z19*100)</f>
        <v>0.40726844286142139</v>
      </c>
      <c r="D31" s="238" t="s">
        <v>720</v>
      </c>
    </row>
    <row r="32" spans="1:18">
      <c r="A32" s="172" t="s">
        <v>41</v>
      </c>
      <c r="B32" s="37">
        <f>IF( ISERROR(IND_voed_ele_kWh/1000),0,IND_voed_ele_kWh/1000)</f>
        <v>6716.8726373142199</v>
      </c>
      <c r="C32" s="39">
        <f>IF(ISERROR(B32*3.6/1000000/'E Balans VL '!Z20*100),0,B32*3.6/1000000/'E Balans VL '!Z20*100)</f>
        <v>0.22436281430009719</v>
      </c>
      <c r="D32" s="238" t="s">
        <v>720</v>
      </c>
    </row>
    <row r="33" spans="1:5">
      <c r="A33" s="172" t="s">
        <v>40</v>
      </c>
      <c r="B33" s="37">
        <f>IF( ISERROR(IND_textiel_ele_kWh/1000),0,IND_textiel_ele_kWh/1000)</f>
        <v>2852.7158079433302</v>
      </c>
      <c r="C33" s="39">
        <f>IF(ISERROR(B33*3.6/1000000/'E Balans VL '!Z21*100),0,B33*3.6/1000000/'E Balans VL '!Z21*100)</f>
        <v>0.37556661459243956</v>
      </c>
      <c r="D33" s="238" t="s">
        <v>720</v>
      </c>
    </row>
    <row r="34" spans="1:5">
      <c r="A34" s="172" t="s">
        <v>37</v>
      </c>
      <c r="B34" s="37">
        <f>IF( ISERROR(IND_min_ele_kWh/1000),0,IND_min_ele_kWh/1000)</f>
        <v>51.641947658785696</v>
      </c>
      <c r="C34" s="39">
        <f>IF(ISERROR(B34*3.6/1000000/'E Balans VL '!Z22*100),0,B34*3.6/1000000/'E Balans VL '!Z22*100)</f>
        <v>1.0043791565083485E-2</v>
      </c>
      <c r="D34" s="238" t="s">
        <v>720</v>
      </c>
    </row>
    <row r="35" spans="1:5">
      <c r="A35" s="172" t="s">
        <v>39</v>
      </c>
      <c r="B35" s="37">
        <f>IF( ISERROR(IND_papier_ele_kWh/1000),0,IND_papier_ele_kWh/1000)</f>
        <v>92.780356096151408</v>
      </c>
      <c r="C35" s="39">
        <f>IF(ISERROR(B35*3.6/1000000/'E Balans VL '!Z22*100),0,B35*3.6/1000000/'E Balans VL '!Z22*100)</f>
        <v>1.8044760126420825E-2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26877.350277546699</v>
      </c>
      <c r="C37" s="39">
        <f>IF(ISERROR(B37*3.6/1000000/'E Balans VL '!Z15*100),0,B37*3.6/1000000/'E Balans VL '!Z15*100)</f>
        <v>0.19992369911584282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1225.5460836602667</v>
      </c>
      <c r="C5" s="17">
        <f>'Eigen informatie GS &amp; warmtenet'!B60</f>
        <v>0</v>
      </c>
      <c r="D5" s="30">
        <f>IF(ISERROR(SUM(LB_lb_gas_kWh,LB_rest_gas_kWh,onbekend_gas_kWh)/1000),0,SUM(LB_lb_gas_kWh,LB_rest_gas_kWh,onbekend_gas_kWh)/1000)*0.902</f>
        <v>8105.1962268633515</v>
      </c>
      <c r="E5" s="17">
        <f>B17*'E Balans VL '!I25/3.6*1000000/100</f>
        <v>12.834183907997748</v>
      </c>
      <c r="F5" s="17">
        <f>B17*('E Balans VL '!L25/3.6*1000000+'E Balans VL '!N25/3.6*1000000)/100</f>
        <v>6294.599822356593</v>
      </c>
      <c r="G5" s="18"/>
      <c r="H5" s="17"/>
      <c r="I5" s="17"/>
      <c r="J5" s="17">
        <f>('E Balans VL '!D25+'E Balans VL '!E25)/3.6*1000000*landbouw!B17/100</f>
        <v>109.45225002780592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1225.5460836602667</v>
      </c>
      <c r="C8" s="21">
        <f>C5+C6</f>
        <v>0</v>
      </c>
      <c r="D8" s="21">
        <f>MAX((D5+D6),0)</f>
        <v>8105.1962268633515</v>
      </c>
      <c r="E8" s="21">
        <f>MAX((E5+E6),0)</f>
        <v>12.834183907997748</v>
      </c>
      <c r="F8" s="21">
        <f>MAX((F5+F6),0)</f>
        <v>6294.599822356593</v>
      </c>
      <c r="G8" s="21"/>
      <c r="H8" s="21"/>
      <c r="I8" s="21"/>
      <c r="J8" s="21">
        <f>MAX((J5+J6),0)</f>
        <v>109.45225002780592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0.21275190615759065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260.73726538269182</v>
      </c>
      <c r="C12" s="23">
        <f ca="1">C8*C10</f>
        <v>0</v>
      </c>
      <c r="D12" s="23">
        <f>D8*D10</f>
        <v>1637.249637826397</v>
      </c>
      <c r="E12" s="23">
        <f>E8*E10</f>
        <v>2.9133597471154888</v>
      </c>
      <c r="F12" s="23">
        <f>F8*F10</f>
        <v>1680.6581525692104</v>
      </c>
      <c r="G12" s="23"/>
      <c r="H12" s="23"/>
      <c r="I12" s="23"/>
      <c r="J12" s="23">
        <f>J8*J10</f>
        <v>38.746096509843291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0.18863519968658238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173.63984829705922</v>
      </c>
      <c r="C26" s="248">
        <f>B26*'GWP N2O_CH4'!B5</f>
        <v>3646.4368142382436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78.370179804302737</v>
      </c>
      <c r="C27" s="248">
        <f>B27*'GWP N2O_CH4'!B5</f>
        <v>1645.7737758903575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2.3138519245507023</v>
      </c>
      <c r="C28" s="248">
        <f>B28*'GWP N2O_CH4'!B4</f>
        <v>717.2940966107177</v>
      </c>
      <c r="D28" s="50"/>
    </row>
    <row r="29" spans="1:4">
      <c r="A29" s="41" t="s">
        <v>278</v>
      </c>
      <c r="B29" s="248">
        <f>B34*'ha_N2O bodem landbouw'!B4</f>
        <v>13.306655239031265</v>
      </c>
      <c r="C29" s="248">
        <f>B29*'GWP N2O_CH4'!B4</f>
        <v>4125.0631240996918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2.1990995438243813E-3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5.2443709592475364E-6</v>
      </c>
      <c r="C5" s="446" t="s">
        <v>212</v>
      </c>
      <c r="D5" s="431">
        <f>SUM(D6:D11)</f>
        <v>2.5487536489163433E-5</v>
      </c>
      <c r="E5" s="431">
        <f>SUM(E6:E11)</f>
        <v>2.8563178594171778E-3</v>
      </c>
      <c r="F5" s="444" t="s">
        <v>212</v>
      </c>
      <c r="G5" s="431">
        <f>SUM(G6:G11)</f>
        <v>0.54670797510721836</v>
      </c>
      <c r="H5" s="431">
        <f>SUM(H6:H11)</f>
        <v>8.689225457052159E-2</v>
      </c>
      <c r="I5" s="446" t="s">
        <v>212</v>
      </c>
      <c r="J5" s="446" t="s">
        <v>212</v>
      </c>
      <c r="K5" s="446" t="s">
        <v>212</v>
      </c>
      <c r="L5" s="446" t="s">
        <v>212</v>
      </c>
      <c r="M5" s="431">
        <f>SUM(M6:M11)</f>
        <v>2.7628182573951537E-2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2.312694855844369E-6</v>
      </c>
      <c r="C6" s="432"/>
      <c r="D6" s="432">
        <f>vkm_2011_GW_PW*SUMIFS(TableVerdeelsleutelVkm[CNG],TableVerdeelsleutelVkm[Voertuigtype],"Lichte voertuigen")*SUMIFS(TableECFTransport[EnergieConsumptieFactor (PJ per km)],TableECFTransport[Index],CONCATENATE($A6,"_CNG_CNG"))</f>
        <v>9.9697586961918453E-6</v>
      </c>
      <c r="E6" s="434">
        <f>vkm_2011_GW_PW*SUMIFS(TableVerdeelsleutelVkm[LPG],TableVerdeelsleutelVkm[Voertuigtype],"Lichte voertuigen")*SUMIFS(TableECFTransport[EnergieConsumptieFactor (PJ per km)],TableECFTransport[Index],CONCATENATE($A6,"_LPG_LPG"))</f>
        <v>1.037292219183311E-3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0.12758979061597575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3.3591747823394504E-2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7.0637477483213194E-3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5.4836176570143544E-2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1.8802565045510162E-5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2.3688200826524198E-3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7.417928709300641E-7</v>
      </c>
      <c r="C8" s="432"/>
      <c r="D8" s="434">
        <f>vkm_2011_NGW_PW*SUMIFS(TableVerdeelsleutelVkm[CNG],TableVerdeelsleutelVkm[Voertuigtype],"Lichte voertuigen")*SUMIFS(TableECFTransport[EnergieConsumptieFactor (PJ per km)],TableECFTransport[Index],CONCATENATE($A8,"_CNG_CNG"))</f>
        <v>5.7369003045579299E-6</v>
      </c>
      <c r="E8" s="434">
        <f>vkm_2011_NGW_PW*SUMIFS(TableVerdeelsleutelVkm[LPG],TableVerdeelsleutelVkm[Voertuigtype],"Lichte voertuigen")*SUMIFS(TableECFTransport[EnergieConsumptieFactor (PJ per km)],TableECFTransport[Index],CONCATENATE($A8,"_LPG_LPG"))</f>
        <v>5.4500417981872824E-4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6.3583077871203042E-2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1.845152311829841E-2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3.5993262062187087E-3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1.0808843663667644E-2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3.2196705674217241E-6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4.6689928445955569E-4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2.1898832324731036E-6</v>
      </c>
      <c r="C10" s="432"/>
      <c r="D10" s="434">
        <f>vkm_2011_SW_PW*SUMIFS(TableVerdeelsleutelVkm[CNG],TableVerdeelsleutelVkm[Voertuigtype],"Lichte voertuigen")*SUMIFS(TableECFTransport[EnergieConsumptieFactor (PJ per km)],TableECFTransport[Index],CONCATENATE($A10,"_CNG_CNG"))</f>
        <v>9.7808774884136582E-6</v>
      </c>
      <c r="E10" s="434">
        <f>vkm_2011_SW_PW*SUMIFS(TableVerdeelsleutelVkm[LPG],TableVerdeelsleutelVkm[Voertuigtype],"Lichte voertuigen")*SUMIFS(TableECFTransport[EnergieConsumptieFactor (PJ per km)],TableECFTransport[Index],CONCATENATE($A10,"_LPG_LPG"))</f>
        <v>1.2740214604151387E-3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0.14406813093345505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3.4773613074404054E-2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7.829999103933203E-3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0.14582195545277338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5.3348318811695202E-5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6.2993901483663324E-3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1.4567697109020934</v>
      </c>
      <c r="C14" s="21"/>
      <c r="D14" s="21">
        <f t="shared" ref="D14:M14" si="0">((D5)*10^9/3600)+D12</f>
        <v>7.0798712469898417</v>
      </c>
      <c r="E14" s="21">
        <f t="shared" si="0"/>
        <v>793.4216276158827</v>
      </c>
      <c r="F14" s="21"/>
      <c r="G14" s="21">
        <f t="shared" si="0"/>
        <v>151863.32641867179</v>
      </c>
      <c r="H14" s="21">
        <f t="shared" si="0"/>
        <v>24136.737380700444</v>
      </c>
      <c r="I14" s="21"/>
      <c r="J14" s="21"/>
      <c r="K14" s="21"/>
      <c r="L14" s="21"/>
      <c r="M14" s="21">
        <f t="shared" si="0"/>
        <v>7674.4951594309823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0.21275190615759065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0.30993053282706262</v>
      </c>
      <c r="C18" s="23"/>
      <c r="D18" s="23">
        <f t="shared" ref="D18:M18" si="1">D14*D16</f>
        <v>1.430133991891948</v>
      </c>
      <c r="E18" s="23">
        <f t="shared" si="1"/>
        <v>180.10670946880538</v>
      </c>
      <c r="F18" s="23"/>
      <c r="G18" s="23">
        <f t="shared" si="1"/>
        <v>40547.508153785369</v>
      </c>
      <c r="H18" s="23">
        <f t="shared" si="1"/>
        <v>6010.0476077944104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8.9672219684968427E-3</v>
      </c>
      <c r="H50" s="322">
        <f t="shared" si="2"/>
        <v>0</v>
      </c>
      <c r="I50" s="322">
        <f t="shared" si="2"/>
        <v>0</v>
      </c>
      <c r="J50" s="322">
        <f t="shared" si="2"/>
        <v>0</v>
      </c>
      <c r="K50" s="322">
        <f t="shared" si="2"/>
        <v>0</v>
      </c>
      <c r="L50" s="322">
        <f t="shared" si="2"/>
        <v>0</v>
      </c>
      <c r="M50" s="322">
        <f t="shared" si="2"/>
        <v>3.8223371463130899E-4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8.9672219684968427E-3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3.8223371463130899E-4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2490.894991249123</v>
      </c>
      <c r="H54" s="21">
        <f t="shared" si="3"/>
        <v>0</v>
      </c>
      <c r="I54" s="21">
        <f t="shared" si="3"/>
        <v>0</v>
      </c>
      <c r="J54" s="21">
        <f t="shared" si="3"/>
        <v>0</v>
      </c>
      <c r="K54" s="21">
        <f t="shared" si="3"/>
        <v>0</v>
      </c>
      <c r="L54" s="21">
        <f t="shared" si="3"/>
        <v>0</v>
      </c>
      <c r="M54" s="21">
        <f t="shared" si="3"/>
        <v>106.17603184203027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0.21275190615759065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665.06896266351589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5869.4016437826158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5869.4016437826158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61355.979089467037</v>
      </c>
      <c r="D10" s="702">
        <f ca="1">tertiair!C16</f>
        <v>0</v>
      </c>
      <c r="E10" s="702">
        <f ca="1">tertiair!D16</f>
        <v>55017.718467009981</v>
      </c>
      <c r="F10" s="702">
        <f>tertiair!E16</f>
        <v>880.07654092510734</v>
      </c>
      <c r="G10" s="702">
        <f ca="1">tertiair!F16</f>
        <v>10861.280800409575</v>
      </c>
      <c r="H10" s="702">
        <f>tertiair!G16</f>
        <v>0</v>
      </c>
      <c r="I10" s="702">
        <f>tertiair!H16</f>
        <v>0</v>
      </c>
      <c r="J10" s="702">
        <f>tertiair!I16</f>
        <v>0</v>
      </c>
      <c r="K10" s="702">
        <f>tertiair!J16</f>
        <v>0</v>
      </c>
      <c r="L10" s="702">
        <f>tertiair!K16</f>
        <v>0</v>
      </c>
      <c r="M10" s="702">
        <f ca="1">tertiair!L16</f>
        <v>0</v>
      </c>
      <c r="N10" s="702">
        <f>tertiair!M16</f>
        <v>0</v>
      </c>
      <c r="O10" s="702">
        <f ca="1">tertiair!N16</f>
        <v>1382.4975389964302</v>
      </c>
      <c r="P10" s="702">
        <f>tertiair!O16</f>
        <v>3.1266666666666669</v>
      </c>
      <c r="Q10" s="703">
        <f>tertiair!P16</f>
        <v>38.133333333333333</v>
      </c>
      <c r="R10" s="705">
        <f ca="1">SUM(C10:Q10)</f>
        <v>129538.8124368081</v>
      </c>
      <c r="S10" s="67"/>
    </row>
    <row r="11" spans="1:19" s="457" customFormat="1">
      <c r="A11" s="858" t="s">
        <v>226</v>
      </c>
      <c r="B11" s="863"/>
      <c r="C11" s="702">
        <f>huishoudens!B8</f>
        <v>48255.127171320484</v>
      </c>
      <c r="D11" s="702">
        <f>huishoudens!C8</f>
        <v>0</v>
      </c>
      <c r="E11" s="702">
        <f>huishoudens!D8</f>
        <v>147944.81837247734</v>
      </c>
      <c r="F11" s="702">
        <f>huishoudens!E8</f>
        <v>4046.7500623183419</v>
      </c>
      <c r="G11" s="702">
        <f>huishoudens!F8</f>
        <v>0</v>
      </c>
      <c r="H11" s="702">
        <f>huishoudens!G8</f>
        <v>0</v>
      </c>
      <c r="I11" s="702">
        <f>huishoudens!H8</f>
        <v>0</v>
      </c>
      <c r="J11" s="702">
        <f>huishoudens!I8</f>
        <v>0</v>
      </c>
      <c r="K11" s="702">
        <f>huishoudens!J8</f>
        <v>7971.8528385597529</v>
      </c>
      <c r="L11" s="702">
        <f>huishoudens!K8</f>
        <v>0</v>
      </c>
      <c r="M11" s="702">
        <f>huishoudens!L8</f>
        <v>0</v>
      </c>
      <c r="N11" s="702">
        <f>huishoudens!M8</f>
        <v>0</v>
      </c>
      <c r="O11" s="702">
        <f>huishoudens!N8</f>
        <v>18538.672736146185</v>
      </c>
      <c r="P11" s="702">
        <f>huishoudens!O8</f>
        <v>126.63</v>
      </c>
      <c r="Q11" s="703">
        <f>huishoudens!P8</f>
        <v>209.73333333333335</v>
      </c>
      <c r="R11" s="705">
        <f>SUM(C11:Q11)</f>
        <v>227093.58451415546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46427.046697532831</v>
      </c>
      <c r="D13" s="702">
        <f>industrie!C18</f>
        <v>0</v>
      </c>
      <c r="E13" s="702">
        <f>industrie!D18</f>
        <v>55570.793241354666</v>
      </c>
      <c r="F13" s="702">
        <f>industrie!E18</f>
        <v>473.36073724353793</v>
      </c>
      <c r="G13" s="702">
        <f>industrie!F18</f>
        <v>13796.586733104257</v>
      </c>
      <c r="H13" s="702">
        <f>industrie!G18</f>
        <v>0</v>
      </c>
      <c r="I13" s="702">
        <f>industrie!H18</f>
        <v>0</v>
      </c>
      <c r="J13" s="702">
        <f>industrie!I18</f>
        <v>0</v>
      </c>
      <c r="K13" s="702">
        <f>industrie!J18</f>
        <v>223.123958594616</v>
      </c>
      <c r="L13" s="702">
        <f>industrie!K18</f>
        <v>0</v>
      </c>
      <c r="M13" s="702">
        <f>industrie!L18</f>
        <v>0</v>
      </c>
      <c r="N13" s="702">
        <f>industrie!M18</f>
        <v>0</v>
      </c>
      <c r="O13" s="702">
        <f>industrie!N18</f>
        <v>1285.5873554301329</v>
      </c>
      <c r="P13" s="702">
        <f>industrie!O18</f>
        <v>0</v>
      </c>
      <c r="Q13" s="703">
        <f>industrie!P18</f>
        <v>0</v>
      </c>
      <c r="R13" s="705">
        <f>SUM(C13:Q13)</f>
        <v>117776.49872326004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156038.15295832034</v>
      </c>
      <c r="D15" s="707">
        <f t="shared" ref="D15:Q15" ca="1" si="0">SUM(D9:D14)</f>
        <v>0</v>
      </c>
      <c r="E15" s="707">
        <f t="shared" ca="1" si="0"/>
        <v>258533.33008084199</v>
      </c>
      <c r="F15" s="707">
        <f t="shared" si="0"/>
        <v>5400.1873404869875</v>
      </c>
      <c r="G15" s="707">
        <f t="shared" ca="1" si="0"/>
        <v>24657.867533513832</v>
      </c>
      <c r="H15" s="707">
        <f t="shared" si="0"/>
        <v>0</v>
      </c>
      <c r="I15" s="707">
        <f t="shared" si="0"/>
        <v>0</v>
      </c>
      <c r="J15" s="707">
        <f t="shared" si="0"/>
        <v>0</v>
      </c>
      <c r="K15" s="707">
        <f t="shared" si="0"/>
        <v>8194.9767971543697</v>
      </c>
      <c r="L15" s="707">
        <f t="shared" si="0"/>
        <v>0</v>
      </c>
      <c r="M15" s="707">
        <f t="shared" ca="1" si="0"/>
        <v>0</v>
      </c>
      <c r="N15" s="707">
        <f t="shared" si="0"/>
        <v>0</v>
      </c>
      <c r="O15" s="707">
        <f t="shared" ca="1" si="0"/>
        <v>21206.757630572749</v>
      </c>
      <c r="P15" s="707">
        <f t="shared" si="0"/>
        <v>129.75666666666666</v>
      </c>
      <c r="Q15" s="708">
        <f t="shared" si="0"/>
        <v>247.86666666666667</v>
      </c>
      <c r="R15" s="709">
        <f ca="1">SUM(R9:R14)</f>
        <v>474408.89567422355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2490.894991249123</v>
      </c>
      <c r="I18" s="702">
        <f>transport!H54</f>
        <v>0</v>
      </c>
      <c r="J18" s="702">
        <f>transport!I54</f>
        <v>0</v>
      </c>
      <c r="K18" s="702">
        <f>transport!J54</f>
        <v>0</v>
      </c>
      <c r="L18" s="702">
        <f>transport!K54</f>
        <v>0</v>
      </c>
      <c r="M18" s="702">
        <f>transport!L54</f>
        <v>0</v>
      </c>
      <c r="N18" s="702">
        <f>transport!M54</f>
        <v>106.17603184203027</v>
      </c>
      <c r="O18" s="702">
        <f>transport!N54</f>
        <v>0</v>
      </c>
      <c r="P18" s="702">
        <f>transport!O54</f>
        <v>0</v>
      </c>
      <c r="Q18" s="703">
        <f>transport!P54</f>
        <v>0</v>
      </c>
      <c r="R18" s="705">
        <f>SUM(C18:Q18)</f>
        <v>2597.0710230911532</v>
      </c>
      <c r="S18" s="67"/>
    </row>
    <row r="19" spans="1:19" s="457" customFormat="1" ht="15" thickBot="1">
      <c r="A19" s="858" t="s">
        <v>308</v>
      </c>
      <c r="B19" s="863"/>
      <c r="C19" s="711">
        <f>transport!B14</f>
        <v>1.4567697109020934</v>
      </c>
      <c r="D19" s="711">
        <f>transport!C14</f>
        <v>0</v>
      </c>
      <c r="E19" s="711">
        <f>transport!D14</f>
        <v>7.0798712469898417</v>
      </c>
      <c r="F19" s="711">
        <f>transport!E14</f>
        <v>793.4216276158827</v>
      </c>
      <c r="G19" s="711">
        <f>transport!F14</f>
        <v>0</v>
      </c>
      <c r="H19" s="711">
        <f>transport!G14</f>
        <v>151863.32641867179</v>
      </c>
      <c r="I19" s="711">
        <f>transport!H14</f>
        <v>24136.737380700444</v>
      </c>
      <c r="J19" s="711">
        <f>transport!I14</f>
        <v>0</v>
      </c>
      <c r="K19" s="711">
        <f>transport!J14</f>
        <v>0</v>
      </c>
      <c r="L19" s="711">
        <f>transport!K14</f>
        <v>0</v>
      </c>
      <c r="M19" s="711">
        <f>transport!L14</f>
        <v>0</v>
      </c>
      <c r="N19" s="711">
        <f>transport!M14</f>
        <v>7674.4951594309823</v>
      </c>
      <c r="O19" s="711">
        <f>transport!N14</f>
        <v>0</v>
      </c>
      <c r="P19" s="711">
        <f>transport!O14</f>
        <v>0</v>
      </c>
      <c r="Q19" s="712">
        <f>transport!P14</f>
        <v>0</v>
      </c>
      <c r="R19" s="713">
        <f>SUM(C19:Q19)</f>
        <v>184476.51722737699</v>
      </c>
      <c r="S19" s="67"/>
    </row>
    <row r="20" spans="1:19" s="457" customFormat="1" ht="15.75" thickBot="1">
      <c r="A20" s="714" t="s">
        <v>231</v>
      </c>
      <c r="B20" s="866"/>
      <c r="C20" s="861">
        <f>SUM(C17:C19)</f>
        <v>1.4567697109020934</v>
      </c>
      <c r="D20" s="715">
        <f t="shared" ref="D20:R20" si="1">SUM(D17:D19)</f>
        <v>0</v>
      </c>
      <c r="E20" s="715">
        <f t="shared" si="1"/>
        <v>7.0798712469898417</v>
      </c>
      <c r="F20" s="715">
        <f t="shared" si="1"/>
        <v>793.4216276158827</v>
      </c>
      <c r="G20" s="715">
        <f t="shared" si="1"/>
        <v>0</v>
      </c>
      <c r="H20" s="715">
        <f t="shared" si="1"/>
        <v>154354.22140992092</v>
      </c>
      <c r="I20" s="715">
        <f t="shared" si="1"/>
        <v>24136.737380700444</v>
      </c>
      <c r="J20" s="715">
        <f t="shared" si="1"/>
        <v>0</v>
      </c>
      <c r="K20" s="715">
        <f t="shared" si="1"/>
        <v>0</v>
      </c>
      <c r="L20" s="715">
        <f t="shared" si="1"/>
        <v>0</v>
      </c>
      <c r="M20" s="715">
        <f t="shared" si="1"/>
        <v>0</v>
      </c>
      <c r="N20" s="715">
        <f t="shared" si="1"/>
        <v>7780.6711912730125</v>
      </c>
      <c r="O20" s="715">
        <f t="shared" si="1"/>
        <v>0</v>
      </c>
      <c r="P20" s="715">
        <f t="shared" si="1"/>
        <v>0</v>
      </c>
      <c r="Q20" s="716">
        <f t="shared" si="1"/>
        <v>0</v>
      </c>
      <c r="R20" s="717">
        <f t="shared" si="1"/>
        <v>187073.58825046814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1225.5460836602667</v>
      </c>
      <c r="D22" s="711">
        <f>+landbouw!C8</f>
        <v>0</v>
      </c>
      <c r="E22" s="711">
        <f>+landbouw!D8</f>
        <v>8105.1962268633515</v>
      </c>
      <c r="F22" s="711">
        <f>+landbouw!E8</f>
        <v>12.834183907997748</v>
      </c>
      <c r="G22" s="711">
        <f>+landbouw!F8</f>
        <v>6294.599822356593</v>
      </c>
      <c r="H22" s="711">
        <f>+landbouw!G8</f>
        <v>0</v>
      </c>
      <c r="I22" s="711">
        <f>+landbouw!H8</f>
        <v>0</v>
      </c>
      <c r="J22" s="711">
        <f>+landbouw!I8</f>
        <v>0</v>
      </c>
      <c r="K22" s="711">
        <f>+landbouw!J8</f>
        <v>109.45225002780592</v>
      </c>
      <c r="L22" s="711">
        <f>+landbouw!K8</f>
        <v>0</v>
      </c>
      <c r="M22" s="711">
        <f>+landbouw!L8</f>
        <v>0</v>
      </c>
      <c r="N22" s="711">
        <f>+landbouw!M8</f>
        <v>0</v>
      </c>
      <c r="O22" s="711">
        <f>+landbouw!N8</f>
        <v>0</v>
      </c>
      <c r="P22" s="711">
        <f>+landbouw!O8</f>
        <v>0</v>
      </c>
      <c r="Q22" s="712">
        <f>+landbouw!P8</f>
        <v>0</v>
      </c>
      <c r="R22" s="713">
        <f>SUM(C22:Q22)</f>
        <v>15747.628566816014</v>
      </c>
      <c r="S22" s="67"/>
    </row>
    <row r="23" spans="1:19" s="457" customFormat="1" ht="17.25" thickTop="1" thickBot="1">
      <c r="A23" s="718" t="s">
        <v>116</v>
      </c>
      <c r="B23" s="852"/>
      <c r="C23" s="719">
        <f ca="1">C20+C15+C22</f>
        <v>157265.15581169151</v>
      </c>
      <c r="D23" s="719">
        <f t="shared" ref="D23:Q23" ca="1" si="2">D20+D15+D22</f>
        <v>0</v>
      </c>
      <c r="E23" s="719">
        <f t="shared" ca="1" si="2"/>
        <v>266645.60617895232</v>
      </c>
      <c r="F23" s="719">
        <f t="shared" si="2"/>
        <v>6206.4431520108674</v>
      </c>
      <c r="G23" s="719">
        <f t="shared" ca="1" si="2"/>
        <v>30952.467355870423</v>
      </c>
      <c r="H23" s="719">
        <f t="shared" si="2"/>
        <v>154354.22140992092</v>
      </c>
      <c r="I23" s="719">
        <f t="shared" si="2"/>
        <v>24136.737380700444</v>
      </c>
      <c r="J23" s="719">
        <f t="shared" si="2"/>
        <v>0</v>
      </c>
      <c r="K23" s="719">
        <f t="shared" si="2"/>
        <v>8304.4290471821751</v>
      </c>
      <c r="L23" s="719">
        <f t="shared" si="2"/>
        <v>0</v>
      </c>
      <c r="M23" s="719">
        <f t="shared" ca="1" si="2"/>
        <v>0</v>
      </c>
      <c r="N23" s="719">
        <f t="shared" si="2"/>
        <v>7780.6711912730125</v>
      </c>
      <c r="O23" s="719">
        <f t="shared" ca="1" si="2"/>
        <v>21206.757630572749</v>
      </c>
      <c r="P23" s="719">
        <f t="shared" si="2"/>
        <v>129.75666666666666</v>
      </c>
      <c r="Q23" s="720">
        <f t="shared" si="2"/>
        <v>247.86666666666667</v>
      </c>
      <c r="R23" s="721">
        <f ca="1">R20+R15+R22</f>
        <v>677230.11249150767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13053.601505449386</v>
      </c>
      <c r="D36" s="702">
        <f ca="1">tertiair!C20</f>
        <v>0</v>
      </c>
      <c r="E36" s="702">
        <f ca="1">tertiair!D20</f>
        <v>11113.579130336017</v>
      </c>
      <c r="F36" s="702">
        <f>tertiair!E20</f>
        <v>199.77737478999939</v>
      </c>
      <c r="G36" s="702">
        <f ca="1">tertiair!F20</f>
        <v>2899.9619737093567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27266.919984284756</v>
      </c>
    </row>
    <row r="37" spans="1:18">
      <c r="A37" s="873" t="s">
        <v>226</v>
      </c>
      <c r="B37" s="880"/>
      <c r="C37" s="702">
        <f ca="1">huishoudens!B12</f>
        <v>10266.370287575379</v>
      </c>
      <c r="D37" s="702">
        <f ca="1">huishoudens!C12</f>
        <v>0</v>
      </c>
      <c r="E37" s="702">
        <f>huishoudens!D12</f>
        <v>29884.853311240426</v>
      </c>
      <c r="F37" s="702">
        <f>huishoudens!E12</f>
        <v>918.61226414626367</v>
      </c>
      <c r="G37" s="702">
        <f>huishoudens!F12</f>
        <v>0</v>
      </c>
      <c r="H37" s="702">
        <f>huishoudens!G12</f>
        <v>0</v>
      </c>
      <c r="I37" s="702">
        <f>huishoudens!H12</f>
        <v>0</v>
      </c>
      <c r="J37" s="702">
        <f>huishoudens!I12</f>
        <v>0</v>
      </c>
      <c r="K37" s="702">
        <f>huishoudens!J12</f>
        <v>2822.0359048501523</v>
      </c>
      <c r="L37" s="702">
        <f>huishoudens!K12</f>
        <v>0</v>
      </c>
      <c r="M37" s="702">
        <f>huishoudens!L12</f>
        <v>0</v>
      </c>
      <c r="N37" s="702">
        <f>huishoudens!M12</f>
        <v>0</v>
      </c>
      <c r="O37" s="702">
        <f>huishoudens!N12</f>
        <v>0</v>
      </c>
      <c r="P37" s="702">
        <f>huishoudens!O12</f>
        <v>0</v>
      </c>
      <c r="Q37" s="812">
        <f>huishoudens!P12</f>
        <v>0</v>
      </c>
      <c r="R37" s="905">
        <f ca="1">SUM(C37:Q37)</f>
        <v>43891.871767812219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9877.4426821675843</v>
      </c>
      <c r="D39" s="702">
        <f ca="1">industrie!C22</f>
        <v>0</v>
      </c>
      <c r="E39" s="702">
        <f>industrie!D22</f>
        <v>11225.300234753644</v>
      </c>
      <c r="F39" s="702">
        <f>industrie!E22</f>
        <v>107.45288735428311</v>
      </c>
      <c r="G39" s="702">
        <f>industrie!F22</f>
        <v>3683.6886577388368</v>
      </c>
      <c r="H39" s="702">
        <f>industrie!G22</f>
        <v>0</v>
      </c>
      <c r="I39" s="702">
        <f>industrie!H22</f>
        <v>0</v>
      </c>
      <c r="J39" s="702">
        <f>industrie!I22</f>
        <v>0</v>
      </c>
      <c r="K39" s="702">
        <f>industrie!J22</f>
        <v>78.985881342494054</v>
      </c>
      <c r="L39" s="702">
        <f>industrie!K22</f>
        <v>0</v>
      </c>
      <c r="M39" s="702">
        <f>industrie!L22</f>
        <v>0</v>
      </c>
      <c r="N39" s="702">
        <f>industrie!M22</f>
        <v>0</v>
      </c>
      <c r="O39" s="702">
        <f>industrie!N22</f>
        <v>0</v>
      </c>
      <c r="P39" s="702">
        <f>industrie!O22</f>
        <v>0</v>
      </c>
      <c r="Q39" s="812">
        <f>industrie!P22</f>
        <v>0</v>
      </c>
      <c r="R39" s="906">
        <f ca="1">SUM(C39:Q39)</f>
        <v>24972.870343356841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33197.414475192345</v>
      </c>
      <c r="D41" s="747">
        <f t="shared" ref="D41:R41" ca="1" si="4">SUM(D35:D40)</f>
        <v>0</v>
      </c>
      <c r="E41" s="747">
        <f t="shared" ca="1" si="4"/>
        <v>52223.732676330088</v>
      </c>
      <c r="F41" s="747">
        <f t="shared" si="4"/>
        <v>1225.8425262905462</v>
      </c>
      <c r="G41" s="747">
        <f t="shared" ca="1" si="4"/>
        <v>6583.650631448194</v>
      </c>
      <c r="H41" s="747">
        <f t="shared" si="4"/>
        <v>0</v>
      </c>
      <c r="I41" s="747">
        <f t="shared" si="4"/>
        <v>0</v>
      </c>
      <c r="J41" s="747">
        <f t="shared" si="4"/>
        <v>0</v>
      </c>
      <c r="K41" s="747">
        <f t="shared" si="4"/>
        <v>2901.0217861926462</v>
      </c>
      <c r="L41" s="747">
        <f t="shared" si="4"/>
        <v>0</v>
      </c>
      <c r="M41" s="747">
        <f t="shared" ca="1" si="4"/>
        <v>0</v>
      </c>
      <c r="N41" s="747">
        <f t="shared" si="4"/>
        <v>0</v>
      </c>
      <c r="O41" s="747">
        <f t="shared" ca="1" si="4"/>
        <v>0</v>
      </c>
      <c r="P41" s="747">
        <f t="shared" si="4"/>
        <v>0</v>
      </c>
      <c r="Q41" s="748">
        <f t="shared" si="4"/>
        <v>0</v>
      </c>
      <c r="R41" s="749">
        <f t="shared" ca="1" si="4"/>
        <v>96131.662095453823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665.06896266351589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665.06896266351589</v>
      </c>
    </row>
    <row r="45" spans="1:18" ht="15" thickBot="1">
      <c r="A45" s="876" t="s">
        <v>308</v>
      </c>
      <c r="B45" s="886"/>
      <c r="C45" s="711">
        <f ca="1">transport!B18</f>
        <v>0.30993053282706262</v>
      </c>
      <c r="D45" s="711">
        <f>transport!C18</f>
        <v>0</v>
      </c>
      <c r="E45" s="711">
        <f>transport!D18</f>
        <v>1.430133991891948</v>
      </c>
      <c r="F45" s="711">
        <f>transport!E18</f>
        <v>180.10670946880538</v>
      </c>
      <c r="G45" s="711">
        <f>transport!F18</f>
        <v>0</v>
      </c>
      <c r="H45" s="711">
        <f>transport!G18</f>
        <v>40547.508153785369</v>
      </c>
      <c r="I45" s="711">
        <f>transport!H18</f>
        <v>6010.0476077944104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46739.402535573303</v>
      </c>
    </row>
    <row r="46" spans="1:18" ht="15.75" thickBot="1">
      <c r="A46" s="874" t="s">
        <v>231</v>
      </c>
      <c r="B46" s="887"/>
      <c r="C46" s="747">
        <f t="shared" ref="C46:R46" ca="1" si="5">SUM(C43:C45)</f>
        <v>0.30993053282706262</v>
      </c>
      <c r="D46" s="747">
        <f t="shared" ca="1" si="5"/>
        <v>0</v>
      </c>
      <c r="E46" s="747">
        <f t="shared" si="5"/>
        <v>1.430133991891948</v>
      </c>
      <c r="F46" s="747">
        <f t="shared" si="5"/>
        <v>180.10670946880538</v>
      </c>
      <c r="G46" s="747">
        <f t="shared" si="5"/>
        <v>0</v>
      </c>
      <c r="H46" s="747">
        <f t="shared" si="5"/>
        <v>41212.577116448883</v>
      </c>
      <c r="I46" s="747">
        <f t="shared" si="5"/>
        <v>6010.0476077944104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47404.471498236817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260.73726538269182</v>
      </c>
      <c r="D48" s="702">
        <f ca="1">+landbouw!C12</f>
        <v>0</v>
      </c>
      <c r="E48" s="702">
        <f>+landbouw!D12</f>
        <v>1637.249637826397</v>
      </c>
      <c r="F48" s="702">
        <f>+landbouw!E12</f>
        <v>2.9133597471154888</v>
      </c>
      <c r="G48" s="702">
        <f>+landbouw!F12</f>
        <v>1680.6581525692104</v>
      </c>
      <c r="H48" s="702">
        <f>+landbouw!G12</f>
        <v>0</v>
      </c>
      <c r="I48" s="702">
        <f>+landbouw!H12</f>
        <v>0</v>
      </c>
      <c r="J48" s="702">
        <f>+landbouw!I12</f>
        <v>0</v>
      </c>
      <c r="K48" s="702">
        <f>+landbouw!J12</f>
        <v>38.746096509843291</v>
      </c>
      <c r="L48" s="702">
        <f>+landbouw!K12</f>
        <v>0</v>
      </c>
      <c r="M48" s="702">
        <f>+landbouw!L12</f>
        <v>0</v>
      </c>
      <c r="N48" s="702">
        <f>+landbouw!M12</f>
        <v>0</v>
      </c>
      <c r="O48" s="702">
        <f>+landbouw!N12</f>
        <v>0</v>
      </c>
      <c r="P48" s="702">
        <f>+landbouw!O12</f>
        <v>0</v>
      </c>
      <c r="Q48" s="703">
        <f>+landbouw!P12</f>
        <v>0</v>
      </c>
      <c r="R48" s="745">
        <f ca="1">SUM(C48:Q48)</f>
        <v>3620.3045120352581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33458.461671107863</v>
      </c>
      <c r="D53" s="757">
        <f t="shared" ref="D53:Q53" ca="1" si="6">D41+D46+D48</f>
        <v>0</v>
      </c>
      <c r="E53" s="757">
        <f t="shared" ca="1" si="6"/>
        <v>53862.412448148374</v>
      </c>
      <c r="F53" s="757">
        <f t="shared" si="6"/>
        <v>1408.862595506467</v>
      </c>
      <c r="G53" s="757">
        <f t="shared" ca="1" si="6"/>
        <v>8264.3087840174048</v>
      </c>
      <c r="H53" s="757">
        <f t="shared" si="6"/>
        <v>41212.577116448883</v>
      </c>
      <c r="I53" s="757">
        <f t="shared" si="6"/>
        <v>6010.0476077944104</v>
      </c>
      <c r="J53" s="757">
        <f t="shared" si="6"/>
        <v>0</v>
      </c>
      <c r="K53" s="757">
        <f t="shared" si="6"/>
        <v>2939.7678827024897</v>
      </c>
      <c r="L53" s="757">
        <f t="shared" si="6"/>
        <v>0</v>
      </c>
      <c r="M53" s="757">
        <f t="shared" ca="1" si="6"/>
        <v>0</v>
      </c>
      <c r="N53" s="757">
        <f t="shared" si="6"/>
        <v>0</v>
      </c>
      <c r="O53" s="757">
        <f t="shared" ca="1" si="6"/>
        <v>0</v>
      </c>
      <c r="P53" s="757">
        <f>P41+P46+P48</f>
        <v>0</v>
      </c>
      <c r="Q53" s="758">
        <f t="shared" si="6"/>
        <v>0</v>
      </c>
      <c r="R53" s="759">
        <f ca="1">R41+R46+R48</f>
        <v>147156.43810572589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0.21275190615759065</v>
      </c>
      <c r="D55" s="823">
        <f t="shared" ca="1" si="7"/>
        <v>0</v>
      </c>
      <c r="E55" s="823">
        <f t="shared" ca="1" si="7"/>
        <v>0.20200000000000001</v>
      </c>
      <c r="F55" s="823">
        <f t="shared" si="7"/>
        <v>0.22700000000000001</v>
      </c>
      <c r="G55" s="823">
        <f t="shared" ca="1" si="7"/>
        <v>0.26700000000000007</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5869.4016437826158</v>
      </c>
      <c r="C66" s="779">
        <f>'lokale energieproductie'!B6</f>
        <v>5869.4016437826158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5869.4016437826158</v>
      </c>
      <c r="C69" s="787">
        <f>SUM(C64:C68)</f>
        <v>5869.4016437826158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48255.127171320484</v>
      </c>
      <c r="C4" s="461">
        <f>huishoudens!C8</f>
        <v>0</v>
      </c>
      <c r="D4" s="461">
        <f>huishoudens!D8</f>
        <v>147944.81837247734</v>
      </c>
      <c r="E4" s="461">
        <f>huishoudens!E8</f>
        <v>4046.7500623183419</v>
      </c>
      <c r="F4" s="461">
        <f>huishoudens!F8</f>
        <v>0</v>
      </c>
      <c r="G4" s="461">
        <f>huishoudens!G8</f>
        <v>0</v>
      </c>
      <c r="H4" s="461">
        <f>huishoudens!H8</f>
        <v>0</v>
      </c>
      <c r="I4" s="461">
        <f>huishoudens!I8</f>
        <v>0</v>
      </c>
      <c r="J4" s="461">
        <f>huishoudens!J8</f>
        <v>7971.8528385597529</v>
      </c>
      <c r="K4" s="461">
        <f>huishoudens!K8</f>
        <v>0</v>
      </c>
      <c r="L4" s="461">
        <f>huishoudens!L8</f>
        <v>0</v>
      </c>
      <c r="M4" s="461">
        <f>huishoudens!M8</f>
        <v>0</v>
      </c>
      <c r="N4" s="461">
        <f>huishoudens!N8</f>
        <v>18538.672736146185</v>
      </c>
      <c r="O4" s="461">
        <f>huishoudens!O8</f>
        <v>126.63</v>
      </c>
      <c r="P4" s="462">
        <f>huishoudens!P8</f>
        <v>209.73333333333335</v>
      </c>
      <c r="Q4" s="463">
        <f>SUM(B4:P4)</f>
        <v>227093.58451415546</v>
      </c>
    </row>
    <row r="5" spans="1:17">
      <c r="A5" s="460" t="s">
        <v>156</v>
      </c>
      <c r="B5" s="461">
        <f ca="1">tertiair!B16</f>
        <v>58867.612089467038</v>
      </c>
      <c r="C5" s="461">
        <f ca="1">tertiair!C16</f>
        <v>0</v>
      </c>
      <c r="D5" s="461">
        <f ca="1">tertiair!D16</f>
        <v>55017.718467009981</v>
      </c>
      <c r="E5" s="461">
        <f>tertiair!E16</f>
        <v>880.07654092510734</v>
      </c>
      <c r="F5" s="461">
        <f ca="1">tertiair!F16</f>
        <v>10861.280800409575</v>
      </c>
      <c r="G5" s="461">
        <f>tertiair!G16</f>
        <v>0</v>
      </c>
      <c r="H5" s="461">
        <f>tertiair!H16</f>
        <v>0</v>
      </c>
      <c r="I5" s="461">
        <f>tertiair!I16</f>
        <v>0</v>
      </c>
      <c r="J5" s="461">
        <f>tertiair!J16</f>
        <v>0</v>
      </c>
      <c r="K5" s="461">
        <f>tertiair!K16</f>
        <v>0</v>
      </c>
      <c r="L5" s="461">
        <f ca="1">tertiair!L16</f>
        <v>0</v>
      </c>
      <c r="M5" s="461">
        <f>tertiair!M16</f>
        <v>0</v>
      </c>
      <c r="N5" s="461">
        <f ca="1">tertiair!N16</f>
        <v>1382.4975389964302</v>
      </c>
      <c r="O5" s="461">
        <f>tertiair!O16</f>
        <v>3.1266666666666669</v>
      </c>
      <c r="P5" s="462">
        <f>tertiair!P16</f>
        <v>38.133333333333333</v>
      </c>
      <c r="Q5" s="460">
        <f t="shared" ref="Q5:Q13" ca="1" si="0">SUM(B5:P5)</f>
        <v>127050.44543680811</v>
      </c>
    </row>
    <row r="6" spans="1:17">
      <c r="A6" s="460" t="s">
        <v>195</v>
      </c>
      <c r="B6" s="461">
        <f>'openbare verlichting'!B8</f>
        <v>2488.3670000000002</v>
      </c>
      <c r="C6" s="461"/>
      <c r="D6" s="461"/>
      <c r="E6" s="461"/>
      <c r="F6" s="461"/>
      <c r="G6" s="461"/>
      <c r="H6" s="461"/>
      <c r="I6" s="461"/>
      <c r="J6" s="461"/>
      <c r="K6" s="461"/>
      <c r="L6" s="461"/>
      <c r="M6" s="461"/>
      <c r="N6" s="461"/>
      <c r="O6" s="461"/>
      <c r="P6" s="462"/>
      <c r="Q6" s="460">
        <f t="shared" si="0"/>
        <v>2488.3670000000002</v>
      </c>
    </row>
    <row r="7" spans="1:17">
      <c r="A7" s="460" t="s">
        <v>112</v>
      </c>
      <c r="B7" s="461">
        <f>landbouw!B8</f>
        <v>1225.5460836602667</v>
      </c>
      <c r="C7" s="461">
        <f>landbouw!C8</f>
        <v>0</v>
      </c>
      <c r="D7" s="461">
        <f>landbouw!D8</f>
        <v>8105.1962268633515</v>
      </c>
      <c r="E7" s="461">
        <f>landbouw!E8</f>
        <v>12.834183907997748</v>
      </c>
      <c r="F7" s="461">
        <f>landbouw!F8</f>
        <v>6294.599822356593</v>
      </c>
      <c r="G7" s="461">
        <f>landbouw!G8</f>
        <v>0</v>
      </c>
      <c r="H7" s="461">
        <f>landbouw!H8</f>
        <v>0</v>
      </c>
      <c r="I7" s="461">
        <f>landbouw!I8</f>
        <v>0</v>
      </c>
      <c r="J7" s="461">
        <f>landbouw!J8</f>
        <v>109.45225002780592</v>
      </c>
      <c r="K7" s="461">
        <f>landbouw!K8</f>
        <v>0</v>
      </c>
      <c r="L7" s="461">
        <f>landbouw!L8</f>
        <v>0</v>
      </c>
      <c r="M7" s="461">
        <f>landbouw!M8</f>
        <v>0</v>
      </c>
      <c r="N7" s="461">
        <f>landbouw!N8</f>
        <v>0</v>
      </c>
      <c r="O7" s="461">
        <f>landbouw!O8</f>
        <v>0</v>
      </c>
      <c r="P7" s="462">
        <f>landbouw!P8</f>
        <v>0</v>
      </c>
      <c r="Q7" s="460">
        <f t="shared" si="0"/>
        <v>15747.628566816014</v>
      </c>
    </row>
    <row r="8" spans="1:17">
      <c r="A8" s="460" t="s">
        <v>656</v>
      </c>
      <c r="B8" s="461">
        <f>industrie!B18</f>
        <v>46427.046697532831</v>
      </c>
      <c r="C8" s="461">
        <f>industrie!C18</f>
        <v>0</v>
      </c>
      <c r="D8" s="461">
        <f>industrie!D18</f>
        <v>55570.793241354666</v>
      </c>
      <c r="E8" s="461">
        <f>industrie!E18</f>
        <v>473.36073724353793</v>
      </c>
      <c r="F8" s="461">
        <f>industrie!F18</f>
        <v>13796.586733104257</v>
      </c>
      <c r="G8" s="461">
        <f>industrie!G18</f>
        <v>0</v>
      </c>
      <c r="H8" s="461">
        <f>industrie!H18</f>
        <v>0</v>
      </c>
      <c r="I8" s="461">
        <f>industrie!I18</f>
        <v>0</v>
      </c>
      <c r="J8" s="461">
        <f>industrie!J18</f>
        <v>223.123958594616</v>
      </c>
      <c r="K8" s="461">
        <f>industrie!K18</f>
        <v>0</v>
      </c>
      <c r="L8" s="461">
        <f>industrie!L18</f>
        <v>0</v>
      </c>
      <c r="M8" s="461">
        <f>industrie!M18</f>
        <v>0</v>
      </c>
      <c r="N8" s="461">
        <f>industrie!N18</f>
        <v>1285.5873554301329</v>
      </c>
      <c r="O8" s="461">
        <f>industrie!O18</f>
        <v>0</v>
      </c>
      <c r="P8" s="462">
        <f>industrie!P18</f>
        <v>0</v>
      </c>
      <c r="Q8" s="460">
        <f t="shared" si="0"/>
        <v>117776.49872326004</v>
      </c>
    </row>
    <row r="9" spans="1:17" s="466" customFormat="1">
      <c r="A9" s="464" t="s">
        <v>574</v>
      </c>
      <c r="B9" s="465">
        <f>transport!B14</f>
        <v>1.4567697109020934</v>
      </c>
      <c r="C9" s="465">
        <f>transport!C14</f>
        <v>0</v>
      </c>
      <c r="D9" s="465">
        <f>transport!D14</f>
        <v>7.0798712469898417</v>
      </c>
      <c r="E9" s="465">
        <f>transport!E14</f>
        <v>793.4216276158827</v>
      </c>
      <c r="F9" s="465">
        <f>transport!F14</f>
        <v>0</v>
      </c>
      <c r="G9" s="465">
        <f>transport!G14</f>
        <v>151863.32641867179</v>
      </c>
      <c r="H9" s="465">
        <f>transport!H14</f>
        <v>24136.737380700444</v>
      </c>
      <c r="I9" s="465">
        <f>transport!I14</f>
        <v>0</v>
      </c>
      <c r="J9" s="465">
        <f>transport!J14</f>
        <v>0</v>
      </c>
      <c r="K9" s="465">
        <f>transport!K14</f>
        <v>0</v>
      </c>
      <c r="L9" s="465">
        <f>transport!L14</f>
        <v>0</v>
      </c>
      <c r="M9" s="465">
        <f>transport!M14</f>
        <v>7674.4951594309823</v>
      </c>
      <c r="N9" s="465">
        <f>transport!N14</f>
        <v>0</v>
      </c>
      <c r="O9" s="465">
        <f>transport!O14</f>
        <v>0</v>
      </c>
      <c r="P9" s="465">
        <f>transport!P14</f>
        <v>0</v>
      </c>
      <c r="Q9" s="464">
        <f>SUM(B9:P9)</f>
        <v>184476.51722737699</v>
      </c>
    </row>
    <row r="10" spans="1:17">
      <c r="A10" s="460" t="s">
        <v>564</v>
      </c>
      <c r="B10" s="461">
        <f>transport!B54</f>
        <v>0</v>
      </c>
      <c r="C10" s="461">
        <f>transport!C54</f>
        <v>0</v>
      </c>
      <c r="D10" s="461">
        <f>transport!D54</f>
        <v>0</v>
      </c>
      <c r="E10" s="461">
        <f>transport!E54</f>
        <v>0</v>
      </c>
      <c r="F10" s="461">
        <f>transport!F54</f>
        <v>0</v>
      </c>
      <c r="G10" s="461">
        <f>transport!G54</f>
        <v>2490.894991249123</v>
      </c>
      <c r="H10" s="461">
        <f>transport!H54</f>
        <v>0</v>
      </c>
      <c r="I10" s="461">
        <f>transport!I54</f>
        <v>0</v>
      </c>
      <c r="J10" s="461">
        <f>transport!J54</f>
        <v>0</v>
      </c>
      <c r="K10" s="461">
        <f>transport!K54</f>
        <v>0</v>
      </c>
      <c r="L10" s="461">
        <f>transport!L54</f>
        <v>0</v>
      </c>
      <c r="M10" s="461">
        <f>transport!M54</f>
        <v>106.17603184203027</v>
      </c>
      <c r="N10" s="461">
        <f>transport!N54</f>
        <v>0</v>
      </c>
      <c r="O10" s="461">
        <f>transport!O54</f>
        <v>0</v>
      </c>
      <c r="P10" s="462">
        <f>transport!P54</f>
        <v>0</v>
      </c>
      <c r="Q10" s="460">
        <f t="shared" si="0"/>
        <v>2597.0710230911532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157265.15581169151</v>
      </c>
      <c r="C14" s="471">
        <f t="shared" ref="C14:Q14" ca="1" si="1">SUM(C4:C13)</f>
        <v>0</v>
      </c>
      <c r="D14" s="471">
        <f t="shared" ca="1" si="1"/>
        <v>266645.60617895232</v>
      </c>
      <c r="E14" s="471">
        <f t="shared" si="1"/>
        <v>6206.4431520108683</v>
      </c>
      <c r="F14" s="471">
        <f t="shared" ca="1" si="1"/>
        <v>30952.467355870427</v>
      </c>
      <c r="G14" s="471">
        <f t="shared" si="1"/>
        <v>154354.22140992092</v>
      </c>
      <c r="H14" s="471">
        <f t="shared" si="1"/>
        <v>24136.737380700444</v>
      </c>
      <c r="I14" s="471">
        <f t="shared" si="1"/>
        <v>0</v>
      </c>
      <c r="J14" s="471">
        <f t="shared" si="1"/>
        <v>8304.4290471821751</v>
      </c>
      <c r="K14" s="471">
        <f t="shared" si="1"/>
        <v>0</v>
      </c>
      <c r="L14" s="471">
        <f t="shared" ca="1" si="1"/>
        <v>0</v>
      </c>
      <c r="M14" s="471">
        <f t="shared" si="1"/>
        <v>7780.6711912730125</v>
      </c>
      <c r="N14" s="471">
        <f t="shared" ca="1" si="1"/>
        <v>21206.757630572749</v>
      </c>
      <c r="O14" s="471">
        <f t="shared" si="1"/>
        <v>129.75666666666666</v>
      </c>
      <c r="P14" s="472">
        <f t="shared" si="1"/>
        <v>247.86666666666667</v>
      </c>
      <c r="Q14" s="472">
        <f t="shared" ca="1" si="1"/>
        <v>677230.11249150778</v>
      </c>
    </row>
    <row r="16" spans="1:17">
      <c r="A16" s="474" t="s">
        <v>569</v>
      </c>
      <c r="B16" s="828">
        <f ca="1">huishoudens!B10</f>
        <v>0.21275190615759065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10266.370287575379</v>
      </c>
      <c r="C21" s="461">
        <f t="shared" ref="C21:C30" ca="1" si="3">C4*$C$16</f>
        <v>0</v>
      </c>
      <c r="D21" s="461">
        <f t="shared" ref="D21:D30" si="4">D4*$D$16</f>
        <v>29884.853311240426</v>
      </c>
      <c r="E21" s="461">
        <f t="shared" ref="E21:E30" si="5">E4*$E$16</f>
        <v>918.61226414626367</v>
      </c>
      <c r="F21" s="461">
        <f t="shared" ref="F21:F30" si="6">F4*$F$16</f>
        <v>0</v>
      </c>
      <c r="G21" s="461">
        <f t="shared" ref="G21:G30" si="7">G4*$G$16</f>
        <v>0</v>
      </c>
      <c r="H21" s="461">
        <f t="shared" ref="H21:H30" si="8">H4*$H$16</f>
        <v>0</v>
      </c>
      <c r="I21" s="461">
        <f t="shared" ref="I21:I30" si="9">I4*$I$16</f>
        <v>0</v>
      </c>
      <c r="J21" s="461">
        <f t="shared" ref="J21:J30" si="10">J4*$J$16</f>
        <v>2822.0359048501523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43891.871767812219</v>
      </c>
    </row>
    <row r="22" spans="1:17">
      <c r="A22" s="460" t="s">
        <v>156</v>
      </c>
      <c r="B22" s="461">
        <f t="shared" ca="1" si="2"/>
        <v>12524.19668297974</v>
      </c>
      <c r="C22" s="461">
        <f t="shared" ca="1" si="3"/>
        <v>0</v>
      </c>
      <c r="D22" s="461">
        <f t="shared" ca="1" si="4"/>
        <v>11113.579130336017</v>
      </c>
      <c r="E22" s="461">
        <f t="shared" si="5"/>
        <v>199.77737478999939</v>
      </c>
      <c r="F22" s="461">
        <f t="shared" ca="1" si="6"/>
        <v>2899.9619737093567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26737.51516181511</v>
      </c>
    </row>
    <row r="23" spans="1:17">
      <c r="A23" s="460" t="s">
        <v>195</v>
      </c>
      <c r="B23" s="461">
        <f t="shared" ca="1" si="2"/>
        <v>529.40482246964541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529.40482246964541</v>
      </c>
    </row>
    <row r="24" spans="1:17">
      <c r="A24" s="460" t="s">
        <v>112</v>
      </c>
      <c r="B24" s="461">
        <f t="shared" ca="1" si="2"/>
        <v>260.73726538269182</v>
      </c>
      <c r="C24" s="461">
        <f t="shared" ca="1" si="3"/>
        <v>0</v>
      </c>
      <c r="D24" s="461">
        <f t="shared" si="4"/>
        <v>1637.249637826397</v>
      </c>
      <c r="E24" s="461">
        <f t="shared" si="5"/>
        <v>2.9133597471154888</v>
      </c>
      <c r="F24" s="461">
        <f t="shared" si="6"/>
        <v>1680.6581525692104</v>
      </c>
      <c r="G24" s="461">
        <f t="shared" si="7"/>
        <v>0</v>
      </c>
      <c r="H24" s="461">
        <f t="shared" si="8"/>
        <v>0</v>
      </c>
      <c r="I24" s="461">
        <f t="shared" si="9"/>
        <v>0</v>
      </c>
      <c r="J24" s="461">
        <f t="shared" si="10"/>
        <v>38.746096509843291</v>
      </c>
      <c r="K24" s="461">
        <f t="shared" si="11"/>
        <v>0</v>
      </c>
      <c r="L24" s="461">
        <f t="shared" si="12"/>
        <v>0</v>
      </c>
      <c r="M24" s="461">
        <f t="shared" si="13"/>
        <v>0</v>
      </c>
      <c r="N24" s="461">
        <f t="shared" si="14"/>
        <v>0</v>
      </c>
      <c r="O24" s="461">
        <f t="shared" si="15"/>
        <v>0</v>
      </c>
      <c r="P24" s="462">
        <f t="shared" si="16"/>
        <v>0</v>
      </c>
      <c r="Q24" s="460">
        <f t="shared" ca="1" si="17"/>
        <v>3620.3045120352581</v>
      </c>
    </row>
    <row r="25" spans="1:17">
      <c r="A25" s="460" t="s">
        <v>656</v>
      </c>
      <c r="B25" s="461">
        <f t="shared" ca="1" si="2"/>
        <v>9877.4426821675843</v>
      </c>
      <c r="C25" s="461">
        <f t="shared" ca="1" si="3"/>
        <v>0</v>
      </c>
      <c r="D25" s="461">
        <f t="shared" si="4"/>
        <v>11225.300234753644</v>
      </c>
      <c r="E25" s="461">
        <f t="shared" si="5"/>
        <v>107.45288735428311</v>
      </c>
      <c r="F25" s="461">
        <f t="shared" si="6"/>
        <v>3683.6886577388368</v>
      </c>
      <c r="G25" s="461">
        <f t="shared" si="7"/>
        <v>0</v>
      </c>
      <c r="H25" s="461">
        <f t="shared" si="8"/>
        <v>0</v>
      </c>
      <c r="I25" s="461">
        <f t="shared" si="9"/>
        <v>0</v>
      </c>
      <c r="J25" s="461">
        <f t="shared" si="10"/>
        <v>78.985881342494054</v>
      </c>
      <c r="K25" s="461">
        <f t="shared" si="11"/>
        <v>0</v>
      </c>
      <c r="L25" s="461">
        <f t="shared" si="12"/>
        <v>0</v>
      </c>
      <c r="M25" s="461">
        <f t="shared" si="13"/>
        <v>0</v>
      </c>
      <c r="N25" s="461">
        <f t="shared" si="14"/>
        <v>0</v>
      </c>
      <c r="O25" s="461">
        <f t="shared" si="15"/>
        <v>0</v>
      </c>
      <c r="P25" s="462">
        <f t="shared" si="16"/>
        <v>0</v>
      </c>
      <c r="Q25" s="460">
        <f t="shared" ca="1" si="17"/>
        <v>24972.870343356841</v>
      </c>
    </row>
    <row r="26" spans="1:17" s="466" customFormat="1">
      <c r="A26" s="464" t="s">
        <v>574</v>
      </c>
      <c r="B26" s="822">
        <f t="shared" ca="1" si="2"/>
        <v>0.30993053282706262</v>
      </c>
      <c r="C26" s="465">
        <f t="shared" ca="1" si="3"/>
        <v>0</v>
      </c>
      <c r="D26" s="465">
        <f t="shared" si="4"/>
        <v>1.430133991891948</v>
      </c>
      <c r="E26" s="465">
        <f t="shared" si="5"/>
        <v>180.10670946880538</v>
      </c>
      <c r="F26" s="465">
        <f t="shared" si="6"/>
        <v>0</v>
      </c>
      <c r="G26" s="465">
        <f t="shared" si="7"/>
        <v>40547.508153785369</v>
      </c>
      <c r="H26" s="465">
        <f t="shared" si="8"/>
        <v>6010.0476077944104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46739.402535573303</v>
      </c>
    </row>
    <row r="27" spans="1:17">
      <c r="A27" s="460" t="s">
        <v>564</v>
      </c>
      <c r="B27" s="461">
        <f t="shared" ca="1" si="2"/>
        <v>0</v>
      </c>
      <c r="C27" s="461">
        <f t="shared" ca="1" si="3"/>
        <v>0</v>
      </c>
      <c r="D27" s="461">
        <f t="shared" si="4"/>
        <v>0</v>
      </c>
      <c r="E27" s="461">
        <f t="shared" si="5"/>
        <v>0</v>
      </c>
      <c r="F27" s="461">
        <f t="shared" si="6"/>
        <v>0</v>
      </c>
      <c r="G27" s="461">
        <f t="shared" si="7"/>
        <v>665.06896266351589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665.06896266351589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33458.461671107871</v>
      </c>
      <c r="C31" s="471">
        <f t="shared" ca="1" si="18"/>
        <v>0</v>
      </c>
      <c r="D31" s="471">
        <f t="shared" ca="1" si="18"/>
        <v>53862.412448148374</v>
      </c>
      <c r="E31" s="471">
        <f t="shared" si="18"/>
        <v>1408.862595506467</v>
      </c>
      <c r="F31" s="471">
        <f t="shared" ca="1" si="18"/>
        <v>8264.3087840174048</v>
      </c>
      <c r="G31" s="471">
        <f t="shared" si="18"/>
        <v>41212.577116448883</v>
      </c>
      <c r="H31" s="471">
        <f t="shared" si="18"/>
        <v>6010.0476077944104</v>
      </c>
      <c r="I31" s="471">
        <f t="shared" si="18"/>
        <v>0</v>
      </c>
      <c r="J31" s="471">
        <f t="shared" si="18"/>
        <v>2939.7678827024897</v>
      </c>
      <c r="K31" s="471">
        <f t="shared" si="18"/>
        <v>0</v>
      </c>
      <c r="L31" s="471">
        <f t="shared" ca="1" si="18"/>
        <v>0</v>
      </c>
      <c r="M31" s="471">
        <f t="shared" si="18"/>
        <v>0</v>
      </c>
      <c r="N31" s="471">
        <f t="shared" ca="1" si="18"/>
        <v>0</v>
      </c>
      <c r="O31" s="471">
        <f t="shared" si="18"/>
        <v>0</v>
      </c>
      <c r="P31" s="472">
        <f t="shared" si="18"/>
        <v>0</v>
      </c>
      <c r="Q31" s="472">
        <f t="shared" ca="1" si="18"/>
        <v>147156.43810572592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0.21275190615759065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0.21275190615759065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0.21275190615759065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2018-06-27T09:01:26Z</dcterms:modified>
</cp:coreProperties>
</file>