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I69" l="1"/>
  <c r="J12" i="17"/>
  <c r="K48" i="14" s="1"/>
  <c r="F12" i="17"/>
  <c r="G48" i="14" s="1"/>
  <c r="F100" i="18"/>
  <c r="I7" s="1"/>
  <c r="N8" i="17"/>
  <c r="N5"/>
  <c r="L8"/>
  <c r="L7" i="48" s="1"/>
  <c r="L24" s="1"/>
  <c r="L5" i="17"/>
  <c r="C78" i="14"/>
  <c r="J81"/>
  <c r="L29" i="48"/>
  <c r="G31" i="20"/>
  <c r="H43" i="14" s="1"/>
  <c r="F7" i="48"/>
  <c r="F24" s="1"/>
  <c r="L30"/>
  <c r="B100" i="18"/>
  <c r="C7" s="1"/>
  <c r="B35" i="13"/>
  <c r="E9" i="18"/>
  <c r="J41" i="14"/>
  <c r="J53" s="1"/>
  <c r="G13" i="48"/>
  <c r="G30" s="1"/>
  <c r="E19" i="18"/>
  <c r="L12" i="17"/>
  <c r="M48" i="14" s="1"/>
  <c r="D81"/>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D67" i="14" l="1"/>
  <c r="C9" i="18"/>
  <c r="O22" i="14"/>
  <c r="N7" i="48"/>
  <c r="N24" s="1"/>
  <c r="N12" i="17"/>
  <c r="O48" i="14" s="1"/>
  <c r="C81"/>
  <c r="E13"/>
  <c r="C14" i="48"/>
  <c r="Q13"/>
  <c r="D8"/>
  <c r="D25" s="1"/>
  <c r="D31" s="1"/>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O67" i="14"/>
  <c r="D69"/>
  <c r="J5" i="48"/>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<sst xmlns="http://schemas.openxmlformats.org/spreadsheetml/2006/main" count="2029" uniqueCount="894">
  <si>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</si>
  <si>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</si>
  <si>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</si>
  <si>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</si>
  <si>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</si>
  <si>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</si>
  <si>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</si>
  <si>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</si>
  <si>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</si>
  <si>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</si>
  <si>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</si>
  <si>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</si>
  <si>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</si>
  <si>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</si>
  <si>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</si>
  <si>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</si>
  <si>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</si>
  <si>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</si>
  <si>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</si>
  <si>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</si>
  <si>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</si>
  <si>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</si>
  <si>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</si>
  <si>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</si>
  <si>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</si>
  <si>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</si>
  <si>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</si>
  <si>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</si>
  <si>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</si>
  <si>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</si>
  <si>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</si>
  <si>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</si>
  <si>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</si>
  <si>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</si>
  <si>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</si>
  <si>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</si>
  <si>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</si>
  <si>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</si>
  <si>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</si>
  <si>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</si>
  <si>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</si>
  <si>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</si>
  <si>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</si>
  <si>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</si>
  <si>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</si>
  <si>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</si>
  <si>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</si>
  <si>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</si>
  <si>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</si>
  <si>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</si>
  <si>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</si>
  <si>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</si>
  <si>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</si>
  <si>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</si>
  <si>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</si>
  <si>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</si>
  <si>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</si>
  <si>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</si>
  <si>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</si>
  <si>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</si>
  <si>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</si>
  <si>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</si>
  <si>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</si>
  <si>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</si>
  <si>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</si>
  <si>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</si>
  <si>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</si>
  <si>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</si>
  <si>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</si>
  <si>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</si>
  <si>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</si>
  <si>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</si>
  <si>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</si>
  <si>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</si>
  <si>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</si>
  <si>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</si>
  <si>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</si>
  <si>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</si>
  <si>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</si>
  <si>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</si>
  <si>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</si>
  <si>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</si>
  <si>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</si>
  <si>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</si>
  <si>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</si>
  <si>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</si>
  <si>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</si>
  <si>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</si>
  <si>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</si>
  <si>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</si>
  <si>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</si>
  <si>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</si>
  <si>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</si>
  <si>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</si>
  <si>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</si>
  <si>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</si>
  <si>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</si>
  <si>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</si>
  <si>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</si>
  <si>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</si>
  <si>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</si>
  <si>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</si>
  <si>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</si>
  <si>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</si>
  <si>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</si>
  <si>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</si>
  <si>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</si>
  <si>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</si>
  <si>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</si>
  <si>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</si>
  <si>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</si>
  <si>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</si>
  <si>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</si>
  <si>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</si>
  <si>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</si>
  <si>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</si>
  <si>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</si>
  <si>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</si>
  <si>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</si>
  <si>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</si>
  <si>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</si>
  <si>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</si>
  <si>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</si>
  <si>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</si>
  <si>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</si>
  <si>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</si>
  <si>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</si>
  <si>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</si>
  <si>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</si>
  <si>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</si>
  <si>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</si>
  <si>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</si>
  <si>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</si>
  <si>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</si>
  <si>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</si>
  <si>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</si>
  <si>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</si>
  <si>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</si>
  <si>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</si>
  <si>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</si>
  <si>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</si>
  <si>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</si>
  <si>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</si>
  <si>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</si>
  <si>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</si>
  <si>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</si>
  <si>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</si>
  <si>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</si>
  <si>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</si>
  <si>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</si>
  <si>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</si>
  <si>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</si>
  <si>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</si>
  <si>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</si>
  <si>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</si>
  <si>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</si>
  <si>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</si>
  <si>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</si>
  <si>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</si>
  <si>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</si>
  <si>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</si>
  <si>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</si>
  <si>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</si>
  <si>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</si>
  <si>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</si>
  <si>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</si>
  <si>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</si>
  <si>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</si>
  <si>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</si>
  <si>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</si>
  <si>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</si>
  <si>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</si>
  <si>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</si>
  <si>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</si>
  <si>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</si>
  <si>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</si>
  <si>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</si>
  <si>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</si>
  <si>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</si>
  <si>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</si>
  <si>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</si>
  <si>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</si>
  <si>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</si>
  <si>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</si>
  <si>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</si>
  <si>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</si>
  <si>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</si>
  <si>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</si>
  <si>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</si>
  <si>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</si>
  <si>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</si>
  <si>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</si>
  <si>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</si>
  <si>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</si>
  <si>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</si>
  <si>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</si>
  <si>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</si>
  <si>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</si>
  <si>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</si>
  <si>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</si>
  <si>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</si>
  <si>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</si>
  <si>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</si>
  <si>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</si>
  <si>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</si>
  <si>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</si>
  <si>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</si>
  <si>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</si>
  <si>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</si>
  <si>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</si>
  <si>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</si>
  <si>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</si>
  <si>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</si>
  <si>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</si>
  <si>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</si>
  <si>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</si>
  <si>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</si>
  <si>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</si>
  <si>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</si>
  <si>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</si>
  <si>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</si>
  <si>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</si>
  <si>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</si>
  <si>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</si>
  <si>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</si>
  <si>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</si>
  <si>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</si>
  <si>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</si>
  <si>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</si>
  <si>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</si>
  <si>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</si>
  <si>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</si>
  <si>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</si>
  <si>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</si>
  <si>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</si>
  <si>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</si>
  <si>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</si>
  <si>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</si>
  <si>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</si>
  <si>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</si>
  <si>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</si>
  <si>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</si>
  <si>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</si>
  <si>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</si>
  <si>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</si>
  <si>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</si>
  <si>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</si>
  <si>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</si>
  <si>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</si>
  <si>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</si>
  <si>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</si>
  <si>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</si>
  <si>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</si>
  <si>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</si>
  <si>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</si>
  <si>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</si>
  <si>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</si>
  <si>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</si>
  <si>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</si>
  <si>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</si>
  <si>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</si>
  <si>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</si>
  <si>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</si>
  <si>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</si>
  <si>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</si>
  <si>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</si>
  <si>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</si>
  <si>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</si>
  <si>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</si>
  <si>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</si>
  <si>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</si>
  <si>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</si>
  <si>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</si>
  <si>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</si>
  <si>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</si>
  <si>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</si>
  <si>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</si>
  <si>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</si>
  <si>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</si>
  <si>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</si>
  <si>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</si>
  <si>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</si>
  <si>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</si>
  <si>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</si>
  <si>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</si>
  <si>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</si>
  <si>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</si>
  <si>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</si>
  <si>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</si>
  <si>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</si>
  <si>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</si>
  <si>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</si>
  <si>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</si>
  <si>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</si>
  <si>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</si>
  <si>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</si>
  <si>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</si>
  <si>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</si>
  <si>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</si>
  <si>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</si>
  <si>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</si>
  <si>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</si>
  <si>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</si>
  <si>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</si>
  <si>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</si>
  <si>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</si>
  <si>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</si>
  <si>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</si>
  <si>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</si>
  <si>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</si>
  <si>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</si>
  <si>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</si>
  <si>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</si>
  <si>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</si>
  <si>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</si>
  <si>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</si>
  <si>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</si>
  <si>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</si>
  <si>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</si>
  <si>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</si>
  <si>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</si>
  <si>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</si>
  <si>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</si>
  <si>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</si>
  <si>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</si>
  <si>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</si>
  <si>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</si>
  <si>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</si>
  <si>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</si>
  <si>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</si>
  <si>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</si>
  <si>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</si>
  <si>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</si>
  <si>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</si>
  <si>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</si>
  <si>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</si>
  <si>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</si>
  <si>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</si>
  <si>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</si>
  <si>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</si>
  <si>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</si>
  <si>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</si>
  <si>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</si>
  <si>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</si>
  <si>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</si>
  <si>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</si>
  <si>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</si>
  <si>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</si>
  <si>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</si>
  <si>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</si>
  <si>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</si>
  <si>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</si>
  <si>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</si>
  <si>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</si>
  <si>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</si>
  <si>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</si>
  <si>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</si>
  <si>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</si>
  <si>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</si>
  <si>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</si>
  <si>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</si>
  <si>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</si>
  <si>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</si>
  <si>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</si>
  <si>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</si>
  <si>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</si>
  <si>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</si>
  <si>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</si>
  <si>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</si>
  <si>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</si>
  <si>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</si>
  <si>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</si>
  <si>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</si>
  <si>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</si>
  <si>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</si>
  <si>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</si>
  <si>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</si>
  <si>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</si>
  <si>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</si>
  <si>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</si>
  <si>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</si>
  <si>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</si>
  <si>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</si>
  <si>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</si>
  <si>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</si>
  <si>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</si>
  <si>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</si>
  <si>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</si>
  <si>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</si>
  <si>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</si>
  <si>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</si>
  <si>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</si>
  <si>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</si>
  <si>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</si>
  <si>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</si>
  <si>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</si>
  <si>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</si>
  <si>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</si>
  <si>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</si>
  <si>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</si>
  <si>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</si>
  <si>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</si>
  <si>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</si>
  <si>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</si>
  <si>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</si>
  <si>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</si>
  <si>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</si>
  <si>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</si>
  <si>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</si>
  <si>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</si>
  <si>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</si>
  <si>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</si>
  <si>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</si>
  <si>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</si>
  <si>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</si>
  <si>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</si>
  <si>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</si>
  <si>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</si>
  <si>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</si>
  <si>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</si>
  <si>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</si>
  <si>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</si>
  <si>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</si>
  <si>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</si>
  <si>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</si>
  <si>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</si>
  <si>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</si>
  <si>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</si>
  <si>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</si>
  <si>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</si>
  <si>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</si>
  <si>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</si>
  <si>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</si>
  <si>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</si>
  <si>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</si>
  <si>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</si>
  <si>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</si>
  <si>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</si>
  <si>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</si>
  <si>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</si>
  <si>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</si>
  <si>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</si>
  <si>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</si>
  <si>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</si>
  <si>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</si>
  <si>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</si>
  <si>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</si>
  <si>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</si>
  <si>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</si>
  <si>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</si>
  <si>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</si>
  <si>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</si>
  <si>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</si>
  <si>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</si>
  <si>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</si>
  <si>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</si>
  <si>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</si>
  <si>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</si>
  <si>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</si>
  <si>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</si>
  <si>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</si>
  <si>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</si>
  <si>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</si>
  <si>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</si>
  <si>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</si>
  <si>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</si>
  <si>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</si>
  <si>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</si>
  <si>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</si>
  <si>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</si>
  <si>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</si>
  <si>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</si>
  <si>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</si>
  <si>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</si>
  <si>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</si>
  <si>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</si>
  <si>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</si>
  <si>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</si>
  <si>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</si>
  <si>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</si>
  <si>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</si>
  <si>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</si>
  <si>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</si>
  <si>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</si>
  <si>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</si>
  <si>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</si>
  <si>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</si>
  <si>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</si>
  <si>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</si>
  <si>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</si>
  <si>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</si>
  <si>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</si>
  <si>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</si>
  <si>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</si>
  <si>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</si>
  <si>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</si>
  <si>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</si>
  <si>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</si>
  <si>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</si>
  <si>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</si>
  <si>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</si>
  <si>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</si>
  <si>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</si>
  <si>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</si>
  <si>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</si>
  <si>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</si>
  <si>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</si>
  <si>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</si>
  <si>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</si>
  <si>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</si>
  <si>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</si>
  <si>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</si>
  <si>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</si>
  <si>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</si>
  <si>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</si>
  <si>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</si>
  <si>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</si>
  <si>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</si>
  <si>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</si>
  <si>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</si>
  <si>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</si>
  <si>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</si>
  <si>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</si>
  <si>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</si>
  <si>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</si>
  <si>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</si>
  <si>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</si>
  <si>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</si>
  <si>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</si>
  <si>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</si>
  <si>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</si>
  <si>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</si>
  <si>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</si>
  <si>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</si>
  <si>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</si>
  <si>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</si>
  <si>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</si>
  <si>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</si>
  <si>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</si>
  <si>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</si>
  <si>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</si>
  <si>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</si>
  <si>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</si>
  <si>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</si>
  <si>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</si>
  <si>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</si>
  <si>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</si>
  <si>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</si>
  <si>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</si>
  <si>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</si>
  <si>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</si>
  <si>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</si>
  <si>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</si>
  <si>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</si>
  <si>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</si>
  <si>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</si>
  <si>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</si>
  <si>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</si>
  <si>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</si>
  <si>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</si>
  <si>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</si>
  <si>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</si>
  <si>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</si>
  <si>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</si>
  <si>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</si>
  <si>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</si>
  <si>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</si>
  <si>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</si>
  <si>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</si>
  <si>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</si>
  <si>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</si>
  <si>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</si>
  <si>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</si>
  <si>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</si>
  <si>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</si>
  <si>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</si>
  <si>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</si>
  <si>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</si>
  <si>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</si>
  <si>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</si>
  <si>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</si>
  <si>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</si>
  <si>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</si>
  <si>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</si>
  <si>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</si>
  <si>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</si>
  <si>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</si>
  <si>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</si>
  <si>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</si>
  <si>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</si>
  <si>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</si>
  <si>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</si>
  <si>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</si>
  <si>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</si>
  <si>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</si>
  <si>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</si>
  <si>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</si>
  <si>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</si>
  <si>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</si>
  <si>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</si>
  <si>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</si>
  <si>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</si>
  <si>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</si>
  <si>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</si>
  <si>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</si>
  <si>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</si>
  <si>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</si>
  <si>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</si>
  <si>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</si>
  <si>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</si>
  <si>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</si>
  <si>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</si>
  <si>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</si>
  <si>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</si>
  <si>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</si>
  <si>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</si>
  <si>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</si>
  <si>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</si>
  <si>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</si>
  <si>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</si>
  <si>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</si>
  <si>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</si>
  <si>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</si>
  <si>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</si>
  <si>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</si>
  <si>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</si>
  <si>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</si>
  <si>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</si>
  <si>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</si>
  <si>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</si>
  <si>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</si>
  <si>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</si>
  <si>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</si>
  <si>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</si>
  <si>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</si>
  <si>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</si>
  <si>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</si>
  <si>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</si>
  <si>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</si>
  <si>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</si>
  <si>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</si>
  <si>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</si>
  <si>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</si>
  <si>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</si>
  <si>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</si>
  <si>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</si>
  <si>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</si>
  <si>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</si>
  <si>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</si>
  <si>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</si>
  <si>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</si>
  <si>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</si>
  <si>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</si>
  <si>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</si>
  <si>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</si>
  <si>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</si>
  <si>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</si>
  <si>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</si>
  <si>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</si>
  <si>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</si>
  <si>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</si>
  <si>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</si>
  <si>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</si>
  <si>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</si>
  <si>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</si>
  <si>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</si>
  <si>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</si>
  <si>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</si>
  <si>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</si>
  <si>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</si>
  <si>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</si>
  <si>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</si>
  <si>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</si>
  <si>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</si>
  <si>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</si>
  <si>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</si>
  <si>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</si>
  <si>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</si>
  <si>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</si>
  <si>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</si>
  <si>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</si>
  <si>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</si>
  <si>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</si>
  <si>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</si>
  <si>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</si>
  <si>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</si>
  <si>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</si>
  <si>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</si>
  <si>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</si>
  <si>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</si>
  <si>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</si>
  <si>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</si>
  <si>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</si>
  <si>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</si>
  <si>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</si>
  <si>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</si>
  <si>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</si>
  <si>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</si>
  <si>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</si>
  <si>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</si>
  <si>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</si>
  <si>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</si>
  <si>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</si>
  <si>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</si>
  <si>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</si>
  <si>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</si>
  <si>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</si>
  <si>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</si>
  <si>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</si>
  <si>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</si>
  <si>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</si>
  <si>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</si>
  <si>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</si>
  <si>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</si>
  <si>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</si>
  <si>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</si>
  <si>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</si>
  <si>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</si>
  <si>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</si>
  <si>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</si>
  <si>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</si>
  <si>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</si>
  <si>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</si>
  <si>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</si>
  <si>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</si>
  <si>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</si>
  <si>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</si>
  <si>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</si>
  <si>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</si>
  <si>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</si>
  <si>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</si>
  <si>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</si>
  <si>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</si>
  <si>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</si>
  <si>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</si>
  <si>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</si>
  <si>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</si>
  <si>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</si>
  <si>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</si>
  <si>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</si>
  <si>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</si>
  <si>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</si>
  <si>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</si>
  <si>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</si>
  <si>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</si>
  <si>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</si>
  <si>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</si>
  <si>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</si>
  <si>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</si>
  <si>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</si>
  <si>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</si>
  <si>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</si>
  <si>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</si>
  <si>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</si>
  <si>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</si>
  <si>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</si>
  <si>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</si>
  <si>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</si>
  <si>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</si>
  <si>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</si>
  <si>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</si>
  <si>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</si>
  <si>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</si>
  <si>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</si>
  <si>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</si>
  <si>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</si>
  <si>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</si>
  <si>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</si>
  <si>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</si>
  <si>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</si>
  <si>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</si>
  <si>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</si>
  <si>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</si>
  <si>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</si>
  <si>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</si>
  <si>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</si>
  <si>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</si>
  <si>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</si>
  <si>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</si>
  <si>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</si>
  <si>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</si>
  <si>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</si>
  <si>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</si>
  <si>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</si>
  <si>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</si>
  <si>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</si>
  <si>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</si>
  <si>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</si>
  <si>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</si>
  <si>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</si>
  <si>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</si>
  <si>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</si>
  <si>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</si>
  <si>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</si>
  <si>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</si>
  <si>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</si>
  <si>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</si>
  <si>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</si>
  <si>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</si>
  <si>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</si>
  <si>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</si>
  <si>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</si>
  <si>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</si>
  <si>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</si>
  <si>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</si>
  <si>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</si>
  <si>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</si>
  <si>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</si>
  <si>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</si>
  <si>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</si>
  <si>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</si>
  <si>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</si>
  <si>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</si>
  <si>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</si>
  <si>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</si>
  <si>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</si>
  <si>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</si>
  <si>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</si>
  <si>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</si>
  <si>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</si>
  <si>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</si>
  <si>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</si>
  <si>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</si>
  <si>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</si>
  <si>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</si>
  <si>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</si>
  <si>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</si>
  <si>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</si>
  <si>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</si>
  <si>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</si>
  <si>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</si>
  <si>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</si>
  <si>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</si>
  <si>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</si>
  <si>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</si>
  <si>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</si>
  <si>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</si>
  <si>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</si>
  <si>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</si>
  <si>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</si>
  <si>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</si>
  <si>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</si>
  <si>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</si>
  <si>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</si>
  <si>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</si>
  <si>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</si>
  <si>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</si>
  <si>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</si>
  <si>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</si>
  <si>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</si>
  <si>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</si>
  <si>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</si>
  <si>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</si>
  <si>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</si>
  <si>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</si>
  <si>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</si>
  <si>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</si>
  <si>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</si>
  <si>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</si>
  <si>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</si>
  <si>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</si>
  <si>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</si>
  <si>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</si>
  <si>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</si>
  <si>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</si>
  <si>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</si>
  <si>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</si>
  <si>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</si>
  <si>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</si>
  <si>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</si>
  <si>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</si>
  <si>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</si>
  <si>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</si>
  <si>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</si>
  <si>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</si>
  <si>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</si>
  <si>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</si>
  <si>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</si>
  <si>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</si>
  <si>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</si>
  <si>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</si>
  <si>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</si>
  <si>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</si>
  <si>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</si>
  <si>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</si>
  <si>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34009</t>
  </si>
  <si>
    <t>DEERLIJK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</si>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</sst>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34009</v>
      </c>
      <c r="B6" s="396"/>
      <c r="C6" s="397"/>
    </row>
    <row r="7" spans="1:7" s="394" customFormat="1" ht="15.75" customHeight="1">
      <c r="A7" s="398" t="str">
        <f>txtMunicipality</f>
        <v>DEERLIJK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4575</v>
      </c>
      <c r="C9" s="336">
        <v>4728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772</v>
      </c>
    </row>
    <row r="15" spans="1:6">
      <c r="A15" s="1194" t="s">
        <v>185</v>
      </c>
      <c r="B15" s="333">
        <v>19</v>
      </c>
    </row>
    <row r="16" spans="1:6">
      <c r="A16" s="1194" t="s">
        <v>6</v>
      </c>
      <c r="B16" s="333">
        <v>434</v>
      </c>
    </row>
    <row r="17" spans="1:6">
      <c r="A17" s="1194" t="s">
        <v>7</v>
      </c>
      <c r="B17" s="333">
        <v>461</v>
      </c>
    </row>
    <row r="18" spans="1:6">
      <c r="A18" s="1194" t="s">
        <v>8</v>
      </c>
      <c r="B18" s="333">
        <v>635</v>
      </c>
    </row>
    <row r="19" spans="1:6">
      <c r="A19" s="1194" t="s">
        <v>9</v>
      </c>
      <c r="B19" s="333">
        <v>818</v>
      </c>
    </row>
    <row r="20" spans="1:6">
      <c r="A20" s="1194" t="s">
        <v>10</v>
      </c>
      <c r="B20" s="333">
        <v>341</v>
      </c>
    </row>
    <row r="21" spans="1:6">
      <c r="A21" s="1194" t="s">
        <v>11</v>
      </c>
      <c r="B21" s="333">
        <v>2725</v>
      </c>
    </row>
    <row r="22" spans="1:6">
      <c r="A22" s="1194" t="s">
        <v>12</v>
      </c>
      <c r="B22" s="333">
        <v>5052</v>
      </c>
    </row>
    <row r="23" spans="1:6">
      <c r="A23" s="1194" t="s">
        <v>13</v>
      </c>
      <c r="B23" s="333">
        <v>104</v>
      </c>
    </row>
    <row r="24" spans="1:6">
      <c r="A24" s="1194" t="s">
        <v>14</v>
      </c>
      <c r="B24" s="333">
        <v>10</v>
      </c>
    </row>
    <row r="25" spans="1:6">
      <c r="A25" s="1194" t="s">
        <v>15</v>
      </c>
      <c r="B25" s="333">
        <v>828</v>
      </c>
    </row>
    <row r="26" spans="1:6">
      <c r="A26" s="1194" t="s">
        <v>16</v>
      </c>
      <c r="B26" s="333">
        <v>102</v>
      </c>
    </row>
    <row r="27" spans="1:6">
      <c r="A27" s="1194" t="s">
        <v>17</v>
      </c>
      <c r="B27" s="333">
        <v>8</v>
      </c>
    </row>
    <row r="28" spans="1:6">
      <c r="A28" s="1194" t="s">
        <v>18</v>
      </c>
      <c r="B28" s="333">
        <v>103439</v>
      </c>
    </row>
    <row r="29" spans="1:6">
      <c r="A29" s="1194" t="s">
        <v>888</v>
      </c>
      <c r="B29" s="333">
        <v>84</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324656.62620892102</v>
      </c>
      <c r="E38" s="333">
        <v>1</v>
      </c>
      <c r="F38" s="333">
        <v>1818.5080760644</v>
      </c>
    </row>
    <row r="39" spans="1:6">
      <c r="A39" s="1194" t="s">
        <v>30</v>
      </c>
      <c r="B39" s="1194" t="s">
        <v>31</v>
      </c>
      <c r="C39" s="333">
        <v>2257</v>
      </c>
      <c r="D39" s="333">
        <v>35814422.596126497</v>
      </c>
      <c r="E39" s="333">
        <v>4416</v>
      </c>
      <c r="F39" s="333">
        <v>22382473.8106765</v>
      </c>
    </row>
    <row r="40" spans="1:6">
      <c r="A40" s="1194" t="s">
        <v>30</v>
      </c>
      <c r="B40" s="1194" t="s">
        <v>29</v>
      </c>
      <c r="C40" s="333">
        <v>0</v>
      </c>
      <c r="D40" s="333">
        <v>0</v>
      </c>
      <c r="E40" s="333">
        <v>0</v>
      </c>
      <c r="F40" s="333">
        <v>0</v>
      </c>
    </row>
    <row r="41" spans="1:6">
      <c r="A41" s="1194" t="s">
        <v>32</v>
      </c>
      <c r="B41" s="1194" t="s">
        <v>33</v>
      </c>
      <c r="C41" s="333">
        <v>43</v>
      </c>
      <c r="D41" s="333">
        <v>1168815.5039724701</v>
      </c>
      <c r="E41" s="333">
        <v>121</v>
      </c>
      <c r="F41" s="333">
        <v>2052661.1983107501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15</v>
      </c>
      <c r="F44" s="333">
        <v>394929.550952291</v>
      </c>
    </row>
    <row r="45" spans="1:6">
      <c r="A45" s="1194" t="s">
        <v>32</v>
      </c>
      <c r="B45" s="1194" t="s">
        <v>37</v>
      </c>
      <c r="C45" s="333">
        <v>3</v>
      </c>
      <c r="D45" s="333">
        <v>1616915.08892393</v>
      </c>
      <c r="E45" s="333">
        <v>8</v>
      </c>
      <c r="F45" s="333">
        <v>2992715.0682353699</v>
      </c>
    </row>
    <row r="46" spans="1:6">
      <c r="A46" s="1194" t="s">
        <v>32</v>
      </c>
      <c r="B46" s="1194" t="s">
        <v>38</v>
      </c>
      <c r="C46" s="333">
        <v>0</v>
      </c>
      <c r="D46" s="333">
        <v>0</v>
      </c>
      <c r="E46" s="333">
        <v>0</v>
      </c>
      <c r="F46" s="333">
        <v>0</v>
      </c>
    </row>
    <row r="47" spans="1:6">
      <c r="A47" s="1194" t="s">
        <v>32</v>
      </c>
      <c r="B47" s="1194" t="s">
        <v>39</v>
      </c>
      <c r="C47" s="333">
        <v>0</v>
      </c>
      <c r="D47" s="333">
        <v>0</v>
      </c>
      <c r="E47" s="333">
        <v>4</v>
      </c>
      <c r="F47" s="333">
        <v>60729.086789015601</v>
      </c>
    </row>
    <row r="48" spans="1:6">
      <c r="A48" s="1194" t="s">
        <v>32</v>
      </c>
      <c r="B48" s="1194" t="s">
        <v>29</v>
      </c>
      <c r="C48" s="333">
        <v>34</v>
      </c>
      <c r="D48" s="333">
        <v>20845306.3100188</v>
      </c>
      <c r="E48" s="333">
        <v>42</v>
      </c>
      <c r="F48" s="333">
        <v>2919418.5225051302</v>
      </c>
    </row>
    <row r="49" spans="1:6">
      <c r="A49" s="1194" t="s">
        <v>32</v>
      </c>
      <c r="B49" s="1194" t="s">
        <v>40</v>
      </c>
      <c r="C49" s="333">
        <v>4</v>
      </c>
      <c r="D49" s="333">
        <v>1050446.44375426</v>
      </c>
      <c r="E49" s="333">
        <v>33</v>
      </c>
      <c r="F49" s="333">
        <v>10790036.2515839</v>
      </c>
    </row>
    <row r="50" spans="1:6">
      <c r="A50" s="1194" t="s">
        <v>32</v>
      </c>
      <c r="B50" s="1194" t="s">
        <v>41</v>
      </c>
      <c r="C50" s="333">
        <v>3</v>
      </c>
      <c r="D50" s="333">
        <v>231126.996247684</v>
      </c>
      <c r="E50" s="333">
        <v>13</v>
      </c>
      <c r="F50" s="333">
        <v>978045.13648306404</v>
      </c>
    </row>
    <row r="51" spans="1:6">
      <c r="A51" s="1194" t="s">
        <v>42</v>
      </c>
      <c r="B51" s="1194" t="s">
        <v>43</v>
      </c>
      <c r="C51" s="333">
        <v>4</v>
      </c>
      <c r="D51" s="333">
        <v>102277.03527959299</v>
      </c>
      <c r="E51" s="333">
        <v>64</v>
      </c>
      <c r="F51" s="333">
        <v>1324206.5077472201</v>
      </c>
    </row>
    <row r="52" spans="1:6">
      <c r="A52" s="1194" t="s">
        <v>42</v>
      </c>
      <c r="B52" s="1194" t="s">
        <v>29</v>
      </c>
      <c r="C52" s="333">
        <v>3</v>
      </c>
      <c r="D52" s="333">
        <v>146777.42969106999</v>
      </c>
      <c r="E52" s="333">
        <v>1</v>
      </c>
      <c r="F52" s="333">
        <v>3586.6056559686999</v>
      </c>
    </row>
    <row r="53" spans="1:6">
      <c r="A53" s="1194" t="s">
        <v>44</v>
      </c>
      <c r="B53" s="1194" t="s">
        <v>45</v>
      </c>
      <c r="C53" s="333">
        <v>79</v>
      </c>
      <c r="D53" s="333">
        <v>1576017.27084525</v>
      </c>
      <c r="E53" s="333">
        <v>147</v>
      </c>
      <c r="F53" s="333">
        <v>930852.79840231605</v>
      </c>
    </row>
    <row r="54" spans="1:6">
      <c r="A54" s="1194" t="s">
        <v>46</v>
      </c>
      <c r="B54" s="1194" t="s">
        <v>47</v>
      </c>
      <c r="C54" s="333">
        <v>0</v>
      </c>
      <c r="D54" s="333">
        <v>0</v>
      </c>
      <c r="E54" s="333">
        <v>3</v>
      </c>
      <c r="F54" s="333">
        <v>1093137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21</v>
      </c>
      <c r="D57" s="333">
        <v>665017.58113768697</v>
      </c>
      <c r="E57" s="333">
        <v>87</v>
      </c>
      <c r="F57" s="333">
        <v>3453449.3444613102</v>
      </c>
    </row>
    <row r="58" spans="1:6">
      <c r="A58" s="1194" t="s">
        <v>49</v>
      </c>
      <c r="B58" s="1194" t="s">
        <v>51</v>
      </c>
      <c r="C58" s="333">
        <v>10</v>
      </c>
      <c r="D58" s="333">
        <v>1435371.54440016</v>
      </c>
      <c r="E58" s="333">
        <v>11</v>
      </c>
      <c r="F58" s="333">
        <v>521011.81310472102</v>
      </c>
    </row>
    <row r="59" spans="1:6">
      <c r="A59" s="1194" t="s">
        <v>49</v>
      </c>
      <c r="B59" s="1194" t="s">
        <v>52</v>
      </c>
      <c r="C59" s="333">
        <v>74</v>
      </c>
      <c r="D59" s="333">
        <v>4325772.0081051197</v>
      </c>
      <c r="E59" s="333">
        <v>163</v>
      </c>
      <c r="F59" s="333">
        <v>6845916.6073825099</v>
      </c>
    </row>
    <row r="60" spans="1:6">
      <c r="A60" s="1194" t="s">
        <v>49</v>
      </c>
      <c r="B60" s="1194" t="s">
        <v>53</v>
      </c>
      <c r="C60" s="333">
        <v>19</v>
      </c>
      <c r="D60" s="333">
        <v>718419.24129487004</v>
      </c>
      <c r="E60" s="333">
        <v>28</v>
      </c>
      <c r="F60" s="333">
        <v>615728.91624195396</v>
      </c>
    </row>
    <row r="61" spans="1:6">
      <c r="A61" s="1194" t="s">
        <v>49</v>
      </c>
      <c r="B61" s="1194" t="s">
        <v>54</v>
      </c>
      <c r="C61" s="333">
        <v>71</v>
      </c>
      <c r="D61" s="333">
        <v>3882954.0074841599</v>
      </c>
      <c r="E61" s="333">
        <v>161</v>
      </c>
      <c r="F61" s="333">
        <v>1844125.97557393</v>
      </c>
    </row>
    <row r="62" spans="1:6">
      <c r="A62" s="1194" t="s">
        <v>49</v>
      </c>
      <c r="B62" s="1194" t="s">
        <v>55</v>
      </c>
      <c r="C62" s="333">
        <v>6</v>
      </c>
      <c r="D62" s="333">
        <v>533560.575319016</v>
      </c>
      <c r="E62" s="333">
        <v>11</v>
      </c>
      <c r="F62" s="333">
        <v>94136.464632332805</v>
      </c>
    </row>
    <row r="63" spans="1:6">
      <c r="A63" s="1194" t="s">
        <v>49</v>
      </c>
      <c r="B63" s="1194" t="s">
        <v>29</v>
      </c>
      <c r="C63" s="333">
        <v>68</v>
      </c>
      <c r="D63" s="333">
        <v>3275202.55589221</v>
      </c>
      <c r="E63" s="333">
        <v>103</v>
      </c>
      <c r="F63" s="333">
        <v>6614764.7898017904</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102701.689888871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19104536</v>
      </c>
      <c r="E73" s="333">
        <v>22758844.755982541</v>
      </c>
      <c r="F73" s="333">
        <v>18963136</v>
      </c>
    </row>
    <row r="74" spans="1:6">
      <c r="A74" s="1194" t="s">
        <v>64</v>
      </c>
      <c r="B74" s="1194" t="s">
        <v>775</v>
      </c>
      <c r="C74" s="1205" t="s">
        <v>776</v>
      </c>
      <c r="D74" s="333">
        <v>3631898.9128922322</v>
      </c>
      <c r="E74" s="333">
        <v>3931440.3397966274</v>
      </c>
      <c r="F74" s="333">
        <v>3517841.706101032</v>
      </c>
    </row>
    <row r="75" spans="1:6">
      <c r="A75" s="1194" t="s">
        <v>65</v>
      </c>
      <c r="B75" s="1194" t="s">
        <v>773</v>
      </c>
      <c r="C75" s="1205" t="s">
        <v>777</v>
      </c>
      <c r="D75" s="333">
        <v>30271530</v>
      </c>
      <c r="E75" s="333">
        <v>31998792.138882164</v>
      </c>
      <c r="F75" s="333">
        <v>33069228</v>
      </c>
    </row>
    <row r="76" spans="1:6">
      <c r="A76" s="1194" t="s">
        <v>65</v>
      </c>
      <c r="B76" s="1194" t="s">
        <v>775</v>
      </c>
      <c r="C76" s="1205" t="s">
        <v>778</v>
      </c>
      <c r="D76" s="333">
        <v>3031288.9128922322</v>
      </c>
      <c r="E76" s="333">
        <v>3267104.0490636504</v>
      </c>
      <c r="F76" s="333">
        <v>3158209.706101032</v>
      </c>
    </row>
    <row r="77" spans="1:6">
      <c r="A77" s="1194" t="s">
        <v>66</v>
      </c>
      <c r="B77" s="1194" t="s">
        <v>773</v>
      </c>
      <c r="C77" s="1205" t="s">
        <v>779</v>
      </c>
      <c r="D77" s="333">
        <v>92556702</v>
      </c>
      <c r="E77" s="333">
        <v>109043041.37924305</v>
      </c>
      <c r="F77" s="333">
        <v>98172870</v>
      </c>
    </row>
    <row r="78" spans="1:6">
      <c r="A78" s="1190" t="s">
        <v>66</v>
      </c>
      <c r="B78" s="1190" t="s">
        <v>775</v>
      </c>
      <c r="C78" s="1190" t="s">
        <v>780</v>
      </c>
      <c r="D78" s="1190">
        <v>22688117</v>
      </c>
      <c r="E78" s="1190">
        <v>25210357.563314494</v>
      </c>
      <c r="F78" s="336">
        <v>23561572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133356.17421553575</v>
      </c>
      <c r="C83" s="333">
        <v>120147.54313799611</v>
      </c>
      <c r="D83" s="333">
        <v>119130.58779793591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1265.6894437851404</v>
      </c>
    </row>
    <row r="92" spans="1:6">
      <c r="A92" s="1190" t="s">
        <v>69</v>
      </c>
      <c r="B92" s="336">
        <v>2727.6091920942495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1399</v>
      </c>
    </row>
    <row r="98" spans="1:6">
      <c r="A98" s="1194" t="s">
        <v>72</v>
      </c>
      <c r="B98" s="333">
        <v>0</v>
      </c>
    </row>
    <row r="99" spans="1:6">
      <c r="A99" s="1194" t="s">
        <v>73</v>
      </c>
      <c r="B99" s="333">
        <v>42</v>
      </c>
    </row>
    <row r="100" spans="1:6">
      <c r="A100" s="1194" t="s">
        <v>74</v>
      </c>
      <c r="B100" s="333">
        <v>542</v>
      </c>
    </row>
    <row r="101" spans="1:6">
      <c r="A101" s="1194" t="s">
        <v>75</v>
      </c>
      <c r="B101" s="333">
        <v>65</v>
      </c>
    </row>
    <row r="102" spans="1:6">
      <c r="A102" s="1194" t="s">
        <v>76</v>
      </c>
      <c r="B102" s="333">
        <v>77</v>
      </c>
    </row>
    <row r="103" spans="1:6">
      <c r="A103" s="1194" t="s">
        <v>77</v>
      </c>
      <c r="B103" s="333">
        <v>91</v>
      </c>
    </row>
    <row r="104" spans="1:6">
      <c r="A104" s="1194" t="s">
        <v>78</v>
      </c>
      <c r="B104" s="333">
        <v>2093</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34</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66247.895289161708</v>
      </c>
      <c r="C3" s="43" t="s">
        <v>171</v>
      </c>
      <c r="D3" s="43"/>
      <c r="E3" s="156"/>
      <c r="F3" s="43"/>
      <c r="G3" s="43"/>
      <c r="H3" s="43"/>
      <c r="I3" s="43"/>
      <c r="J3" s="43"/>
      <c r="K3" s="96"/>
    </row>
    <row r="4" spans="1:11">
      <c r="A4" s="364" t="s">
        <v>172</v>
      </c>
      <c r="B4" s="49">
        <f>IF(ISERROR('SEAP template'!B69),0,'SEAP template'!B69)</f>
        <v>3993.2986358793896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0.20767853530021918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1093.1369999999999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1093.1369999999999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0.20767853530021918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227.02109104247569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22382.4738106765</v>
      </c>
      <c r="C5" s="17">
        <f>IF(ISERROR('Eigen informatie GS &amp; warmtenet'!B57),0,'Eigen informatie GS &amp; warmtenet'!B57)</f>
        <v>0</v>
      </c>
      <c r="D5" s="30">
        <f>(SUM(HH_hh_gas_kWh,HH_rest_gas_kWh)/1000)*0.902</f>
        <v>32304.609181706102</v>
      </c>
      <c r="E5" s="17">
        <f>B46*B57</f>
        <v>1309.8671751071174</v>
      </c>
      <c r="F5" s="17">
        <f>B51*B62</f>
        <v>30117.021420727833</v>
      </c>
      <c r="G5" s="18"/>
      <c r="H5" s="17"/>
      <c r="I5" s="17"/>
      <c r="J5" s="17">
        <f>B50*B61+C50*C61</f>
        <v>149.1674514591962</v>
      </c>
      <c r="K5" s="17"/>
      <c r="L5" s="17"/>
      <c r="M5" s="17"/>
      <c r="N5" s="17">
        <f>B48*B59+C48*C59</f>
        <v>5865.3134474166636</v>
      </c>
      <c r="O5" s="17">
        <f>B69*B70*B71</f>
        <v>59.406666666666666</v>
      </c>
      <c r="P5" s="17">
        <f>B77*B78*B79/1000-B77*B78*B79/1000/B80</f>
        <v>152.53333333333333</v>
      </c>
    </row>
    <row r="6" spans="1:16">
      <c r="A6" s="16" t="s">
        <v>633</v>
      </c>
      <c r="B6" s="830">
        <f>kWh_PV_kleiner_dan_10kW</f>
        <v>1265.6894437851404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23648.16325446164</v>
      </c>
      <c r="C8" s="21">
        <f>C5</f>
        <v>0</v>
      </c>
      <c r="D8" s="21">
        <f>D5</f>
        <v>32304.609181706102</v>
      </c>
      <c r="E8" s="21">
        <f>E5</f>
        <v>1309.8671751071174</v>
      </c>
      <c r="F8" s="21">
        <f>F5</f>
        <v>30117.021420727833</v>
      </c>
      <c r="G8" s="21"/>
      <c r="H8" s="21"/>
      <c r="I8" s="21"/>
      <c r="J8" s="21">
        <f>J5</f>
        <v>149.1674514591962</v>
      </c>
      <c r="K8" s="21"/>
      <c r="L8" s="21">
        <f>L5</f>
        <v>0</v>
      </c>
      <c r="M8" s="21">
        <f>M5</f>
        <v>0</v>
      </c>
      <c r="N8" s="21">
        <f>N5</f>
        <v>5865.3134474166636</v>
      </c>
      <c r="O8" s="21">
        <f>O5</f>
        <v>59.406666666666666</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0.20767853530021918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4911.2159072270579</v>
      </c>
      <c r="C12" s="23">
        <f ca="1">C10*C8</f>
        <v>0</v>
      </c>
      <c r="D12" s="23">
        <f>D8*D10</f>
        <v>6525.5310547046329</v>
      </c>
      <c r="E12" s="23">
        <f>E10*E8</f>
        <v>297.33984874931565</v>
      </c>
      <c r="F12" s="23">
        <f>F10*F8</f>
        <v>8041.2447193343323</v>
      </c>
      <c r="G12" s="23"/>
      <c r="H12" s="23"/>
      <c r="I12" s="23"/>
      <c r="J12" s="23">
        <f>J10*J8</f>
        <v>52.805277816555453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1399</v>
      </c>
      <c r="C18" s="167" t="s">
        <v>111</v>
      </c>
      <c r="D18" s="229"/>
      <c r="E18" s="15"/>
    </row>
    <row r="19" spans="1:7">
      <c r="A19" s="172" t="s">
        <v>72</v>
      </c>
      <c r="B19" s="37">
        <f>aantalw2001_ander</f>
        <v>0</v>
      </c>
      <c r="C19" s="167" t="s">
        <v>111</v>
      </c>
      <c r="D19" s="230"/>
      <c r="E19" s="15"/>
    </row>
    <row r="20" spans="1:7">
      <c r="A20" s="172" t="s">
        <v>73</v>
      </c>
      <c r="B20" s="37">
        <f>aantalw2001_propaan</f>
        <v>42</v>
      </c>
      <c r="C20" s="168">
        <f>IF(ISERROR(B20/SUM($B$20,$B$21,$B$22)*100),0,B20/SUM($B$20,$B$21,$B$22)*100)</f>
        <v>6.471494607087827</v>
      </c>
      <c r="D20" s="230"/>
      <c r="E20" s="15"/>
    </row>
    <row r="21" spans="1:7">
      <c r="A21" s="172" t="s">
        <v>74</v>
      </c>
      <c r="B21" s="37">
        <f>aantalw2001_elektriciteit</f>
        <v>542</v>
      </c>
      <c r="C21" s="168">
        <f>IF(ISERROR(B21/SUM($B$20,$B$21,$B$22)*100),0,B21/SUM($B$20,$B$21,$B$22)*100)</f>
        <v>83.5130970724191</v>
      </c>
      <c r="D21" s="230"/>
      <c r="E21" s="15"/>
    </row>
    <row r="22" spans="1:7">
      <c r="A22" s="172" t="s">
        <v>75</v>
      </c>
      <c r="B22" s="37">
        <f>aantalw2001_hout</f>
        <v>65</v>
      </c>
      <c r="C22" s="168">
        <f>IF(ISERROR(B22/SUM($B$20,$B$21,$B$22)*100),0,B22/SUM($B$20,$B$21,$B$22)*100)</f>
        <v>10.015408320493066</v>
      </c>
      <c r="D22" s="230"/>
      <c r="E22" s="15"/>
    </row>
    <row r="23" spans="1:7">
      <c r="A23" s="172" t="s">
        <v>76</v>
      </c>
      <c r="B23" s="37">
        <f>aantalw2001_niet_gespec</f>
        <v>77</v>
      </c>
      <c r="C23" s="167" t="s">
        <v>111</v>
      </c>
      <c r="D23" s="229"/>
      <c r="E23" s="15"/>
    </row>
    <row r="24" spans="1:7">
      <c r="A24" s="172" t="s">
        <v>77</v>
      </c>
      <c r="B24" s="37">
        <f>aantalw2001_steenkool</f>
        <v>91</v>
      </c>
      <c r="C24" s="167" t="s">
        <v>111</v>
      </c>
      <c r="D24" s="230"/>
      <c r="E24" s="15"/>
    </row>
    <row r="25" spans="1:7">
      <c r="A25" s="172" t="s">
        <v>78</v>
      </c>
      <c r="B25" s="37">
        <f>aantalw2001_stookolie</f>
        <v>2093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4575</v>
      </c>
      <c r="C28" s="36"/>
      <c r="D28" s="229"/>
    </row>
    <row r="29" spans="1:7" s="15" customFormat="1">
      <c r="A29" s="231" t="s">
        <v>714</v>
      </c>
      <c r="B29" s="37">
        <f>SUM(HH_hh_gas_aantal,HH_rest_gas_aantal)</f>
        <v>2257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2257</v>
      </c>
      <c r="C32" s="168">
        <f>IF(ISERROR(B32/SUM($B$32,$B$34,$B$35,$B$36,$B$38,$B$39)*100),0,B32/SUM($B$32,$B$34,$B$35,$B$36,$B$38,$B$39)*100)</f>
        <v>49.419750383183718</v>
      </c>
      <c r="D32" s="234"/>
      <c r="G32" s="15"/>
    </row>
    <row r="33" spans="1:7">
      <c r="A33" s="172" t="s">
        <v>72</v>
      </c>
      <c r="B33" s="34" t="s">
        <v>111</v>
      </c>
      <c r="C33" s="168"/>
      <c r="D33" s="234"/>
      <c r="G33" s="15"/>
    </row>
    <row r="34" spans="1:7">
      <c r="A34" s="172" t="s">
        <v>73</v>
      </c>
      <c r="B34" s="33">
        <f>IF((($B$28-$B$32-$B$39-$B$77-$B$38)*C20/100)&lt;0,0,($B$28-$B$32-$B$39-$B$77-$B$38)*C20/100)</f>
        <v>63.679506933744214</v>
      </c>
      <c r="C34" s="168">
        <f>IF(ISERROR(B34/SUM($B$32,$B$34,$B$35,$B$36,$B$38,$B$39)*100),0,B34/SUM($B$32,$B$34,$B$35,$B$36,$B$38,$B$39)*100)</f>
        <v>1.3943399810322801</v>
      </c>
      <c r="D34" s="234"/>
      <c r="G34" s="15"/>
    </row>
    <row r="35" spans="1:7">
      <c r="A35" s="172" t="s">
        <v>74</v>
      </c>
      <c r="B35" s="33">
        <f>IF((($B$28-$B$32-$B$39-$B$77-$B$38)*C21/100)&lt;0,0,($B$28-$B$32-$B$39-$B$77-$B$38)*C21/100)</f>
        <v>821.7688751926039</v>
      </c>
      <c r="C35" s="168">
        <f>IF(ISERROR(B35/SUM($B$32,$B$34,$B$35,$B$36,$B$38,$B$39)*100),0,B35/SUM($B$32,$B$34,$B$35,$B$36,$B$38,$B$39)*100)</f>
        <v>17.993625469511805</v>
      </c>
      <c r="D35" s="234"/>
      <c r="G35" s="15"/>
    </row>
    <row r="36" spans="1:7">
      <c r="A36" s="172" t="s">
        <v>75</v>
      </c>
      <c r="B36" s="33">
        <f>IF((($B$28-$B$32-$B$39-$B$77-$B$38)*C22/100)&lt;0,0,($B$28-$B$32-$B$39-$B$77-$B$38)*C22/100)</f>
        <v>98.551617873651779</v>
      </c>
      <c r="C36" s="168">
        <f>IF(ISERROR(B36/SUM($B$32,$B$34,$B$35,$B$36,$B$38,$B$39)*100),0,B36/SUM($B$32,$B$34,$B$35,$B$36,$B$38,$B$39)*100)</f>
        <v>2.1579071135023384</v>
      </c>
      <c r="D36" s="234"/>
      <c r="G36" s="15"/>
    </row>
    <row r="37" spans="1:7">
      <c r="A37" s="172" t="s">
        <v>76</v>
      </c>
      <c r="B37" s="34" t="s">
        <v>111</v>
      </c>
      <c r="C37" s="168"/>
      <c r="D37" s="174"/>
      <c r="G37" s="15"/>
    </row>
    <row r="38" spans="1:7">
      <c r="A38" s="172" t="s">
        <v>77</v>
      </c>
      <c r="B38" s="33">
        <f>IF((B24-(B29-B18)*0.1)&lt;0,0,B24-(B29-B18)*0.1)</f>
        <v>5.1999999999999886</v>
      </c>
      <c r="C38" s="168">
        <f>IF(ISERROR(B38/SUM($B$32,$B$34,$B$35,$B$36,$B$38,$B$39)*100),0,B38/SUM($B$32,$B$34,$B$35,$B$36,$B$38,$B$39)*100)</f>
        <v>0.11386030216772476</v>
      </c>
      <c r="D38" s="235"/>
      <c r="G38" s="15"/>
    </row>
    <row r="39" spans="1:7">
      <c r="A39" s="172" t="s">
        <v>78</v>
      </c>
      <c r="B39" s="33">
        <f>IF((B25-(B29-B18))&lt;0,0,B25-(B29-B18)*0.9)</f>
        <v>1320.8</v>
      </c>
      <c r="C39" s="168">
        <f>IF(ISERROR(B39/SUM($B$32,$B$34,$B$35,$B$36,$B$38,$B$39)*100),0,B39/SUM($B$32,$B$34,$B$35,$B$36,$B$38,$B$39)*100)</f>
        <v>28.92051675060215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2257</v>
      </c>
      <c r="C44" s="34" t="s">
        <v>111</v>
      </c>
      <c r="D44" s="175"/>
    </row>
    <row r="45" spans="1:7">
      <c r="A45" s="172" t="s">
        <v>72</v>
      </c>
      <c r="B45" s="33" t="str">
        <f t="shared" si="0"/>
        <v>-</v>
      </c>
      <c r="C45" s="34" t="s">
        <v>111</v>
      </c>
      <c r="D45" s="175"/>
    </row>
    <row r="46" spans="1:7">
      <c r="A46" s="172" t="s">
        <v>73</v>
      </c>
      <c r="B46" s="33">
        <f t="shared" si="0"/>
        <v>63.679506933744214</v>
      </c>
      <c r="C46" s="34" t="s">
        <v>111</v>
      </c>
      <c r="D46" s="175"/>
    </row>
    <row r="47" spans="1:7">
      <c r="A47" s="172" t="s">
        <v>74</v>
      </c>
      <c r="B47" s="33">
        <f t="shared" si="0"/>
        <v>821.7688751926039</v>
      </c>
      <c r="C47" s="34" t="s">
        <v>111</v>
      </c>
      <c r="D47" s="175"/>
    </row>
    <row r="48" spans="1:7">
      <c r="A48" s="172" t="s">
        <v>75</v>
      </c>
      <c r="B48" s="33">
        <f t="shared" si="0"/>
        <v>98.551617873651779</v>
      </c>
      <c r="C48" s="33">
        <f>B48*10</f>
        <v>985.51617873651776</v>
      </c>
      <c r="D48" s="235"/>
    </row>
    <row r="49" spans="1:6">
      <c r="A49" s="172" t="s">
        <v>76</v>
      </c>
      <c r="B49" s="33" t="str">
        <f t="shared" si="0"/>
        <v>-</v>
      </c>
      <c r="C49" s="34" t="s">
        <v>111</v>
      </c>
      <c r="D49" s="235"/>
    </row>
    <row r="50" spans="1:6">
      <c r="A50" s="172" t="s">
        <v>77</v>
      </c>
      <c r="B50" s="33">
        <f t="shared" si="0"/>
        <v>5.1999999999999886</v>
      </c>
      <c r="C50" s="33">
        <f>B50*2</f>
        <v>10.399999999999977</v>
      </c>
      <c r="D50" s="235"/>
    </row>
    <row r="51" spans="1:6">
      <c r="A51" s="172" t="s">
        <v>78</v>
      </c>
      <c r="B51" s="33">
        <f t="shared" si="0"/>
        <v>1320.8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19989.133911198547</v>
      </c>
      <c r="C5" s="17">
        <f>IF(ISERROR('Eigen informatie GS &amp; warmtenet'!B58),0,'Eigen informatie GS &amp; warmtenet'!B58)</f>
        <v>0</v>
      </c>
      <c r="D5" s="30">
        <f>SUM(D6:D12)</f>
        <v>13382.340357297167</v>
      </c>
      <c r="E5" s="17">
        <f>SUM(E6:E12)</f>
        <v>297.64042238291569</v>
      </c>
      <c r="F5" s="17">
        <f>SUM(F6:F12)</f>
        <v>3859.6143400073133</v>
      </c>
      <c r="G5" s="18"/>
      <c r="H5" s="17"/>
      <c r="I5" s="17"/>
      <c r="J5" s="17">
        <f>SUM(J6:J12)</f>
        <v>0</v>
      </c>
      <c r="K5" s="17"/>
      <c r="L5" s="17"/>
      <c r="M5" s="17"/>
      <c r="N5" s="17">
        <f>SUM(N6:N12)</f>
        <v>1005.7949114647225</v>
      </c>
      <c r="O5" s="17">
        <f>B38*B39*B40</f>
        <v>0</v>
      </c>
      <c r="P5" s="17">
        <f>B46*B47*B48/1000-B46*B47*B48/1000/B49</f>
        <v>0</v>
      </c>
      <c r="R5" s="32"/>
    </row>
    <row r="6" spans="1:18">
      <c r="A6" s="32" t="s">
        <v>54</v>
      </c>
      <c r="B6" s="37">
        <f>B26</f>
        <v>1844.12597557393</v>
      </c>
      <c r="C6" s="33"/>
      <c r="D6" s="37">
        <f>IF(ISERROR(TER_kantoor_gas_kWh/1000),0,TER_kantoor_gas_kWh/1000)*0.902</f>
        <v>3502.4245147507122</v>
      </c>
      <c r="E6" s="33">
        <f>$C$26*'E Balans VL '!I12/100/3.6*1000000</f>
        <v>64.551663469438935</v>
      </c>
      <c r="F6" s="33">
        <f>$C$26*('E Balans VL '!L12+'E Balans VL '!N12)/100/3.6*1000000</f>
        <v>279.60909089372757</v>
      </c>
      <c r="G6" s="34"/>
      <c r="H6" s="33"/>
      <c r="I6" s="33"/>
      <c r="J6" s="33">
        <f>$C$26*('E Balans VL '!D12+'E Balans VL '!E12)/100/3.6*1000000</f>
        <v>0</v>
      </c>
      <c r="K6" s="33"/>
      <c r="L6" s="33"/>
      <c r="M6" s="33"/>
      <c r="N6" s="33">
        <f>$C$26*'E Balans VL '!Y12/100/3.6*1000000</f>
        <v>14.25451659564126</v>
      </c>
      <c r="O6" s="33"/>
      <c r="P6" s="33"/>
      <c r="R6" s="32"/>
    </row>
    <row r="7" spans="1:18">
      <c r="A7" s="32" t="s">
        <v>53</v>
      </c>
      <c r="B7" s="37">
        <f t="shared" ref="B7:B12" si="0">B27</f>
        <v>615.72891624195393</v>
      </c>
      <c r="C7" s="33"/>
      <c r="D7" s="37">
        <f>IF(ISERROR(TER_horeca_gas_kWh/1000),0,TER_horeca_gas_kWh/1000)*0.902</f>
        <v>648.01415564797276</v>
      </c>
      <c r="E7" s="33">
        <f>$C$27*'E Balans VL '!I9/100/3.6*1000000</f>
        <v>34.735298076711011</v>
      </c>
      <c r="F7" s="33">
        <f>$C$27*('E Balans VL '!L9+'E Balans VL '!N9)/100/3.6*1000000</f>
        <v>107.26338469692094</v>
      </c>
      <c r="G7" s="34"/>
      <c r="H7" s="33"/>
      <c r="I7" s="33"/>
      <c r="J7" s="33">
        <f>$C$27*('E Balans VL '!D9+'E Balans VL '!E9)/100/3.6*1000000</f>
        <v>0</v>
      </c>
      <c r="K7" s="33"/>
      <c r="L7" s="33"/>
      <c r="M7" s="33"/>
      <c r="N7" s="33">
        <f>$C$27*'E Balans VL '!Y9/100/3.6*1000000</f>
        <v>0</v>
      </c>
      <c r="O7" s="33"/>
      <c r="P7" s="33"/>
      <c r="R7" s="32"/>
    </row>
    <row r="8" spans="1:18">
      <c r="A8" s="6" t="s">
        <v>52</v>
      </c>
      <c r="B8" s="37">
        <f t="shared" si="0"/>
        <v>6845.9166073825099</v>
      </c>
      <c r="C8" s="33"/>
      <c r="D8" s="37">
        <f>IF(ISERROR(TER_handel_gas_kWh/1000),0,TER_handel_gas_kWh/1000)*0.902</f>
        <v>3901.8463513108177</v>
      </c>
      <c r="E8" s="33">
        <f>$C$28*'E Balans VL '!I13/100/3.6*1000000</f>
        <v>35.146240327262106</v>
      </c>
      <c r="F8" s="33">
        <f>$C$28*('E Balans VL '!L13+'E Balans VL '!N13)/100/3.6*1000000</f>
        <v>1055.5345605879802</v>
      </c>
      <c r="G8" s="34"/>
      <c r="H8" s="33"/>
      <c r="I8" s="33"/>
      <c r="J8" s="33">
        <f>$C$28*('E Balans VL '!D13+'E Balans VL '!E13)/100/3.6*1000000</f>
        <v>0</v>
      </c>
      <c r="K8" s="33"/>
      <c r="L8" s="33"/>
      <c r="M8" s="33"/>
      <c r="N8" s="33">
        <f>$C$28*'E Balans VL '!Y13/100/3.6*1000000</f>
        <v>3.2019187629332446</v>
      </c>
      <c r="O8" s="33"/>
      <c r="P8" s="33"/>
      <c r="R8" s="32"/>
    </row>
    <row r="9" spans="1:18">
      <c r="A9" s="32" t="s">
        <v>51</v>
      </c>
      <c r="B9" s="37">
        <f t="shared" si="0"/>
        <v>521.011813104721</v>
      </c>
      <c r="C9" s="33"/>
      <c r="D9" s="37">
        <f>IF(ISERROR(TER_gezond_gas_kWh/1000),0,TER_gezond_gas_kWh/1000)*0.902</f>
        <v>1294.7051330489444</v>
      </c>
      <c r="E9" s="33">
        <f>$C$29*'E Balans VL '!I10/100/3.6*1000000</f>
        <v>0.21595568601875792</v>
      </c>
      <c r="F9" s="33">
        <f>$C$29*('E Balans VL '!L10+'E Balans VL '!N10)/100/3.6*1000000</f>
        <v>128.3177372615431</v>
      </c>
      <c r="G9" s="34"/>
      <c r="H9" s="33"/>
      <c r="I9" s="33"/>
      <c r="J9" s="33">
        <f>$C$29*('E Balans VL '!D10+'E Balans VL '!E10)/100/3.6*1000000</f>
        <v>0</v>
      </c>
      <c r="K9" s="33"/>
      <c r="L9" s="33"/>
      <c r="M9" s="33"/>
      <c r="N9" s="33">
        <f>$C$29*'E Balans VL '!Y10/100/3.6*1000000</f>
        <v>4.5028316346501001</v>
      </c>
      <c r="O9" s="33"/>
      <c r="P9" s="33"/>
      <c r="R9" s="32"/>
    </row>
    <row r="10" spans="1:18">
      <c r="A10" s="32" t="s">
        <v>50</v>
      </c>
      <c r="B10" s="37">
        <f t="shared" si="0"/>
        <v>3453.4493444613104</v>
      </c>
      <c r="C10" s="33"/>
      <c r="D10" s="37">
        <f>IF(ISERROR(TER_ander_gas_kWh/1000),0,TER_ander_gas_kWh/1000)*0.902</f>
        <v>599.84585818619371</v>
      </c>
      <c r="E10" s="33">
        <f>$C$30*'E Balans VL '!I14/100/3.6*1000000</f>
        <v>21.052312409746989</v>
      </c>
      <c r="F10" s="33">
        <f>$C$30*('E Balans VL '!L14+'E Balans VL '!N14)/100/3.6*1000000</f>
        <v>915.55672810645888</v>
      </c>
      <c r="G10" s="34"/>
      <c r="H10" s="33"/>
      <c r="I10" s="33"/>
      <c r="J10" s="33">
        <f>$C$30*('E Balans VL '!D14+'E Balans VL '!E14)/100/3.6*1000000</f>
        <v>0</v>
      </c>
      <c r="K10" s="33"/>
      <c r="L10" s="33"/>
      <c r="M10" s="33"/>
      <c r="N10" s="33">
        <f>$C$30*'E Balans VL '!Y14/100/3.6*1000000</f>
        <v>795.94545035060605</v>
      </c>
      <c r="O10" s="33"/>
      <c r="P10" s="33"/>
      <c r="R10" s="32"/>
    </row>
    <row r="11" spans="1:18">
      <c r="A11" s="32" t="s">
        <v>55</v>
      </c>
      <c r="B11" s="37">
        <f t="shared" si="0"/>
        <v>94.136464632332803</v>
      </c>
      <c r="C11" s="33"/>
      <c r="D11" s="37">
        <f>IF(ISERROR(TER_onderwijs_gas_kWh/1000),0,TER_onderwijs_gas_kWh/1000)*0.902</f>
        <v>481.27163893775247</v>
      </c>
      <c r="E11" s="33">
        <f>$C$31*'E Balans VL '!I11/100/3.6*1000000</f>
        <v>7.1736887787334599E-2</v>
      </c>
      <c r="F11" s="33">
        <f>$C$31*('E Balans VL '!L11+'E Balans VL '!N11)/100/3.6*1000000</f>
        <v>68.122304700868199</v>
      </c>
      <c r="G11" s="34"/>
      <c r="H11" s="33"/>
      <c r="I11" s="33"/>
      <c r="J11" s="33">
        <f>$C$31*('E Balans VL '!D11+'E Balans VL '!E11)/100/3.6*1000000</f>
        <v>0</v>
      </c>
      <c r="K11" s="33"/>
      <c r="L11" s="33"/>
      <c r="M11" s="33"/>
      <c r="N11" s="33">
        <f>$C$31*'E Balans VL '!Y11/100/3.6*1000000</f>
        <v>0.27744265947657037</v>
      </c>
      <c r="O11" s="33"/>
      <c r="P11" s="33"/>
      <c r="R11" s="32"/>
    </row>
    <row r="12" spans="1:18">
      <c r="A12" s="32" t="s">
        <v>261</v>
      </c>
      <c r="B12" s="37">
        <f t="shared" si="0"/>
        <v>6614.7647898017904</v>
      </c>
      <c r="C12" s="33"/>
      <c r="D12" s="37">
        <f>IF(ISERROR(TER_rest_gas_kWh/1000),0,TER_rest_gas_kWh/1000)*0.902</f>
        <v>2954.2327054147736</v>
      </c>
      <c r="E12" s="33">
        <f>$C$32*'E Balans VL '!I8/100/3.6*1000000</f>
        <v>141.8672155259506</v>
      </c>
      <c r="F12" s="33">
        <f>$C$32*('E Balans VL '!L8+'E Balans VL '!N8)/100/3.6*1000000</f>
        <v>1305.2105337598152</v>
      </c>
      <c r="G12" s="34"/>
      <c r="H12" s="33"/>
      <c r="I12" s="33"/>
      <c r="J12" s="33">
        <f>$C$32*('E Balans VL '!D8+'E Balans VL '!E8)/100/3.6*1000000</f>
        <v>0</v>
      </c>
      <c r="K12" s="33"/>
      <c r="L12" s="33"/>
      <c r="M12" s="33"/>
      <c r="N12" s="33">
        <f>$C$32*'E Balans VL '!Y8/100/3.6*1000000</f>
        <v>187.61275146141534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19989.133911198547</v>
      </c>
      <c r="C16" s="21">
        <f ca="1">C5+C13+C14</f>
        <v>0</v>
      </c>
      <c r="D16" s="21">
        <f t="shared" ref="D16:N16" ca="1" si="1">MAX((D5+D13+D14),0)</f>
        <v>13382.340357297167</v>
      </c>
      <c r="E16" s="21">
        <f t="shared" si="1"/>
        <v>297.64042238291569</v>
      </c>
      <c r="F16" s="21">
        <f t="shared" ca="1" si="1"/>
        <v>3859.6143400073133</v>
      </c>
      <c r="G16" s="21">
        <f t="shared" si="1"/>
        <v>0</v>
      </c>
      <c r="H16" s="21">
        <f t="shared" si="1"/>
        <v>0</v>
      </c>
      <c r="I16" s="21">
        <f t="shared" si="1"/>
        <v>0</v>
      </c>
      <c r="J16" s="21">
        <f t="shared" si="1"/>
        <v>0</v>
      </c>
      <c r="K16" s="21">
        <f t="shared" si="1"/>
        <v>0</v>
      </c>
      <c r="L16" s="21">
        <f t="shared" ca="1" si="1"/>
        <v>0</v>
      </c>
      <c r="M16" s="21">
        <f t="shared" si="1"/>
        <v>0</v>
      </c>
      <c r="N16" s="21">
        <f t="shared" ca="1" si="1"/>
        <v>1005.7949114647225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0.20767853530021918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4151.314052597656</v>
      </c>
      <c r="C20" s="23">
        <f t="shared" ref="C20:P20" ca="1" si="2">C16*C18</f>
        <v>0</v>
      </c>
      <c r="D20" s="23">
        <f t="shared" ca="1" si="2"/>
        <v>2703.2327521740281</v>
      </c>
      <c r="E20" s="23">
        <f t="shared" si="2"/>
        <v>67.564375880921858</v>
      </c>
      <c r="F20" s="23">
        <f t="shared" ca="1" si="2"/>
        <v>1030.5170287819528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1844.12597557393</v>
      </c>
      <c r="C26" s="39">
        <f>IF(ISERROR(B26*3.6/1000000/'E Balans VL '!Z12*100),0,B26*3.6/1000000/'E Balans VL '!Z12*100)</f>
        <v>3.8806572903224937E-2</v>
      </c>
      <c r="D26" s="238" t="s">
        <v>720</v>
      </c>
      <c r="F26" s="6"/>
    </row>
    <row r="27" spans="1:18">
      <c r="A27" s="232" t="s">
        <v>53</v>
      </c>
      <c r="B27" s="33">
        <f>IF(ISERROR(TER_horeca_ele_kWh/1000),0,TER_horeca_ele_kWh/1000)</f>
        <v>615.72891624195393</v>
      </c>
      <c r="C27" s="39">
        <f>IF(ISERROR(B27*3.6/1000000/'E Balans VL '!Z9*100),0,B27*3.6/1000000/'E Balans VL '!Z9*100)</f>
        <v>5.2132037155974177E-2</v>
      </c>
      <c r="D27" s="238" t="s">
        <v>720</v>
      </c>
      <c r="F27" s="6"/>
    </row>
    <row r="28" spans="1:18">
      <c r="A28" s="172" t="s">
        <v>52</v>
      </c>
      <c r="B28" s="33">
        <f>IF(ISERROR(TER_handel_ele_kWh/1000),0,TER_handel_ele_kWh/1000)</f>
        <v>6845.9166073825099</v>
      </c>
      <c r="C28" s="39">
        <f>IF(ISERROR(B28*3.6/1000000/'E Balans VL '!Z13*100),0,B28*3.6/1000000/'E Balans VL '!Z13*100)</f>
        <v>0.18952825462856934</v>
      </c>
      <c r="D28" s="238" t="s">
        <v>720</v>
      </c>
      <c r="F28" s="6"/>
    </row>
    <row r="29" spans="1:18">
      <c r="A29" s="232" t="s">
        <v>51</v>
      </c>
      <c r="B29" s="33">
        <f>IF(ISERROR(TER_gezond_ele_kWh/1000),0,TER_gezond_ele_kWh/1000)</f>
        <v>521.011813104721</v>
      </c>
      <c r="C29" s="39">
        <f>IF(ISERROR(B29*3.6/1000000/'E Balans VL '!Z10*100),0,B29*3.6/1000000/'E Balans VL '!Z10*100)</f>
        <v>6.7725759614232828E-2</v>
      </c>
      <c r="D29" s="238" t="s">
        <v>720</v>
      </c>
      <c r="F29" s="6"/>
    </row>
    <row r="30" spans="1:18">
      <c r="A30" s="232" t="s">
        <v>50</v>
      </c>
      <c r="B30" s="33">
        <f>IF(ISERROR(TER_ander_ele_kWh/1000),0,TER_ander_ele_kWh/1000)</f>
        <v>3453.4493444613104</v>
      </c>
      <c r="C30" s="39">
        <f>IF(ISERROR(B30*3.6/1000000/'E Balans VL '!Z14*100),0,B30*3.6/1000000/'E Balans VL '!Z14*100)</f>
        <v>0.26767399474558584</v>
      </c>
      <c r="D30" s="238" t="s">
        <v>720</v>
      </c>
      <c r="F30" s="6"/>
    </row>
    <row r="31" spans="1:18">
      <c r="A31" s="232" t="s">
        <v>55</v>
      </c>
      <c r="B31" s="33">
        <f>IF(ISERROR(TER_onderwijs_ele_kWh/1000),0,TER_onderwijs_ele_kWh/1000)</f>
        <v>94.136464632332803</v>
      </c>
      <c r="C31" s="39">
        <f>IF(ISERROR(B31*3.6/1000000/'E Balans VL '!Z11*100),0,B31*3.6/1000000/'E Balans VL '!Z11*100)</f>
        <v>1.8009909735577433E-2</v>
      </c>
      <c r="D31" s="238" t="s">
        <v>720</v>
      </c>
    </row>
    <row r="32" spans="1:18">
      <c r="A32" s="232" t="s">
        <v>261</v>
      </c>
      <c r="B32" s="33">
        <f>IF(ISERROR(TER_rest_ele_kWh/1000),0,TER_rest_ele_kWh/1000)</f>
        <v>6614.7647898017904</v>
      </c>
      <c r="C32" s="39">
        <f>IF(ISERROR(B32*3.6/1000000/'E Balans VL '!Z8*100),0,B32*3.6/1000000/'E Balans VL '!Z8*100)</f>
        <v>5.4543815272745044E-2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20188.534814859522</v>
      </c>
      <c r="C5" s="17">
        <f>IF(ISERROR('Eigen informatie GS &amp; warmtenet'!B59),0,'Eigen informatie GS &amp; warmtenet'!B59)</f>
        <v>0</v>
      </c>
      <c r="D5" s="30">
        <f>SUM(D6:D15)</f>
        <v>22471.174529311265</v>
      </c>
      <c r="E5" s="17">
        <f>SUM(E6:E15)</f>
        <v>173.22999125017847</v>
      </c>
      <c r="F5" s="17">
        <f>SUM(F6:F15)</f>
        <v>2950.9656165433175</v>
      </c>
      <c r="G5" s="18"/>
      <c r="H5" s="17"/>
      <c r="I5" s="17"/>
      <c r="J5" s="17">
        <f>SUM(J6:J15)</f>
        <v>49.019461691710617</v>
      </c>
      <c r="K5" s="17"/>
      <c r="L5" s="17"/>
      <c r="M5" s="17"/>
      <c r="N5" s="17">
        <f>SUM(N6:N15)</f>
        <v>297.00387990911196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394.92955095229098</v>
      </c>
      <c r="C8" s="33"/>
      <c r="D8" s="37">
        <f>IF( ISERROR(IND_metaal_Gas_kWH/1000),0,IND_metaal_Gas_kWH/1000)*0.902</f>
        <v>0</v>
      </c>
      <c r="E8" s="33">
        <f>C30*'E Balans VL '!I18/100/3.6*1000000</f>
        <v>2.7750828172888995</v>
      </c>
      <c r="F8" s="33">
        <f>C30*'E Balans VL '!L18/100/3.6*1000000+C30*'E Balans VL '!N18/100/3.6*1000000</f>
        <v>43.360954129262915</v>
      </c>
      <c r="G8" s="34"/>
      <c r="H8" s="33"/>
      <c r="I8" s="33"/>
      <c r="J8" s="40">
        <f>C30*'E Balans VL '!D18/100/3.6*1000000+C30*'E Balans VL '!E18/100/3.6*1000000</f>
        <v>8.1482478640505658</v>
      </c>
      <c r="K8" s="33"/>
      <c r="L8" s="33"/>
      <c r="M8" s="33"/>
      <c r="N8" s="33">
        <f>C30*'E Balans VL '!Y18/100/3.6*1000000</f>
        <v>1.4802243997649378</v>
      </c>
      <c r="O8" s="33"/>
      <c r="P8" s="33"/>
      <c r="R8" s="32"/>
    </row>
    <row r="9" spans="1:18">
      <c r="A9" s="6" t="s">
        <v>33</v>
      </c>
      <c r="B9" s="37">
        <f t="shared" si="0"/>
        <v>2052.66119831075</v>
      </c>
      <c r="C9" s="33"/>
      <c r="D9" s="37">
        <f>IF( ISERROR(IND_andere_gas_kWh/1000),0,IND_andere_gas_kWh/1000)*0.902</f>
        <v>1054.2715845831679</v>
      </c>
      <c r="E9" s="33">
        <f>C31*'E Balans VL '!I19/100/3.6*1000000</f>
        <v>34.476959415883378</v>
      </c>
      <c r="F9" s="33">
        <f>C31*'E Balans VL '!L19/100/3.6*1000000+C31*'E Balans VL '!N19/100/3.6*1000000</f>
        <v>1604.6536139869386</v>
      </c>
      <c r="G9" s="34"/>
      <c r="H9" s="33"/>
      <c r="I9" s="33"/>
      <c r="J9" s="40">
        <f>C31*'E Balans VL '!D19/100/3.6*1000000+C31*'E Balans VL '!E19/100/3.6*1000000</f>
        <v>0.18513192045713472</v>
      </c>
      <c r="K9" s="33"/>
      <c r="L9" s="33"/>
      <c r="M9" s="33"/>
      <c r="N9" s="33">
        <f>C31*'E Balans VL '!Y19/100/3.6*1000000</f>
        <v>152.13512684450581</v>
      </c>
      <c r="O9" s="33"/>
      <c r="P9" s="33"/>
      <c r="R9" s="32"/>
    </row>
    <row r="10" spans="1:18">
      <c r="A10" s="6" t="s">
        <v>41</v>
      </c>
      <c r="B10" s="37">
        <f t="shared" si="0"/>
        <v>978.04513648306408</v>
      </c>
      <c r="C10" s="33"/>
      <c r="D10" s="37">
        <f>IF( ISERROR(IND_voed_gas_kWh/1000),0,IND_voed_gas_kWh/1000)*0.902</f>
        <v>208.47655061541096</v>
      </c>
      <c r="E10" s="33">
        <f>C32*'E Balans VL '!I20/100/3.6*1000000</f>
        <v>8.9232773986345499</v>
      </c>
      <c r="F10" s="33">
        <f>C32*'E Balans VL '!L20/100/3.6*1000000+C32*'E Balans VL '!N20/100/3.6*1000000</f>
        <v>157.78927197631282</v>
      </c>
      <c r="G10" s="34"/>
      <c r="H10" s="33"/>
      <c r="I10" s="33"/>
      <c r="J10" s="40">
        <f>C32*'E Balans VL '!D20/100/3.6*1000000+C32*'E Balans VL '!E20/100/3.6*1000000</f>
        <v>4.0282311094678862</v>
      </c>
      <c r="K10" s="33"/>
      <c r="L10" s="33"/>
      <c r="M10" s="33"/>
      <c r="N10" s="33">
        <f>C32*'E Balans VL '!Y20/100/3.6*1000000</f>
        <v>14.308029136512273</v>
      </c>
      <c r="O10" s="33"/>
      <c r="P10" s="33"/>
      <c r="R10" s="32"/>
    </row>
    <row r="11" spans="1:18">
      <c r="A11" s="6" t="s">
        <v>40</v>
      </c>
      <c r="B11" s="37">
        <f t="shared" si="0"/>
        <v>10790.036251583901</v>
      </c>
      <c r="C11" s="33"/>
      <c r="D11" s="37">
        <f>IF( ISERROR(IND_textiel_gas_kWh/1000),0,IND_textiel_gas_kWh/1000)*0.902</f>
        <v>947.50269226634248</v>
      </c>
      <c r="E11" s="33">
        <f>C33*'E Balans VL '!I21/100/3.6*1000000</f>
        <v>24.610071223711362</v>
      </c>
      <c r="F11" s="33">
        <f>C33*'E Balans VL '!L21/100/3.6*1000000+C33*'E Balans VL '!N21/100/3.6*1000000</f>
        <v>230.64703259114305</v>
      </c>
      <c r="G11" s="34"/>
      <c r="H11" s="33"/>
      <c r="I11" s="33"/>
      <c r="J11" s="40">
        <f>C33*'E Balans VL '!D21/100/3.6*1000000+C33*'E Balans VL '!E21/100/3.6*1000000</f>
        <v>0</v>
      </c>
      <c r="K11" s="33"/>
      <c r="L11" s="33"/>
      <c r="M11" s="33"/>
      <c r="N11" s="33">
        <f>C33*'E Balans VL '!Y21/100/3.6*1000000</f>
        <v>76.543061489845982</v>
      </c>
      <c r="O11" s="33"/>
      <c r="P11" s="33"/>
      <c r="R11" s="32"/>
    </row>
    <row r="12" spans="1:18">
      <c r="A12" s="6" t="s">
        <v>37</v>
      </c>
      <c r="B12" s="37">
        <f t="shared" si="0"/>
        <v>2992.7150682353699</v>
      </c>
      <c r="C12" s="33"/>
      <c r="D12" s="37">
        <f>IF( ISERROR(IND_min_gas_kWh/1000),0,IND_min_gas_kWh/1000)*0.902</f>
        <v>1458.4574102093848</v>
      </c>
      <c r="E12" s="33">
        <f>C34*'E Balans VL '!I22/100/3.6*1000000</f>
        <v>74.229063153519945</v>
      </c>
      <c r="F12" s="33">
        <f>C34*'E Balans VL '!L22/100/3.6*1000000+C34*'E Balans VL '!N22/100/3.6*1000000</f>
        <v>318.00463123559462</v>
      </c>
      <c r="G12" s="34"/>
      <c r="H12" s="33"/>
      <c r="I12" s="33"/>
      <c r="J12" s="40">
        <f>C34*'E Balans VL '!D22/100/3.6*1000000+C34*'E Balans VL '!E22/100/3.6*1000000</f>
        <v>17.000377599660734</v>
      </c>
      <c r="K12" s="33"/>
      <c r="L12" s="33"/>
      <c r="M12" s="33"/>
      <c r="N12" s="33">
        <f>C34*'E Balans VL '!Y22/100/3.6*1000000</f>
        <v>0</v>
      </c>
      <c r="O12" s="33"/>
      <c r="P12" s="33"/>
      <c r="R12" s="32"/>
    </row>
    <row r="13" spans="1:18">
      <c r="A13" s="6" t="s">
        <v>39</v>
      </c>
      <c r="B13" s="37">
        <f t="shared" si="0"/>
        <v>60.729086789015604</v>
      </c>
      <c r="C13" s="33"/>
      <c r="D13" s="37">
        <f>IF( ISERROR(IND_papier_gas_kWh/1000),0,IND_papier_gas_kWh/1000)*0.902</f>
        <v>0</v>
      </c>
      <c r="E13" s="33">
        <f>C35*'E Balans VL '!I23/100/3.6*1000000</f>
        <v>1.8684755116969001</v>
      </c>
      <c r="F13" s="33">
        <f>C35*'E Balans VL '!L23/100/3.6*1000000+C35*'E Balans VL '!N23/100/3.6*1000000</f>
        <v>12.894907481497418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2919.4185225051301</v>
      </c>
      <c r="C15" s="33"/>
      <c r="D15" s="37">
        <f>IF( ISERROR(IND_rest_gas_kWh/1000),0,IND_rest_gas_kWh/1000)*0.902</f>
        <v>18802.46629163696</v>
      </c>
      <c r="E15" s="33">
        <f>C37*'E Balans VL '!I15/100/3.6*1000000</f>
        <v>26.347061729443414</v>
      </c>
      <c r="F15" s="33">
        <f>C37*'E Balans VL '!L15/100/3.6*1000000+C37*'E Balans VL '!N15/100/3.6*1000000</f>
        <v>583.61520514256836</v>
      </c>
      <c r="G15" s="34"/>
      <c r="H15" s="33"/>
      <c r="I15" s="33"/>
      <c r="J15" s="40">
        <f>C37*'E Balans VL '!D15/100/3.6*1000000+C37*'E Balans VL '!E15/100/3.6*1000000</f>
        <v>19.6574731980743</v>
      </c>
      <c r="K15" s="33"/>
      <c r="L15" s="33"/>
      <c r="M15" s="33"/>
      <c r="N15" s="33">
        <f>C37*'E Balans VL '!Y15/100/3.6*1000000</f>
        <v>52.537438038482932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20188.534814859522</v>
      </c>
      <c r="C18" s="21">
        <f>C5+C16</f>
        <v>0</v>
      </c>
      <c r="D18" s="21">
        <f>MAX((D5+D16),0)</f>
        <v>22471.174529311265</v>
      </c>
      <c r="E18" s="21">
        <f>MAX((E5+E16),0)</f>
        <v>173.22999125017847</v>
      </c>
      <c r="F18" s="21">
        <f>MAX((F5+F16),0)</f>
        <v>2950.9656165433175</v>
      </c>
      <c r="G18" s="21"/>
      <c r="H18" s="21"/>
      <c r="I18" s="21"/>
      <c r="J18" s="21">
        <f>MAX((J5+J16),0)</f>
        <v>49.019461691710617</v>
      </c>
      <c r="K18" s="21"/>
      <c r="L18" s="21">
        <f>MAX((L5+L16),0)</f>
        <v>0</v>
      </c>
      <c r="M18" s="21"/>
      <c r="N18" s="21">
        <f>MAX((N5+N16),0)</f>
        <v>297.00387990911196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0.20767853530021918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4192.7253402075075</v>
      </c>
      <c r="C22" s="23">
        <f ca="1">C18*C20</f>
        <v>0</v>
      </c>
      <c r="D22" s="23">
        <f>D18*D20</f>
        <v>4539.1772549208763</v>
      </c>
      <c r="E22" s="23">
        <f>E18*E20</f>
        <v>39.323208013790513</v>
      </c>
      <c r="F22" s="23">
        <f>F18*F20</f>
        <v>787.9078196170658</v>
      </c>
      <c r="G22" s="23"/>
      <c r="H22" s="23"/>
      <c r="I22" s="23"/>
      <c r="J22" s="23">
        <f>J18*J20</f>
        <v>17.352889438865557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394.92955095229098</v>
      </c>
      <c r="C30" s="39">
        <f>IF(ISERROR(B30*3.6/1000000/'E Balans VL '!Z18*100),0,B30*3.6/1000000/'E Balans VL '!Z18*100)</f>
        <v>2.6290701371086952E-2</v>
      </c>
      <c r="D30" s="238" t="s">
        <v>720</v>
      </c>
    </row>
    <row r="31" spans="1:18">
      <c r="A31" s="6" t="s">
        <v>33</v>
      </c>
      <c r="B31" s="37">
        <f>IF( ISERROR(IND_ander_ele_kWh/1000),0,IND_ander_ele_kWh/1000)</f>
        <v>2052.66119831075</v>
      </c>
      <c r="C31" s="39">
        <f>IF(ISERROR(B31*3.6/1000000/'E Balans VL '!Z19*100),0,B31*3.6/1000000/'E Balans VL '!Z19*100)</f>
        <v>9.0986336333881909E-2</v>
      </c>
      <c r="D31" s="238" t="s">
        <v>720</v>
      </c>
    </row>
    <row r="32" spans="1:18">
      <c r="A32" s="172" t="s">
        <v>41</v>
      </c>
      <c r="B32" s="37">
        <f>IF( ISERROR(IND_voed_ele_kWh/1000),0,IND_voed_ele_kWh/1000)</f>
        <v>978.04513648306408</v>
      </c>
      <c r="C32" s="39">
        <f>IF(ISERROR(B32*3.6/1000000/'E Balans VL '!Z20*100),0,B32*3.6/1000000/'E Balans VL '!Z20*100)</f>
        <v>3.266951320690905E-2</v>
      </c>
      <c r="D32" s="238" t="s">
        <v>720</v>
      </c>
    </row>
    <row r="33" spans="1:5">
      <c r="A33" s="172" t="s">
        <v>40</v>
      </c>
      <c r="B33" s="37">
        <f>IF( ISERROR(IND_textiel_ele_kWh/1000),0,IND_textiel_ele_kWh/1000)</f>
        <v>10790.036251583901</v>
      </c>
      <c r="C33" s="39">
        <f>IF(ISERROR(B33*3.6/1000000/'E Balans VL '!Z21*100),0,B33*3.6/1000000/'E Balans VL '!Z21*100)</f>
        <v>1.420533154775985</v>
      </c>
      <c r="D33" s="238" t="s">
        <v>720</v>
      </c>
    </row>
    <row r="34" spans="1:5">
      <c r="A34" s="172" t="s">
        <v>37</v>
      </c>
      <c r="B34" s="37">
        <f>IF( ISERROR(IND_min_ele_kWh/1000),0,IND_min_ele_kWh/1000)</f>
        <v>2992.7150682353699</v>
      </c>
      <c r="C34" s="39">
        <f>IF(ISERROR(B34*3.6/1000000/'E Balans VL '!Z22*100),0,B34*3.6/1000000/'E Balans VL '!Z22*100)</f>
        <v>0.5820502076653753</v>
      </c>
      <c r="D34" s="238" t="s">
        <v>720</v>
      </c>
    </row>
    <row r="35" spans="1:5">
      <c r="A35" s="172" t="s">
        <v>39</v>
      </c>
      <c r="B35" s="37">
        <f>IF( ISERROR(IND_papier_ele_kWh/1000),0,IND_papier_ele_kWh/1000)</f>
        <v>60.729086789015604</v>
      </c>
      <c r="C35" s="39">
        <f>IF(ISERROR(B35*3.6/1000000/'E Balans VL '!Z22*100),0,B35*3.6/1000000/'E Balans VL '!Z22*100)</f>
        <v>1.1811140309363772E-2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2919.4185225051301</v>
      </c>
      <c r="C37" s="39">
        <f>IF(ISERROR(B37*3.6/1000000/'E Balans VL '!Z15*100),0,B37*3.6/1000000/'E Balans VL '!Z15*100)</f>
        <v>2.171571766782842E-2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1327.7931134031887</v>
      </c>
      <c r="C5" s="17">
        <f>'Eigen informatie GS &amp; warmtenet'!B60</f>
        <v>0</v>
      </c>
      <c r="D5" s="30">
        <f>IF(ISERROR(SUM(LB_lb_gas_kWh,LB_rest_gas_kWh,onbekend_gas_kWh)/1000),0,SUM(LB_lb_gas_kWh,LB_rest_gas_kWh,onbekend_gas_kWh)/1000)*0.902</f>
        <v>1646.2147057059535</v>
      </c>
      <c r="E5" s="17">
        <f>B17*'E Balans VL '!I25/3.6*1000000/100</f>
        <v>13.904936939044878</v>
      </c>
      <c r="F5" s="17">
        <f>B17*('E Balans VL '!L25/3.6*1000000+'E Balans VL '!N25/3.6*1000000)/100</f>
        <v>6819.7568473246556</v>
      </c>
      <c r="G5" s="18"/>
      <c r="H5" s="17"/>
      <c r="I5" s="17"/>
      <c r="J5" s="17">
        <f>('E Balans VL '!D25+'E Balans VL '!E25)/3.6*1000000*landbouw!B17/100</f>
        <v>118.58382623961084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1327.7931134031887</v>
      </c>
      <c r="C8" s="21">
        <f>C5+C6</f>
        <v>0</v>
      </c>
      <c r="D8" s="21">
        <f>MAX((D5+D6),0)</f>
        <v>1646.2147057059535</v>
      </c>
      <c r="E8" s="21">
        <f>MAX((E5+E6),0)</f>
        <v>13.904936939044878</v>
      </c>
      <c r="F8" s="21">
        <f>MAX((F5+F6),0)</f>
        <v>6819.7568473246556</v>
      </c>
      <c r="G8" s="21"/>
      <c r="H8" s="21"/>
      <c r="I8" s="21"/>
      <c r="J8" s="21">
        <f>MAX((J5+J6),0)</f>
        <v>118.58382623961084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0.20767853530021918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275.75412897329204</v>
      </c>
      <c r="C12" s="23">
        <f ca="1">C8*C10</f>
        <v>0</v>
      </c>
      <c r="D12" s="23">
        <f>D8*D10</f>
        <v>332.53537055260261</v>
      </c>
      <c r="E12" s="23">
        <f>E8*E10</f>
        <v>3.1564206851631873</v>
      </c>
      <c r="F12" s="23">
        <f>F8*F10</f>
        <v>1820.8750782356831</v>
      </c>
      <c r="G12" s="23"/>
      <c r="H12" s="23"/>
      <c r="I12" s="23"/>
      <c r="J12" s="23">
        <f>J8*J10</f>
        <v>41.978674488822236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0.20437299129643477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196.28950571831712</v>
      </c>
      <c r="C26" s="248">
        <f>B26*'GWP N2O_CH4'!B5</f>
        <v>4122.0796200846598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66.940097629675321</v>
      </c>
      <c r="C27" s="248">
        <f>B27*'GWP N2O_CH4'!B5</f>
        <v>1405.7420502231816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2.7755864497795746</v>
      </c>
      <c r="C28" s="248">
        <f>B28*'GWP N2O_CH4'!B4</f>
        <v>860.43179943166808</v>
      </c>
      <c r="D28" s="50"/>
    </row>
    <row r="29" spans="1:4">
      <c r="A29" s="41" t="s">
        <v>278</v>
      </c>
      <c r="B29" s="248">
        <f>B34*'ha_N2O bodem landbouw'!B4</f>
        <v>6.9457321464044197</v>
      </c>
      <c r="C29" s="248">
        <f>B29*'GWP N2O_CH4'!B4</f>
        <v>2153.1769653853703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1.1478734603329428E-3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4.0795028597386813E-6</v>
      </c>
      <c r="C5" s="446" t="s">
        <v>212</v>
      </c>
      <c r="D5" s="431">
        <f>SUM(D6:D11)</f>
        <v>2.0978199382894741E-5</v>
      </c>
      <c r="E5" s="431">
        <f>SUM(E6:E11)</f>
        <v>2.4332514052374382E-3</v>
      </c>
      <c r="F5" s="444" t="s">
        <v>212</v>
      </c>
      <c r="G5" s="431">
        <f>SUM(G6:G11)</f>
        <v>0.55790505141772528</v>
      </c>
      <c r="H5" s="431">
        <f>SUM(H6:H11)</f>
        <v>7.1960263775570743E-2</v>
      </c>
      <c r="I5" s="446" t="s">
        <v>212</v>
      </c>
      <c r="J5" s="446" t="s">
        <v>212</v>
      </c>
      <c r="K5" s="446" t="s">
        <v>212</v>
      </c>
      <c r="L5" s="446" t="s">
        <v>212</v>
      </c>
      <c r="M5" s="431">
        <f>SUM(M6:M11)</f>
        <v>2.7420864801177523E-2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5.4911216306287053E-7</v>
      </c>
      <c r="C6" s="432"/>
      <c r="D6" s="432">
        <f>vkm_2011_GW_PW*SUMIFS(TableVerdeelsleutelVkm[CNG],TableVerdeelsleutelVkm[Voertuigtype],"Lichte voertuigen")*SUMIFS(TableECFTransport[EnergieConsumptieFactor (PJ per km)],TableECFTransport[Index],CONCATENATE($A6,"_CNG_CNG"))</f>
        <v>2.367158706236674E-6</v>
      </c>
      <c r="E6" s="434">
        <f>vkm_2011_GW_PW*SUMIFS(TableVerdeelsleutelVkm[LPG],TableVerdeelsleutelVkm[Voertuigtype],"Lichte voertuigen")*SUMIFS(TableECFTransport[EnergieConsumptieFactor (PJ per km)],TableECFTransport[Index],CONCATENATE($A6,"_LPG_LPG"))</f>
        <v>2.462883388029481E-4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3.0294141802939132E-2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7.9758197506052276E-3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1.677173188503093E-3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3.396448084366948E-2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1.1645949813499325E-5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1.4672019340449991E-3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8.7007950978357074E-7</v>
      </c>
      <c r="C8" s="432"/>
      <c r="D8" s="434">
        <f>vkm_2011_NGW_PW*SUMIFS(TableVerdeelsleutelVkm[CNG],TableVerdeelsleutelVkm[Voertuigtype],"Lichte voertuigen")*SUMIFS(TableECFTransport[EnergieConsumptieFactor (PJ per km)],TableECFTransport[Index],CONCATENATE($A8,"_CNG_CNG"))</f>
        <v>6.7290474204861731E-6</v>
      </c>
      <c r="E8" s="434">
        <f>vkm_2011_NGW_PW*SUMIFS(TableVerdeelsleutelVkm[LPG],TableVerdeelsleutelVkm[Voertuigtype],"Lichte voertuigen")*SUMIFS(TableECFTransport[EnergieConsumptieFactor (PJ per km)],TableECFTransport[Index],CONCATENATE($A8,"_LPG_LPG"))</f>
        <v>6.3925792251430676E-4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7.4579219338335639E-2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2.1642553897020252E-2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4.2217984342871754E-3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3.9390121120419098E-2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1.1733282260792428E-5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1.7014973977020609E-3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2.6603111868922398E-6</v>
      </c>
      <c r="C10" s="432"/>
      <c r="D10" s="434">
        <f>vkm_2011_SW_PW*SUMIFS(TableVerdeelsleutelVkm[CNG],TableVerdeelsleutelVkm[Voertuigtype],"Lichte voertuigen")*SUMIFS(TableECFTransport[EnergieConsumptieFactor (PJ per km)],TableECFTransport[Index],CONCATENATE($A10,"_CNG_CNG"))</f>
        <v>1.1881993256171894E-5</v>
      </c>
      <c r="E10" s="434">
        <f>vkm_2011_SW_PW*SUMIFS(TableVerdeelsleutelVkm[LPG],TableVerdeelsleutelVkm[Voertuigtype],"Lichte voertuigen")*SUMIFS(TableECFTransport[EnergieConsumptieFactor (PJ per km)],TableECFTransport[Index],CONCATENATE($A10,"_LPG_LPG"))</f>
        <v>1.5477051439201836E-3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0.17501666514158931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4.2243636783330429E-2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9.5120296373179102E-3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0.20466042317077254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7.4874112540528087E-5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8.841164209322289E-3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1.1331952388163005</v>
      </c>
      <c r="C14" s="21"/>
      <c r="D14" s="21">
        <f t="shared" ref="D14:M14" si="0">((D5)*10^9/3600)+D12</f>
        <v>5.8272776063596501</v>
      </c>
      <c r="E14" s="21">
        <f t="shared" si="0"/>
        <v>675.90316812151059</v>
      </c>
      <c r="F14" s="21"/>
      <c r="G14" s="21">
        <f t="shared" si="0"/>
        <v>154973.6253938126</v>
      </c>
      <c r="H14" s="21">
        <f t="shared" si="0"/>
        <v>19988.962159880764</v>
      </c>
      <c r="I14" s="21"/>
      <c r="J14" s="21"/>
      <c r="K14" s="21"/>
      <c r="L14" s="21"/>
      <c r="M14" s="21">
        <f t="shared" si="0"/>
        <v>7616.9068892159785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0.20767853530021918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0.23534032740655136</v>
      </c>
      <c r="C18" s="23"/>
      <c r="D18" s="23">
        <f t="shared" ref="D18:M18" si="1">D14*D16</f>
        <v>1.1771100764846494</v>
      </c>
      <c r="E18" s="23">
        <f t="shared" si="1"/>
        <v>153.4300191635829</v>
      </c>
      <c r="F18" s="23"/>
      <c r="G18" s="23">
        <f t="shared" si="1"/>
        <v>41377.95798014797</v>
      </c>
      <c r="H18" s="23">
        <f t="shared" si="1"/>
        <v>4977.2515778103107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1.7510178910406617E-3</v>
      </c>
      <c r="H50" s="322">
        <f t="shared" si="2"/>
        <v>0</v>
      </c>
      <c r="I50" s="322">
        <f t="shared" si="2"/>
        <v>0</v>
      </c>
      <c r="J50" s="322">
        <f t="shared" si="2"/>
        <v>0</v>
      </c>
      <c r="K50" s="322">
        <f t="shared" si="2"/>
        <v>0</v>
      </c>
      <c r="L50" s="322">
        <f t="shared" si="2"/>
        <v>0</v>
      </c>
      <c r="M50" s="322">
        <f t="shared" si="2"/>
        <v>7.4638285438867745E-5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1.7510178910406617E-3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7.4638285438867745E-5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486.39385862240607</v>
      </c>
      <c r="H54" s="21">
        <f t="shared" si="3"/>
        <v>0</v>
      </c>
      <c r="I54" s="21">
        <f t="shared" si="3"/>
        <v>0</v>
      </c>
      <c r="J54" s="21">
        <f t="shared" si="3"/>
        <v>0</v>
      </c>
      <c r="K54" s="21">
        <f t="shared" si="3"/>
        <v>0</v>
      </c>
      <c r="L54" s="21">
        <f t="shared" si="3"/>
        <v>0</v>
      </c>
      <c r="M54" s="21">
        <f t="shared" si="3"/>
        <v>20.732857066352153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0.20767853530021918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129.86716025218243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3993.2986358793896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3993.2986358793896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21082.270911198546</v>
      </c>
      <c r="D10" s="702">
        <f ca="1">tertiair!C16</f>
        <v>0</v>
      </c>
      <c r="E10" s="702">
        <f ca="1">tertiair!D16</f>
        <v>13382.340357297167</v>
      </c>
      <c r="F10" s="702">
        <f>tertiair!E16</f>
        <v>297.64042238291569</v>
      </c>
      <c r="G10" s="702">
        <f ca="1">tertiair!F16</f>
        <v>3859.6143400073133</v>
      </c>
      <c r="H10" s="702">
        <f>tertiair!G16</f>
        <v>0</v>
      </c>
      <c r="I10" s="702">
        <f>tertiair!H16</f>
        <v>0</v>
      </c>
      <c r="J10" s="702">
        <f>tertiair!I16</f>
        <v>0</v>
      </c>
      <c r="K10" s="702">
        <f>tertiair!J16</f>
        <v>0</v>
      </c>
      <c r="L10" s="702">
        <f>tertiair!K16</f>
        <v>0</v>
      </c>
      <c r="M10" s="702">
        <f ca="1">tertiair!L16</f>
        <v>0</v>
      </c>
      <c r="N10" s="702">
        <f>tertiair!M16</f>
        <v>0</v>
      </c>
      <c r="O10" s="702">
        <f ca="1">tertiair!N16</f>
        <v>1005.7949114647225</v>
      </c>
      <c r="P10" s="702">
        <f>tertiair!O16</f>
        <v>0</v>
      </c>
      <c r="Q10" s="703">
        <f>tertiair!P16</f>
        <v>0</v>
      </c>
      <c r="R10" s="705">
        <f ca="1">SUM(C10:Q10)</f>
        <v>39627.66094235066</v>
      </c>
      <c r="S10" s="67"/>
    </row>
    <row r="11" spans="1:19" s="457" customFormat="1">
      <c r="A11" s="858" t="s">
        <v>226</v>
      </c>
      <c r="B11" s="863"/>
      <c r="C11" s="702">
        <f>huishoudens!B8</f>
        <v>23648.16325446164</v>
      </c>
      <c r="D11" s="702">
        <f>huishoudens!C8</f>
        <v>0</v>
      </c>
      <c r="E11" s="702">
        <f>huishoudens!D8</f>
        <v>32304.609181706102</v>
      </c>
      <c r="F11" s="702">
        <f>huishoudens!E8</f>
        <v>1309.8671751071174</v>
      </c>
      <c r="G11" s="702">
        <f>huishoudens!F8</f>
        <v>30117.021420727833</v>
      </c>
      <c r="H11" s="702">
        <f>huishoudens!G8</f>
        <v>0</v>
      </c>
      <c r="I11" s="702">
        <f>huishoudens!H8</f>
        <v>0</v>
      </c>
      <c r="J11" s="702">
        <f>huishoudens!I8</f>
        <v>0</v>
      </c>
      <c r="K11" s="702">
        <f>huishoudens!J8</f>
        <v>149.1674514591962</v>
      </c>
      <c r="L11" s="702">
        <f>huishoudens!K8</f>
        <v>0</v>
      </c>
      <c r="M11" s="702">
        <f>huishoudens!L8</f>
        <v>0</v>
      </c>
      <c r="N11" s="702">
        <f>huishoudens!M8</f>
        <v>0</v>
      </c>
      <c r="O11" s="702">
        <f>huishoudens!N8</f>
        <v>5865.3134474166636</v>
      </c>
      <c r="P11" s="702">
        <f>huishoudens!O8</f>
        <v>59.406666666666666</v>
      </c>
      <c r="Q11" s="703">
        <f>huishoudens!P8</f>
        <v>152.53333333333333</v>
      </c>
      <c r="R11" s="705">
        <f>SUM(C11:Q11)</f>
        <v>93606.081930878543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20188.534814859522</v>
      </c>
      <c r="D13" s="702">
        <f>industrie!C18</f>
        <v>0</v>
      </c>
      <c r="E13" s="702">
        <f>industrie!D18</f>
        <v>22471.174529311265</v>
      </c>
      <c r="F13" s="702">
        <f>industrie!E18</f>
        <v>173.22999125017847</v>
      </c>
      <c r="G13" s="702">
        <f>industrie!F18</f>
        <v>2950.9656165433175</v>
      </c>
      <c r="H13" s="702">
        <f>industrie!G18</f>
        <v>0</v>
      </c>
      <c r="I13" s="702">
        <f>industrie!H18</f>
        <v>0</v>
      </c>
      <c r="J13" s="702">
        <f>industrie!I18</f>
        <v>0</v>
      </c>
      <c r="K13" s="702">
        <f>industrie!J18</f>
        <v>49.019461691710617</v>
      </c>
      <c r="L13" s="702">
        <f>industrie!K18</f>
        <v>0</v>
      </c>
      <c r="M13" s="702">
        <f>industrie!L18</f>
        <v>0</v>
      </c>
      <c r="N13" s="702">
        <f>industrie!M18</f>
        <v>0</v>
      </c>
      <c r="O13" s="702">
        <f>industrie!N18</f>
        <v>297.00387990911196</v>
      </c>
      <c r="P13" s="702">
        <f>industrie!O18</f>
        <v>0</v>
      </c>
      <c r="Q13" s="703">
        <f>industrie!P18</f>
        <v>0</v>
      </c>
      <c r="R13" s="705">
        <f>SUM(C13:Q13)</f>
        <v>46129.928293565106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64918.968980519712</v>
      </c>
      <c r="D15" s="707">
        <f t="shared" ref="D15:Q15" ca="1" si="0">SUM(D9:D14)</f>
        <v>0</v>
      </c>
      <c r="E15" s="707">
        <f t="shared" ca="1" si="0"/>
        <v>68158.12406831453</v>
      </c>
      <c r="F15" s="707">
        <f t="shared" si="0"/>
        <v>1780.7375887402115</v>
      </c>
      <c r="G15" s="707">
        <f t="shared" ca="1" si="0"/>
        <v>36927.601377278464</v>
      </c>
      <c r="H15" s="707">
        <f t="shared" si="0"/>
        <v>0</v>
      </c>
      <c r="I15" s="707">
        <f t="shared" si="0"/>
        <v>0</v>
      </c>
      <c r="J15" s="707">
        <f t="shared" si="0"/>
        <v>0</v>
      </c>
      <c r="K15" s="707">
        <f t="shared" si="0"/>
        <v>198.18691315090683</v>
      </c>
      <c r="L15" s="707">
        <f t="shared" si="0"/>
        <v>0</v>
      </c>
      <c r="M15" s="707">
        <f t="shared" ca="1" si="0"/>
        <v>0</v>
      </c>
      <c r="N15" s="707">
        <f t="shared" si="0"/>
        <v>0</v>
      </c>
      <c r="O15" s="707">
        <f t="shared" ca="1" si="0"/>
        <v>7168.1122387904979</v>
      </c>
      <c r="P15" s="707">
        <f t="shared" si="0"/>
        <v>59.406666666666666</v>
      </c>
      <c r="Q15" s="708">
        <f t="shared" si="0"/>
        <v>152.53333333333333</v>
      </c>
      <c r="R15" s="709">
        <f ca="1">SUM(R9:R14)</f>
        <v>179363.67116679432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486.39385862240607</v>
      </c>
      <c r="I18" s="702">
        <f>transport!H54</f>
        <v>0</v>
      </c>
      <c r="J18" s="702">
        <f>transport!I54</f>
        <v>0</v>
      </c>
      <c r="K18" s="702">
        <f>transport!J54</f>
        <v>0</v>
      </c>
      <c r="L18" s="702">
        <f>transport!K54</f>
        <v>0</v>
      </c>
      <c r="M18" s="702">
        <f>transport!L54</f>
        <v>0</v>
      </c>
      <c r="N18" s="702">
        <f>transport!M54</f>
        <v>20.732857066352153</v>
      </c>
      <c r="O18" s="702">
        <f>transport!N54</f>
        <v>0</v>
      </c>
      <c r="P18" s="702">
        <f>transport!O54</f>
        <v>0</v>
      </c>
      <c r="Q18" s="703">
        <f>transport!P54</f>
        <v>0</v>
      </c>
      <c r="R18" s="705">
        <f>SUM(C18:Q18)</f>
        <v>507.12671568875822</v>
      </c>
      <c r="S18" s="67"/>
    </row>
    <row r="19" spans="1:19" s="457" customFormat="1" ht="15" thickBot="1">
      <c r="A19" s="858" t="s">
        <v>308</v>
      </c>
      <c r="B19" s="863"/>
      <c r="C19" s="711">
        <f>transport!B14</f>
        <v>1.1331952388163005</v>
      </c>
      <c r="D19" s="711">
        <f>transport!C14</f>
        <v>0</v>
      </c>
      <c r="E19" s="711">
        <f>transport!D14</f>
        <v>5.8272776063596501</v>
      </c>
      <c r="F19" s="711">
        <f>transport!E14</f>
        <v>675.90316812151059</v>
      </c>
      <c r="G19" s="711">
        <f>transport!F14</f>
        <v>0</v>
      </c>
      <c r="H19" s="711">
        <f>transport!G14</f>
        <v>154973.6253938126</v>
      </c>
      <c r="I19" s="711">
        <f>transport!H14</f>
        <v>19988.962159880764</v>
      </c>
      <c r="J19" s="711">
        <f>transport!I14</f>
        <v>0</v>
      </c>
      <c r="K19" s="711">
        <f>transport!J14</f>
        <v>0</v>
      </c>
      <c r="L19" s="711">
        <f>transport!K14</f>
        <v>0</v>
      </c>
      <c r="M19" s="711">
        <f>transport!L14</f>
        <v>0</v>
      </c>
      <c r="N19" s="711">
        <f>transport!M14</f>
        <v>7616.9068892159785</v>
      </c>
      <c r="O19" s="711">
        <f>transport!N14</f>
        <v>0</v>
      </c>
      <c r="P19" s="711">
        <f>transport!O14</f>
        <v>0</v>
      </c>
      <c r="Q19" s="712">
        <f>transport!P14</f>
        <v>0</v>
      </c>
      <c r="R19" s="713">
        <f>SUM(C19:Q19)</f>
        <v>183262.35808387602</v>
      </c>
      <c r="S19" s="67"/>
    </row>
    <row r="20" spans="1:19" s="457" customFormat="1" ht="15.75" thickBot="1">
      <c r="A20" s="714" t="s">
        <v>231</v>
      </c>
      <c r="B20" s="866"/>
      <c r="C20" s="861">
        <f>SUM(C17:C19)</f>
        <v>1.1331952388163005</v>
      </c>
      <c r="D20" s="715">
        <f t="shared" ref="D20:R20" si="1">SUM(D17:D19)</f>
        <v>0</v>
      </c>
      <c r="E20" s="715">
        <f t="shared" si="1"/>
        <v>5.8272776063596501</v>
      </c>
      <c r="F20" s="715">
        <f t="shared" si="1"/>
        <v>675.90316812151059</v>
      </c>
      <c r="G20" s="715">
        <f t="shared" si="1"/>
        <v>0</v>
      </c>
      <c r="H20" s="715">
        <f t="shared" si="1"/>
        <v>155460.01925243501</v>
      </c>
      <c r="I20" s="715">
        <f t="shared" si="1"/>
        <v>19988.962159880764</v>
      </c>
      <c r="J20" s="715">
        <f t="shared" si="1"/>
        <v>0</v>
      </c>
      <c r="K20" s="715">
        <f t="shared" si="1"/>
        <v>0</v>
      </c>
      <c r="L20" s="715">
        <f t="shared" si="1"/>
        <v>0</v>
      </c>
      <c r="M20" s="715">
        <f t="shared" si="1"/>
        <v>0</v>
      </c>
      <c r="N20" s="715">
        <f t="shared" si="1"/>
        <v>7637.6397462823306</v>
      </c>
      <c r="O20" s="715">
        <f t="shared" si="1"/>
        <v>0</v>
      </c>
      <c r="P20" s="715">
        <f t="shared" si="1"/>
        <v>0</v>
      </c>
      <c r="Q20" s="716">
        <f t="shared" si="1"/>
        <v>0</v>
      </c>
      <c r="R20" s="717">
        <f t="shared" si="1"/>
        <v>183769.48479956479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1327.7931134031887</v>
      </c>
      <c r="D22" s="711">
        <f>+landbouw!C8</f>
        <v>0</v>
      </c>
      <c r="E22" s="711">
        <f>+landbouw!D8</f>
        <v>1646.2147057059535</v>
      </c>
      <c r="F22" s="711">
        <f>+landbouw!E8</f>
        <v>13.904936939044878</v>
      </c>
      <c r="G22" s="711">
        <f>+landbouw!F8</f>
        <v>6819.7568473246556</v>
      </c>
      <c r="H22" s="711">
        <f>+landbouw!G8</f>
        <v>0</v>
      </c>
      <c r="I22" s="711">
        <f>+landbouw!H8</f>
        <v>0</v>
      </c>
      <c r="J22" s="711">
        <f>+landbouw!I8</f>
        <v>0</v>
      </c>
      <c r="K22" s="711">
        <f>+landbouw!J8</f>
        <v>118.58382623961084</v>
      </c>
      <c r="L22" s="711">
        <f>+landbouw!K8</f>
        <v>0</v>
      </c>
      <c r="M22" s="711">
        <f>+landbouw!L8</f>
        <v>0</v>
      </c>
      <c r="N22" s="711">
        <f>+landbouw!M8</f>
        <v>0</v>
      </c>
      <c r="O22" s="711">
        <f>+landbouw!N8</f>
        <v>0</v>
      </c>
      <c r="P22" s="711">
        <f>+landbouw!O8</f>
        <v>0</v>
      </c>
      <c r="Q22" s="712">
        <f>+landbouw!P8</f>
        <v>0</v>
      </c>
      <c r="R22" s="713">
        <f>SUM(C22:Q22)</f>
        <v>9926.2534296124541</v>
      </c>
      <c r="S22" s="67"/>
    </row>
    <row r="23" spans="1:19" s="457" customFormat="1" ht="17.25" thickTop="1" thickBot="1">
      <c r="A23" s="718" t="s">
        <v>116</v>
      </c>
      <c r="B23" s="852"/>
      <c r="C23" s="719">
        <f ca="1">C20+C15+C22</f>
        <v>66247.895289161708</v>
      </c>
      <c r="D23" s="719">
        <f t="shared" ref="D23:Q23" ca="1" si="2">D20+D15+D22</f>
        <v>0</v>
      </c>
      <c r="E23" s="719">
        <f t="shared" ca="1" si="2"/>
        <v>69810.166051626831</v>
      </c>
      <c r="F23" s="719">
        <f t="shared" si="2"/>
        <v>2470.5456938007674</v>
      </c>
      <c r="G23" s="719">
        <f t="shared" ca="1" si="2"/>
        <v>43747.358224603122</v>
      </c>
      <c r="H23" s="719">
        <f t="shared" si="2"/>
        <v>155460.01925243501</v>
      </c>
      <c r="I23" s="719">
        <f t="shared" si="2"/>
        <v>19988.962159880764</v>
      </c>
      <c r="J23" s="719">
        <f t="shared" si="2"/>
        <v>0</v>
      </c>
      <c r="K23" s="719">
        <f t="shared" si="2"/>
        <v>316.77073939051769</v>
      </c>
      <c r="L23" s="719">
        <f t="shared" si="2"/>
        <v>0</v>
      </c>
      <c r="M23" s="719">
        <f t="shared" ca="1" si="2"/>
        <v>0</v>
      </c>
      <c r="N23" s="719">
        <f t="shared" si="2"/>
        <v>7637.6397462823306</v>
      </c>
      <c r="O23" s="719">
        <f t="shared" ca="1" si="2"/>
        <v>7168.1122387904979</v>
      </c>
      <c r="P23" s="719">
        <f t="shared" si="2"/>
        <v>59.406666666666666</v>
      </c>
      <c r="Q23" s="720">
        <f t="shared" si="2"/>
        <v>152.53333333333333</v>
      </c>
      <c r="R23" s="721">
        <f ca="1">R20+R15+R22</f>
        <v>373059.40939597151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4378.3351436401317</v>
      </c>
      <c r="D36" s="702">
        <f ca="1">tertiair!C20</f>
        <v>0</v>
      </c>
      <c r="E36" s="702">
        <f ca="1">tertiair!D20</f>
        <v>2703.2327521740281</v>
      </c>
      <c r="F36" s="702">
        <f>tertiair!E20</f>
        <v>67.564375880921858</v>
      </c>
      <c r="G36" s="702">
        <f ca="1">tertiair!F20</f>
        <v>1030.5170287819528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8179.6493004770346</v>
      </c>
    </row>
    <row r="37" spans="1:18">
      <c r="A37" s="873" t="s">
        <v>226</v>
      </c>
      <c r="B37" s="880"/>
      <c r="C37" s="702">
        <f ca="1">huishoudens!B12</f>
        <v>4911.2159072270579</v>
      </c>
      <c r="D37" s="702">
        <f ca="1">huishoudens!C12</f>
        <v>0</v>
      </c>
      <c r="E37" s="702">
        <f>huishoudens!D12</f>
        <v>6525.5310547046329</v>
      </c>
      <c r="F37" s="702">
        <f>huishoudens!E12</f>
        <v>297.33984874931565</v>
      </c>
      <c r="G37" s="702">
        <f>huishoudens!F12</f>
        <v>8041.2447193343323</v>
      </c>
      <c r="H37" s="702">
        <f>huishoudens!G12</f>
        <v>0</v>
      </c>
      <c r="I37" s="702">
        <f>huishoudens!H12</f>
        <v>0</v>
      </c>
      <c r="J37" s="702">
        <f>huishoudens!I12</f>
        <v>0</v>
      </c>
      <c r="K37" s="702">
        <f>huishoudens!J12</f>
        <v>52.805277816555453</v>
      </c>
      <c r="L37" s="702">
        <f>huishoudens!K12</f>
        <v>0</v>
      </c>
      <c r="M37" s="702">
        <f>huishoudens!L12</f>
        <v>0</v>
      </c>
      <c r="N37" s="702">
        <f>huishoudens!M12</f>
        <v>0</v>
      </c>
      <c r="O37" s="702">
        <f>huishoudens!N12</f>
        <v>0</v>
      </c>
      <c r="P37" s="702">
        <f>huishoudens!O12</f>
        <v>0</v>
      </c>
      <c r="Q37" s="812">
        <f>huishoudens!P12</f>
        <v>0</v>
      </c>
      <c r="R37" s="905">
        <f ca="1">SUM(C37:Q37)</f>
        <v>19828.136807831896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4192.7253402075075</v>
      </c>
      <c r="D39" s="702">
        <f ca="1">industrie!C22</f>
        <v>0</v>
      </c>
      <c r="E39" s="702">
        <f>industrie!D22</f>
        <v>4539.1772549208763</v>
      </c>
      <c r="F39" s="702">
        <f>industrie!E22</f>
        <v>39.323208013790513</v>
      </c>
      <c r="G39" s="702">
        <f>industrie!F22</f>
        <v>787.9078196170658</v>
      </c>
      <c r="H39" s="702">
        <f>industrie!G22</f>
        <v>0</v>
      </c>
      <c r="I39" s="702">
        <f>industrie!H22</f>
        <v>0</v>
      </c>
      <c r="J39" s="702">
        <f>industrie!I22</f>
        <v>0</v>
      </c>
      <c r="K39" s="702">
        <f>industrie!J22</f>
        <v>17.352889438865557</v>
      </c>
      <c r="L39" s="702">
        <f>industrie!K22</f>
        <v>0</v>
      </c>
      <c r="M39" s="702">
        <f>industrie!L22</f>
        <v>0</v>
      </c>
      <c r="N39" s="702">
        <f>industrie!M22</f>
        <v>0</v>
      </c>
      <c r="O39" s="702">
        <f>industrie!N22</f>
        <v>0</v>
      </c>
      <c r="P39" s="702">
        <f>industrie!O22</f>
        <v>0</v>
      </c>
      <c r="Q39" s="812">
        <f>industrie!P22</f>
        <v>0</v>
      </c>
      <c r="R39" s="906">
        <f ca="1">SUM(C39:Q39)</f>
        <v>9576.4865121981056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13482.276391074698</v>
      </c>
      <c r="D41" s="747">
        <f t="shared" ref="D41:R41" ca="1" si="4">SUM(D35:D40)</f>
        <v>0</v>
      </c>
      <c r="E41" s="747">
        <f t="shared" ca="1" si="4"/>
        <v>13767.941061799538</v>
      </c>
      <c r="F41" s="747">
        <f t="shared" si="4"/>
        <v>404.22743264402806</v>
      </c>
      <c r="G41" s="747">
        <f t="shared" ca="1" si="4"/>
        <v>9859.6695677333519</v>
      </c>
      <c r="H41" s="747">
        <f t="shared" si="4"/>
        <v>0</v>
      </c>
      <c r="I41" s="747">
        <f t="shared" si="4"/>
        <v>0</v>
      </c>
      <c r="J41" s="747">
        <f t="shared" si="4"/>
        <v>0</v>
      </c>
      <c r="K41" s="747">
        <f t="shared" si="4"/>
        <v>70.158167255421006</v>
      </c>
      <c r="L41" s="747">
        <f t="shared" si="4"/>
        <v>0</v>
      </c>
      <c r="M41" s="747">
        <f t="shared" ca="1" si="4"/>
        <v>0</v>
      </c>
      <c r="N41" s="747">
        <f t="shared" si="4"/>
        <v>0</v>
      </c>
      <c r="O41" s="747">
        <f t="shared" ca="1" si="4"/>
        <v>0</v>
      </c>
      <c r="P41" s="747">
        <f t="shared" si="4"/>
        <v>0</v>
      </c>
      <c r="Q41" s="748">
        <f t="shared" si="4"/>
        <v>0</v>
      </c>
      <c r="R41" s="749">
        <f t="shared" ca="1" si="4"/>
        <v>37584.272620507036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129.86716025218243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129.86716025218243</v>
      </c>
    </row>
    <row r="45" spans="1:18" ht="15" thickBot="1">
      <c r="A45" s="876" t="s">
        <v>308</v>
      </c>
      <c r="B45" s="886"/>
      <c r="C45" s="711">
        <f ca="1">transport!B18</f>
        <v>0.23534032740655136</v>
      </c>
      <c r="D45" s="711">
        <f>transport!C18</f>
        <v>0</v>
      </c>
      <c r="E45" s="711">
        <f>transport!D18</f>
        <v>1.1771100764846494</v>
      </c>
      <c r="F45" s="711">
        <f>transport!E18</f>
        <v>153.4300191635829</v>
      </c>
      <c r="G45" s="711">
        <f>transport!F18</f>
        <v>0</v>
      </c>
      <c r="H45" s="711">
        <f>transport!G18</f>
        <v>41377.95798014797</v>
      </c>
      <c r="I45" s="711">
        <f>transport!H18</f>
        <v>4977.2515778103107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46510.052027525759</v>
      </c>
    </row>
    <row r="46" spans="1:18" ht="15.75" thickBot="1">
      <c r="A46" s="874" t="s">
        <v>231</v>
      </c>
      <c r="B46" s="887"/>
      <c r="C46" s="747">
        <f t="shared" ref="C46:R46" ca="1" si="5">SUM(C43:C45)</f>
        <v>0.23534032740655136</v>
      </c>
      <c r="D46" s="747">
        <f t="shared" ca="1" si="5"/>
        <v>0</v>
      </c>
      <c r="E46" s="747">
        <f t="shared" si="5"/>
        <v>1.1771100764846494</v>
      </c>
      <c r="F46" s="747">
        <f t="shared" si="5"/>
        <v>153.4300191635829</v>
      </c>
      <c r="G46" s="747">
        <f t="shared" si="5"/>
        <v>0</v>
      </c>
      <c r="H46" s="747">
        <f t="shared" si="5"/>
        <v>41507.825140400149</v>
      </c>
      <c r="I46" s="747">
        <f t="shared" si="5"/>
        <v>4977.2515778103107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46639.919187777938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275.75412897329204</v>
      </c>
      <c r="D48" s="702">
        <f ca="1">+landbouw!C12</f>
        <v>0</v>
      </c>
      <c r="E48" s="702">
        <f>+landbouw!D12</f>
        <v>332.53537055260261</v>
      </c>
      <c r="F48" s="702">
        <f>+landbouw!E12</f>
        <v>3.1564206851631873</v>
      </c>
      <c r="G48" s="702">
        <f>+landbouw!F12</f>
        <v>1820.8750782356831</v>
      </c>
      <c r="H48" s="702">
        <f>+landbouw!G12</f>
        <v>0</v>
      </c>
      <c r="I48" s="702">
        <f>+landbouw!H12</f>
        <v>0</v>
      </c>
      <c r="J48" s="702">
        <f>+landbouw!I12</f>
        <v>0</v>
      </c>
      <c r="K48" s="702">
        <f>+landbouw!J12</f>
        <v>41.978674488822236</v>
      </c>
      <c r="L48" s="702">
        <f>+landbouw!K12</f>
        <v>0</v>
      </c>
      <c r="M48" s="702">
        <f>+landbouw!L12</f>
        <v>0</v>
      </c>
      <c r="N48" s="702">
        <f>+landbouw!M12</f>
        <v>0</v>
      </c>
      <c r="O48" s="702">
        <f>+landbouw!N12</f>
        <v>0</v>
      </c>
      <c r="P48" s="702">
        <f>+landbouw!O12</f>
        <v>0</v>
      </c>
      <c r="Q48" s="703">
        <f>+landbouw!P12</f>
        <v>0</v>
      </c>
      <c r="R48" s="745">
        <f ca="1">SUM(C48:Q48)</f>
        <v>2474.2996729355632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13758.265860375397</v>
      </c>
      <c r="D53" s="757">
        <f t="shared" ref="D53:Q53" ca="1" si="6">D41+D46+D48</f>
        <v>0</v>
      </c>
      <c r="E53" s="757">
        <f t="shared" ca="1" si="6"/>
        <v>14101.653542428627</v>
      </c>
      <c r="F53" s="757">
        <f t="shared" si="6"/>
        <v>560.81387249277418</v>
      </c>
      <c r="G53" s="757">
        <f t="shared" ca="1" si="6"/>
        <v>11680.544645969036</v>
      </c>
      <c r="H53" s="757">
        <f t="shared" si="6"/>
        <v>41507.825140400149</v>
      </c>
      <c r="I53" s="757">
        <f t="shared" si="6"/>
        <v>4977.2515778103107</v>
      </c>
      <c r="J53" s="757">
        <f t="shared" si="6"/>
        <v>0</v>
      </c>
      <c r="K53" s="757">
        <f t="shared" si="6"/>
        <v>112.13684174424324</v>
      </c>
      <c r="L53" s="757">
        <f t="shared" si="6"/>
        <v>0</v>
      </c>
      <c r="M53" s="757">
        <f t="shared" ca="1" si="6"/>
        <v>0</v>
      </c>
      <c r="N53" s="757">
        <f t="shared" si="6"/>
        <v>0</v>
      </c>
      <c r="O53" s="757">
        <f t="shared" ca="1" si="6"/>
        <v>0</v>
      </c>
      <c r="P53" s="757">
        <f>P41+P46+P48</f>
        <v>0</v>
      </c>
      <c r="Q53" s="758">
        <f t="shared" si="6"/>
        <v>0</v>
      </c>
      <c r="R53" s="759">
        <f ca="1">R41+R46+R48</f>
        <v>86698.491481220539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0.20767853530021924</v>
      </c>
      <c r="D55" s="823">
        <f t="shared" ca="1" si="7"/>
        <v>0</v>
      </c>
      <c r="E55" s="823">
        <f t="shared" ca="1" si="7"/>
        <v>0.2020000000000001</v>
      </c>
      <c r="F55" s="823">
        <f t="shared" si="7"/>
        <v>0.22700000000000001</v>
      </c>
      <c r="G55" s="823">
        <f t="shared" ca="1" si="7"/>
        <v>0.26700000000000007</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3993.2986358793896</v>
      </c>
      <c r="C66" s="779">
        <f>'lokale energieproductie'!B6</f>
        <v>3993.2986358793896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3993.2986358793896</v>
      </c>
      <c r="C69" s="787">
        <f>SUM(C64:C68)</f>
        <v>3993.2986358793896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23648.16325446164</v>
      </c>
      <c r="C4" s="461">
        <f>huishoudens!C8</f>
        <v>0</v>
      </c>
      <c r="D4" s="461">
        <f>huishoudens!D8</f>
        <v>32304.609181706102</v>
      </c>
      <c r="E4" s="461">
        <f>huishoudens!E8</f>
        <v>1309.8671751071174</v>
      </c>
      <c r="F4" s="461">
        <f>huishoudens!F8</f>
        <v>30117.021420727833</v>
      </c>
      <c r="G4" s="461">
        <f>huishoudens!G8</f>
        <v>0</v>
      </c>
      <c r="H4" s="461">
        <f>huishoudens!H8</f>
        <v>0</v>
      </c>
      <c r="I4" s="461">
        <f>huishoudens!I8</f>
        <v>0</v>
      </c>
      <c r="J4" s="461">
        <f>huishoudens!J8</f>
        <v>149.1674514591962</v>
      </c>
      <c r="K4" s="461">
        <f>huishoudens!K8</f>
        <v>0</v>
      </c>
      <c r="L4" s="461">
        <f>huishoudens!L8</f>
        <v>0</v>
      </c>
      <c r="M4" s="461">
        <f>huishoudens!M8</f>
        <v>0</v>
      </c>
      <c r="N4" s="461">
        <f>huishoudens!N8</f>
        <v>5865.3134474166636</v>
      </c>
      <c r="O4" s="461">
        <f>huishoudens!O8</f>
        <v>59.406666666666666</v>
      </c>
      <c r="P4" s="462">
        <f>huishoudens!P8</f>
        <v>152.53333333333333</v>
      </c>
      <c r="Q4" s="463">
        <f>SUM(B4:P4)</f>
        <v>93606.081930878543</v>
      </c>
    </row>
    <row r="5" spans="1:17">
      <c r="A5" s="460" t="s">
        <v>156</v>
      </c>
      <c r="B5" s="461">
        <f ca="1">tertiair!B16</f>
        <v>19989.133911198547</v>
      </c>
      <c r="C5" s="461">
        <f ca="1">tertiair!C16</f>
        <v>0</v>
      </c>
      <c r="D5" s="461">
        <f ca="1">tertiair!D16</f>
        <v>13382.340357297167</v>
      </c>
      <c r="E5" s="461">
        <f>tertiair!E16</f>
        <v>297.64042238291569</v>
      </c>
      <c r="F5" s="461">
        <f ca="1">tertiair!F16</f>
        <v>3859.6143400073133</v>
      </c>
      <c r="G5" s="461">
        <f>tertiair!G16</f>
        <v>0</v>
      </c>
      <c r="H5" s="461">
        <f>tertiair!H16</f>
        <v>0</v>
      </c>
      <c r="I5" s="461">
        <f>tertiair!I16</f>
        <v>0</v>
      </c>
      <c r="J5" s="461">
        <f>tertiair!J16</f>
        <v>0</v>
      </c>
      <c r="K5" s="461">
        <f>tertiair!K16</f>
        <v>0</v>
      </c>
      <c r="L5" s="461">
        <f ca="1">tertiair!L16</f>
        <v>0</v>
      </c>
      <c r="M5" s="461">
        <f>tertiair!M16</f>
        <v>0</v>
      </c>
      <c r="N5" s="461">
        <f ca="1">tertiair!N16</f>
        <v>1005.7949114647225</v>
      </c>
      <c r="O5" s="461">
        <f>tertiair!O16</f>
        <v>0</v>
      </c>
      <c r="P5" s="462">
        <f>tertiair!P16</f>
        <v>0</v>
      </c>
      <c r="Q5" s="460">
        <f t="shared" ref="Q5:Q13" ca="1" si="0">SUM(B5:P5)</f>
        <v>38534.523942350665</v>
      </c>
    </row>
    <row r="6" spans="1:17">
      <c r="A6" s="460" t="s">
        <v>195</v>
      </c>
      <c r="B6" s="461">
        <f>'openbare verlichting'!B8</f>
        <v>1093.1369999999999</v>
      </c>
      <c r="C6" s="461"/>
      <c r="D6" s="461"/>
      <c r="E6" s="461"/>
      <c r="F6" s="461"/>
      <c r="G6" s="461"/>
      <c r="H6" s="461"/>
      <c r="I6" s="461"/>
      <c r="J6" s="461"/>
      <c r="K6" s="461"/>
      <c r="L6" s="461"/>
      <c r="M6" s="461"/>
      <c r="N6" s="461"/>
      <c r="O6" s="461"/>
      <c r="P6" s="462"/>
      <c r="Q6" s="460">
        <f t="shared" si="0"/>
        <v>1093.1369999999999</v>
      </c>
    </row>
    <row r="7" spans="1:17">
      <c r="A7" s="460" t="s">
        <v>112</v>
      </c>
      <c r="B7" s="461">
        <f>landbouw!B8</f>
        <v>1327.7931134031887</v>
      </c>
      <c r="C7" s="461">
        <f>landbouw!C8</f>
        <v>0</v>
      </c>
      <c r="D7" s="461">
        <f>landbouw!D8</f>
        <v>1646.2147057059535</v>
      </c>
      <c r="E7" s="461">
        <f>landbouw!E8</f>
        <v>13.904936939044878</v>
      </c>
      <c r="F7" s="461">
        <f>landbouw!F8</f>
        <v>6819.7568473246556</v>
      </c>
      <c r="G7" s="461">
        <f>landbouw!G8</f>
        <v>0</v>
      </c>
      <c r="H7" s="461">
        <f>landbouw!H8</f>
        <v>0</v>
      </c>
      <c r="I7" s="461">
        <f>landbouw!I8</f>
        <v>0</v>
      </c>
      <c r="J7" s="461">
        <f>landbouw!J8</f>
        <v>118.58382623961084</v>
      </c>
      <c r="K7" s="461">
        <f>landbouw!K8</f>
        <v>0</v>
      </c>
      <c r="L7" s="461">
        <f>landbouw!L8</f>
        <v>0</v>
      </c>
      <c r="M7" s="461">
        <f>landbouw!M8</f>
        <v>0</v>
      </c>
      <c r="N7" s="461">
        <f>landbouw!N8</f>
        <v>0</v>
      </c>
      <c r="O7" s="461">
        <f>landbouw!O8</f>
        <v>0</v>
      </c>
      <c r="P7" s="462">
        <f>landbouw!P8</f>
        <v>0</v>
      </c>
      <c r="Q7" s="460">
        <f t="shared" si="0"/>
        <v>9926.2534296124541</v>
      </c>
    </row>
    <row r="8" spans="1:17">
      <c r="A8" s="460" t="s">
        <v>656</v>
      </c>
      <c r="B8" s="461">
        <f>industrie!B18</f>
        <v>20188.534814859522</v>
      </c>
      <c r="C8" s="461">
        <f>industrie!C18</f>
        <v>0</v>
      </c>
      <c r="D8" s="461">
        <f>industrie!D18</f>
        <v>22471.174529311265</v>
      </c>
      <c r="E8" s="461">
        <f>industrie!E18</f>
        <v>173.22999125017847</v>
      </c>
      <c r="F8" s="461">
        <f>industrie!F18</f>
        <v>2950.9656165433175</v>
      </c>
      <c r="G8" s="461">
        <f>industrie!G18</f>
        <v>0</v>
      </c>
      <c r="H8" s="461">
        <f>industrie!H18</f>
        <v>0</v>
      </c>
      <c r="I8" s="461">
        <f>industrie!I18</f>
        <v>0</v>
      </c>
      <c r="J8" s="461">
        <f>industrie!J18</f>
        <v>49.019461691710617</v>
      </c>
      <c r="K8" s="461">
        <f>industrie!K18</f>
        <v>0</v>
      </c>
      <c r="L8" s="461">
        <f>industrie!L18</f>
        <v>0</v>
      </c>
      <c r="M8" s="461">
        <f>industrie!M18</f>
        <v>0</v>
      </c>
      <c r="N8" s="461">
        <f>industrie!N18</f>
        <v>297.00387990911196</v>
      </c>
      <c r="O8" s="461">
        <f>industrie!O18</f>
        <v>0</v>
      </c>
      <c r="P8" s="462">
        <f>industrie!P18</f>
        <v>0</v>
      </c>
      <c r="Q8" s="460">
        <f t="shared" si="0"/>
        <v>46129.928293565106</v>
      </c>
    </row>
    <row r="9" spans="1:17" s="466" customFormat="1">
      <c r="A9" s="464" t="s">
        <v>574</v>
      </c>
      <c r="B9" s="465">
        <f>transport!B14</f>
        <v>1.1331952388163005</v>
      </c>
      <c r="C9" s="465">
        <f>transport!C14</f>
        <v>0</v>
      </c>
      <c r="D9" s="465">
        <f>transport!D14</f>
        <v>5.8272776063596501</v>
      </c>
      <c r="E9" s="465">
        <f>transport!E14</f>
        <v>675.90316812151059</v>
      </c>
      <c r="F9" s="465">
        <f>transport!F14</f>
        <v>0</v>
      </c>
      <c r="G9" s="465">
        <f>transport!G14</f>
        <v>154973.6253938126</v>
      </c>
      <c r="H9" s="465">
        <f>transport!H14</f>
        <v>19988.962159880764</v>
      </c>
      <c r="I9" s="465">
        <f>transport!I14</f>
        <v>0</v>
      </c>
      <c r="J9" s="465">
        <f>transport!J14</f>
        <v>0</v>
      </c>
      <c r="K9" s="465">
        <f>transport!K14</f>
        <v>0</v>
      </c>
      <c r="L9" s="465">
        <f>transport!L14</f>
        <v>0</v>
      </c>
      <c r="M9" s="465">
        <f>transport!M14</f>
        <v>7616.9068892159785</v>
      </c>
      <c r="N9" s="465">
        <f>transport!N14</f>
        <v>0</v>
      </c>
      <c r="O9" s="465">
        <f>transport!O14</f>
        <v>0</v>
      </c>
      <c r="P9" s="465">
        <f>transport!P14</f>
        <v>0</v>
      </c>
      <c r="Q9" s="464">
        <f>SUM(B9:P9)</f>
        <v>183262.35808387602</v>
      </c>
    </row>
    <row r="10" spans="1:17">
      <c r="A10" s="460" t="s">
        <v>564</v>
      </c>
      <c r="B10" s="461">
        <f>transport!B54</f>
        <v>0</v>
      </c>
      <c r="C10" s="461">
        <f>transport!C54</f>
        <v>0</v>
      </c>
      <c r="D10" s="461">
        <f>transport!D54</f>
        <v>0</v>
      </c>
      <c r="E10" s="461">
        <f>transport!E54</f>
        <v>0</v>
      </c>
      <c r="F10" s="461">
        <f>transport!F54</f>
        <v>0</v>
      </c>
      <c r="G10" s="461">
        <f>transport!G54</f>
        <v>486.39385862240607</v>
      </c>
      <c r="H10" s="461">
        <f>transport!H54</f>
        <v>0</v>
      </c>
      <c r="I10" s="461">
        <f>transport!I54</f>
        <v>0</v>
      </c>
      <c r="J10" s="461">
        <f>transport!J54</f>
        <v>0</v>
      </c>
      <c r="K10" s="461">
        <f>transport!K54</f>
        <v>0</v>
      </c>
      <c r="L10" s="461">
        <f>transport!L54</f>
        <v>0</v>
      </c>
      <c r="M10" s="461">
        <f>transport!M54</f>
        <v>20.732857066352153</v>
      </c>
      <c r="N10" s="461">
        <f>transport!N54</f>
        <v>0</v>
      </c>
      <c r="O10" s="461">
        <f>transport!O54</f>
        <v>0</v>
      </c>
      <c r="P10" s="462">
        <f>transport!P54</f>
        <v>0</v>
      </c>
      <c r="Q10" s="460">
        <f t="shared" si="0"/>
        <v>507.12671568875822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66247.895289161723</v>
      </c>
      <c r="C14" s="471">
        <f t="shared" ref="C14:Q14" ca="1" si="1">SUM(C4:C13)</f>
        <v>0</v>
      </c>
      <c r="D14" s="471">
        <f t="shared" ca="1" si="1"/>
        <v>69810.166051626846</v>
      </c>
      <c r="E14" s="471">
        <f t="shared" si="1"/>
        <v>2470.5456938007669</v>
      </c>
      <c r="F14" s="471">
        <f t="shared" ca="1" si="1"/>
        <v>43747.358224603122</v>
      </c>
      <c r="G14" s="471">
        <f t="shared" si="1"/>
        <v>155460.01925243501</v>
      </c>
      <c r="H14" s="471">
        <f t="shared" si="1"/>
        <v>19988.962159880764</v>
      </c>
      <c r="I14" s="471">
        <f t="shared" si="1"/>
        <v>0</v>
      </c>
      <c r="J14" s="471">
        <f t="shared" si="1"/>
        <v>316.77073939051763</v>
      </c>
      <c r="K14" s="471">
        <f t="shared" si="1"/>
        <v>0</v>
      </c>
      <c r="L14" s="471">
        <f t="shared" ca="1" si="1"/>
        <v>0</v>
      </c>
      <c r="M14" s="471">
        <f t="shared" si="1"/>
        <v>7637.6397462823306</v>
      </c>
      <c r="N14" s="471">
        <f t="shared" ca="1" si="1"/>
        <v>7168.1122387904979</v>
      </c>
      <c r="O14" s="471">
        <f t="shared" si="1"/>
        <v>59.406666666666666</v>
      </c>
      <c r="P14" s="472">
        <f t="shared" si="1"/>
        <v>152.53333333333333</v>
      </c>
      <c r="Q14" s="472">
        <f t="shared" ca="1" si="1"/>
        <v>373059.40939597157</v>
      </c>
    </row>
    <row r="16" spans="1:17">
      <c r="A16" s="474" t="s">
        <v>569</v>
      </c>
      <c r="B16" s="828">
        <f ca="1">huishoudens!B10</f>
        <v>0.20767853530021918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4911.2159072270579</v>
      </c>
      <c r="C21" s="461">
        <f t="shared" ref="C21:C30" ca="1" si="3">C4*$C$16</f>
        <v>0</v>
      </c>
      <c r="D21" s="461">
        <f t="shared" ref="D21:D30" si="4">D4*$D$16</f>
        <v>6525.5310547046329</v>
      </c>
      <c r="E21" s="461">
        <f t="shared" ref="E21:E30" si="5">E4*$E$16</f>
        <v>297.33984874931565</v>
      </c>
      <c r="F21" s="461">
        <f t="shared" ref="F21:F30" si="6">F4*$F$16</f>
        <v>8041.2447193343323</v>
      </c>
      <c r="G21" s="461">
        <f t="shared" ref="G21:G30" si="7">G4*$G$16</f>
        <v>0</v>
      </c>
      <c r="H21" s="461">
        <f t="shared" ref="H21:H30" si="8">H4*$H$16</f>
        <v>0</v>
      </c>
      <c r="I21" s="461">
        <f t="shared" ref="I21:I30" si="9">I4*$I$16</f>
        <v>0</v>
      </c>
      <c r="J21" s="461">
        <f t="shared" ref="J21:J30" si="10">J4*$J$16</f>
        <v>52.805277816555453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19828.136807831896</v>
      </c>
    </row>
    <row r="22" spans="1:17">
      <c r="A22" s="460" t="s">
        <v>156</v>
      </c>
      <c r="B22" s="461">
        <f t="shared" ca="1" si="2"/>
        <v>4151.314052597656</v>
      </c>
      <c r="C22" s="461">
        <f t="shared" ca="1" si="3"/>
        <v>0</v>
      </c>
      <c r="D22" s="461">
        <f t="shared" ca="1" si="4"/>
        <v>2703.2327521740281</v>
      </c>
      <c r="E22" s="461">
        <f t="shared" si="5"/>
        <v>67.564375880921858</v>
      </c>
      <c r="F22" s="461">
        <f t="shared" ca="1" si="6"/>
        <v>1030.5170287819528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7952.6282094345588</v>
      </c>
    </row>
    <row r="23" spans="1:17">
      <c r="A23" s="460" t="s">
        <v>195</v>
      </c>
      <c r="B23" s="461">
        <f t="shared" ca="1" si="2"/>
        <v>227.02109104247569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227.02109104247569</v>
      </c>
    </row>
    <row r="24" spans="1:17">
      <c r="A24" s="460" t="s">
        <v>112</v>
      </c>
      <c r="B24" s="461">
        <f t="shared" ca="1" si="2"/>
        <v>275.75412897329204</v>
      </c>
      <c r="C24" s="461">
        <f t="shared" ca="1" si="3"/>
        <v>0</v>
      </c>
      <c r="D24" s="461">
        <f t="shared" si="4"/>
        <v>332.53537055260261</v>
      </c>
      <c r="E24" s="461">
        <f t="shared" si="5"/>
        <v>3.1564206851631873</v>
      </c>
      <c r="F24" s="461">
        <f t="shared" si="6"/>
        <v>1820.8750782356831</v>
      </c>
      <c r="G24" s="461">
        <f t="shared" si="7"/>
        <v>0</v>
      </c>
      <c r="H24" s="461">
        <f t="shared" si="8"/>
        <v>0</v>
      </c>
      <c r="I24" s="461">
        <f t="shared" si="9"/>
        <v>0</v>
      </c>
      <c r="J24" s="461">
        <f t="shared" si="10"/>
        <v>41.978674488822236</v>
      </c>
      <c r="K24" s="461">
        <f t="shared" si="11"/>
        <v>0</v>
      </c>
      <c r="L24" s="461">
        <f t="shared" si="12"/>
        <v>0</v>
      </c>
      <c r="M24" s="461">
        <f t="shared" si="13"/>
        <v>0</v>
      </c>
      <c r="N24" s="461">
        <f t="shared" si="14"/>
        <v>0</v>
      </c>
      <c r="O24" s="461">
        <f t="shared" si="15"/>
        <v>0</v>
      </c>
      <c r="P24" s="462">
        <f t="shared" si="16"/>
        <v>0</v>
      </c>
      <c r="Q24" s="460">
        <f t="shared" ca="1" si="17"/>
        <v>2474.2996729355632</v>
      </c>
    </row>
    <row r="25" spans="1:17">
      <c r="A25" s="460" t="s">
        <v>656</v>
      </c>
      <c r="B25" s="461">
        <f t="shared" ca="1" si="2"/>
        <v>4192.7253402075075</v>
      </c>
      <c r="C25" s="461">
        <f t="shared" ca="1" si="3"/>
        <v>0</v>
      </c>
      <c r="D25" s="461">
        <f t="shared" si="4"/>
        <v>4539.1772549208763</v>
      </c>
      <c r="E25" s="461">
        <f t="shared" si="5"/>
        <v>39.323208013790513</v>
      </c>
      <c r="F25" s="461">
        <f t="shared" si="6"/>
        <v>787.9078196170658</v>
      </c>
      <c r="G25" s="461">
        <f t="shared" si="7"/>
        <v>0</v>
      </c>
      <c r="H25" s="461">
        <f t="shared" si="8"/>
        <v>0</v>
      </c>
      <c r="I25" s="461">
        <f t="shared" si="9"/>
        <v>0</v>
      </c>
      <c r="J25" s="461">
        <f t="shared" si="10"/>
        <v>17.352889438865557</v>
      </c>
      <c r="K25" s="461">
        <f t="shared" si="11"/>
        <v>0</v>
      </c>
      <c r="L25" s="461">
        <f t="shared" si="12"/>
        <v>0</v>
      </c>
      <c r="M25" s="461">
        <f t="shared" si="13"/>
        <v>0</v>
      </c>
      <c r="N25" s="461">
        <f t="shared" si="14"/>
        <v>0</v>
      </c>
      <c r="O25" s="461">
        <f t="shared" si="15"/>
        <v>0</v>
      </c>
      <c r="P25" s="462">
        <f t="shared" si="16"/>
        <v>0</v>
      </c>
      <c r="Q25" s="460">
        <f t="shared" ca="1" si="17"/>
        <v>9576.4865121981056</v>
      </c>
    </row>
    <row r="26" spans="1:17" s="466" customFormat="1">
      <c r="A26" s="464" t="s">
        <v>574</v>
      </c>
      <c r="B26" s="822">
        <f t="shared" ca="1" si="2"/>
        <v>0.23534032740655136</v>
      </c>
      <c r="C26" s="465">
        <f t="shared" ca="1" si="3"/>
        <v>0</v>
      </c>
      <c r="D26" s="465">
        <f t="shared" si="4"/>
        <v>1.1771100764846494</v>
      </c>
      <c r="E26" s="465">
        <f t="shared" si="5"/>
        <v>153.4300191635829</v>
      </c>
      <c r="F26" s="465">
        <f t="shared" si="6"/>
        <v>0</v>
      </c>
      <c r="G26" s="465">
        <f t="shared" si="7"/>
        <v>41377.95798014797</v>
      </c>
      <c r="H26" s="465">
        <f t="shared" si="8"/>
        <v>4977.2515778103107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46510.052027525759</v>
      </c>
    </row>
    <row r="27" spans="1:17">
      <c r="A27" s="460" t="s">
        <v>564</v>
      </c>
      <c r="B27" s="461">
        <f t="shared" ca="1" si="2"/>
        <v>0</v>
      </c>
      <c r="C27" s="461">
        <f t="shared" ca="1" si="3"/>
        <v>0</v>
      </c>
      <c r="D27" s="461">
        <f t="shared" si="4"/>
        <v>0</v>
      </c>
      <c r="E27" s="461">
        <f t="shared" si="5"/>
        <v>0</v>
      </c>
      <c r="F27" s="461">
        <f t="shared" si="6"/>
        <v>0</v>
      </c>
      <c r="G27" s="461">
        <f t="shared" si="7"/>
        <v>129.86716025218243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129.86716025218243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13758.265860375397</v>
      </c>
      <c r="C31" s="471">
        <f t="shared" ca="1" si="18"/>
        <v>0</v>
      </c>
      <c r="D31" s="471">
        <f t="shared" ca="1" si="18"/>
        <v>14101.653542428627</v>
      </c>
      <c r="E31" s="471">
        <f t="shared" si="18"/>
        <v>560.81387249277418</v>
      </c>
      <c r="F31" s="471">
        <f t="shared" ca="1" si="18"/>
        <v>11680.544645969036</v>
      </c>
      <c r="G31" s="471">
        <f t="shared" si="18"/>
        <v>41507.825140400149</v>
      </c>
      <c r="H31" s="471">
        <f t="shared" si="18"/>
        <v>4977.2515778103107</v>
      </c>
      <c r="I31" s="471">
        <f t="shared" si="18"/>
        <v>0</v>
      </c>
      <c r="J31" s="471">
        <f t="shared" si="18"/>
        <v>112.13684174424324</v>
      </c>
      <c r="K31" s="471">
        <f t="shared" si="18"/>
        <v>0</v>
      </c>
      <c r="L31" s="471">
        <f t="shared" ca="1" si="18"/>
        <v>0</v>
      </c>
      <c r="M31" s="471">
        <f t="shared" si="18"/>
        <v>0</v>
      </c>
      <c r="N31" s="471">
        <f t="shared" ca="1" si="18"/>
        <v>0</v>
      </c>
      <c r="O31" s="471">
        <f t="shared" si="18"/>
        <v>0</v>
      </c>
      <c r="P31" s="472">
        <f t="shared" si="18"/>
        <v>0</v>
      </c>
      <c r="Q31" s="472">
        <f t="shared" ca="1" si="18"/>
        <v>86698.491481220539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0.20767853530021918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0.20767853530021918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0.20767853530021918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2018-06-27T09:01:21Z</dcterms:modified>
</cp:coreProperties>
</file>