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C18" i="16"/>
  <c r="C8" i="48" s="1"/>
  <c r="N16" i="16"/>
  <c r="D16"/>
  <c r="O80" i="14"/>
  <c r="J8" i="18"/>
  <c r="K68" i="14" s="1"/>
  <c r="C97" i="18"/>
  <c r="I100" s="1"/>
  <c r="H7" s="1"/>
  <c r="I67" i="14" s="1"/>
  <c r="B16" i="18"/>
  <c r="B78" i="14" s="1"/>
  <c r="F13" i="15"/>
  <c r="D6" i="17"/>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M68"/>
  <c r="M69" s="1"/>
  <c r="D19" i="18"/>
  <c r="H19"/>
  <c r="L19"/>
  <c r="B68" i="14"/>
  <c r="G68"/>
  <c r="G69" s="1"/>
  <c r="E81"/>
  <c r="M81"/>
  <c r="B19" i="18"/>
  <c r="F19"/>
  <c r="D11" i="14"/>
  <c r="C4" i="48"/>
  <c r="M17" i="18"/>
  <c r="M18"/>
  <c r="D13" i="14"/>
  <c r="M8" i="18" l="1"/>
  <c r="L30" i="48"/>
  <c r="L23"/>
  <c r="B35" i="13"/>
  <c r="I69" i="14"/>
  <c r="J12" i="17"/>
  <c r="K48" i="14" s="1"/>
  <c r="F100" i="18"/>
  <c r="I7" s="1"/>
  <c r="E9"/>
  <c r="Q13" i="14"/>
  <c r="E19" i="18"/>
  <c r="H17" i="14"/>
  <c r="J16" i="18"/>
  <c r="K78" i="14" s="1"/>
  <c r="K81" s="1"/>
  <c r="L8" i="17"/>
  <c r="L7" i="48" s="1"/>
  <c r="L24" s="1"/>
  <c r="L5" i="17"/>
  <c r="N8"/>
  <c r="N5"/>
  <c r="L29" i="48"/>
  <c r="H9" i="18"/>
  <c r="M28" i="48"/>
  <c r="C100" i="18"/>
  <c r="I16"/>
  <c r="D81" i="14"/>
  <c r="O79"/>
  <c r="O81" s="1"/>
  <c r="B17" i="6" s="1"/>
  <c r="M23" i="48"/>
  <c r="L27"/>
  <c r="B9" i="18"/>
  <c r="M31" i="20"/>
  <c r="N43" i="14" s="1"/>
  <c r="M12" i="22"/>
  <c r="O18" i="16"/>
  <c r="B34" i="13"/>
  <c r="K22" i="14"/>
  <c r="M13"/>
  <c r="L8" i="48"/>
  <c r="L25" s="1"/>
  <c r="L22" i="16"/>
  <c r="M39" i="14" s="1"/>
  <c r="J19" i="18"/>
  <c r="C7" i="48"/>
  <c r="D22" i="14"/>
  <c r="M22" i="48"/>
  <c r="B36" i="13"/>
  <c r="J7" i="18"/>
  <c r="O68" i="14"/>
  <c r="C68"/>
  <c r="F22"/>
  <c r="E8" i="17"/>
  <c r="D69" i="14"/>
  <c r="O67"/>
  <c r="D18" i="16"/>
  <c r="D22" s="1"/>
  <c r="E39" i="14" s="1"/>
  <c r="M16" i="18"/>
  <c r="M19" s="1"/>
  <c r="C79" i="14"/>
  <c r="C19" i="18"/>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B46" i="13"/>
  <c r="E5" s="1"/>
  <c r="E8" s="1"/>
  <c r="E12" s="1"/>
  <c r="F37" i="14" s="1"/>
  <c r="K31" i="48"/>
  <c r="L26"/>
  <c r="B48" i="13"/>
  <c r="C48" s="1"/>
  <c r="N5" s="1"/>
  <c r="N8" s="1"/>
  <c r="N4" i="48" s="1"/>
  <c r="N21" s="1"/>
  <c r="M29"/>
  <c r="M25"/>
  <c r="M24"/>
  <c r="I31"/>
  <c r="C50" i="13"/>
  <c r="J5" s="1"/>
  <c r="J8" s="1"/>
  <c r="E7" i="48"/>
  <c r="E24" s="1"/>
  <c r="E12" i="17"/>
  <c r="F48" i="14" s="1"/>
  <c r="C5" i="48"/>
  <c r="J78" i="14" l="1"/>
  <c r="I19" i="18"/>
  <c r="O22" i="14"/>
  <c r="N12" i="17"/>
  <c r="O48" i="14" s="1"/>
  <c r="N7" i="48"/>
  <c r="N24" s="1"/>
  <c r="R17" i="14"/>
  <c r="E13"/>
  <c r="E15" s="1"/>
  <c r="E23" s="1"/>
  <c r="L12" i="17"/>
  <c r="M48" i="14" s="1"/>
  <c r="C14" i="48"/>
  <c r="Q15" i="14"/>
  <c r="Q23" s="1"/>
  <c r="Q13" i="48"/>
  <c r="D8"/>
  <c r="D25" s="1"/>
  <c r="M22" i="14"/>
  <c r="R22" s="1"/>
  <c r="E20" i="15"/>
  <c r="F36" i="14" s="1"/>
  <c r="E16" i="15"/>
  <c r="K67" i="14"/>
  <c r="K69" s="1"/>
  <c r="J9" i="18"/>
  <c r="J67" i="14"/>
  <c r="I9" i="18"/>
  <c r="M7"/>
  <c r="M9" s="1"/>
  <c r="K10" i="14"/>
  <c r="J16" i="15"/>
  <c r="J20" s="1"/>
  <c r="K36"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18" i="22"/>
  <c r="N45" i="14" s="1"/>
  <c r="N19"/>
  <c r="E5" i="48"/>
  <c r="E22" s="1"/>
  <c r="P14"/>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81" i="14" l="1"/>
  <c r="C78"/>
  <c r="C81" s="1"/>
  <c r="J5" i="48"/>
  <c r="J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F8" i="48"/>
  <c r="Q4"/>
  <c r="N22"/>
  <c r="R11" i="14"/>
  <c r="J21" i="48"/>
  <c r="R10" i="14"/>
  <c r="K13" l="1"/>
  <c r="K15" s="1"/>
  <c r="K23" s="1"/>
  <c r="O13"/>
  <c r="O15" s="1"/>
  <c r="F13"/>
  <c r="F15" s="1"/>
  <c r="F23" s="1"/>
  <c r="F22" i="16"/>
  <c r="G39" i="14" s="1"/>
  <c r="G41" s="1"/>
  <c r="N25" i="48"/>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<sst xmlns="http://schemas.openxmlformats.org/spreadsheetml/2006/main" count="2029" uniqueCount="894">
  <si>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</si>
  <si>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</si>
  <si>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</si>
  <si>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</si>
  <si>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</si>
  <si>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</si>
  <si>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</si>
  <si>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</si>
  <si>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</si>
  <si>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</si>
  <si>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</si>
  <si>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</si>
  <si>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</si>
  <si>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</si>
  <si>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</si>
  <si>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</si>
  <si>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</si>
  <si>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</si>
  <si>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</si>
  <si>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</si>
  <si>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</si>
  <si>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</si>
  <si>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</si>
  <si>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</si>
  <si>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</si>
  <si>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</si>
  <si>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</si>
  <si>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</si>
  <si>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</si>
  <si>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</si>
  <si>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</si>
  <si>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</si>
  <si>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</si>
  <si>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</si>
  <si>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</si>
  <si>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</si>
  <si>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</si>
  <si>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</si>
  <si>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</si>
  <si>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</si>
  <si>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</si>
  <si>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</si>
  <si>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</si>
  <si>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</si>
  <si>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</si>
  <si>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</si>
  <si>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</si>
  <si>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</si>
  <si>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</si>
  <si>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</si>
  <si>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</si>
  <si>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</si>
  <si>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</si>
  <si>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</si>
  <si>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</si>
  <si>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</si>
  <si>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</si>
  <si>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</si>
  <si>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</si>
  <si>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</si>
  <si>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</si>
  <si>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</si>
  <si>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</si>
  <si>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</si>
  <si>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</si>
  <si>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</si>
  <si>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</si>
  <si>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</si>
  <si>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</si>
  <si>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</si>
  <si>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</si>
  <si>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</si>
  <si>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</si>
  <si>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</si>
  <si>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</si>
  <si>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</si>
  <si>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</si>
  <si>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</si>
  <si>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</si>
  <si>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</si>
  <si>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</si>
  <si>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</si>
  <si>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</si>
  <si>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</si>
  <si>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</si>
  <si>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</si>
  <si>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</si>
  <si>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</si>
  <si>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</si>
  <si>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</si>
  <si>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</si>
  <si>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</si>
  <si>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</si>
  <si>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</si>
  <si>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</si>
  <si>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</si>
  <si>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</si>
  <si>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</si>
  <si>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</si>
  <si>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</si>
  <si>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</si>
  <si>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</si>
  <si>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</si>
  <si>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</si>
  <si>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</si>
  <si>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</si>
  <si>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</si>
  <si>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</si>
  <si>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</si>
  <si>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</si>
  <si>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</si>
  <si>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</si>
  <si>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</si>
  <si>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</si>
  <si>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</si>
  <si>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</si>
  <si>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</si>
  <si>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</si>
  <si>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</si>
  <si>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</si>
  <si>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</si>
  <si>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</si>
  <si>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</si>
  <si>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</si>
  <si>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</si>
  <si>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</si>
  <si>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</si>
  <si>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</si>
  <si>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</si>
  <si>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</si>
  <si>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</si>
  <si>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</si>
  <si>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</si>
  <si>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</si>
  <si>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</si>
  <si>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</si>
  <si>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</si>
  <si>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</si>
  <si>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</si>
  <si>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</si>
  <si>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</si>
  <si>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</si>
  <si>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</si>
  <si>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</si>
  <si>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</si>
  <si>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</si>
  <si>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</si>
  <si>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</si>
  <si>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</si>
  <si>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</si>
  <si>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</si>
  <si>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</si>
  <si>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</si>
  <si>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</si>
  <si>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</si>
  <si>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</si>
  <si>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</si>
  <si>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</si>
  <si>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</si>
  <si>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</si>
  <si>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</si>
  <si>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</si>
  <si>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</si>
  <si>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</si>
  <si>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</si>
  <si>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</si>
  <si>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</si>
  <si>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</si>
  <si>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</si>
  <si>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</si>
  <si>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</si>
  <si>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</si>
  <si>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</si>
  <si>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</si>
  <si>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</si>
  <si>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</si>
  <si>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</si>
  <si>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</si>
  <si>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</si>
  <si>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</si>
  <si>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</si>
  <si>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</si>
  <si>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</si>
  <si>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</si>
  <si>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</si>
  <si>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</si>
  <si>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</si>
  <si>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</si>
  <si>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</si>
  <si>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</si>
  <si>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</si>
  <si>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</si>
  <si>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</si>
  <si>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</si>
  <si>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</si>
  <si>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</si>
  <si>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</si>
  <si>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</si>
  <si>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</si>
  <si>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</si>
  <si>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</si>
  <si>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</si>
  <si>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</si>
  <si>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</si>
  <si>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</si>
  <si>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</si>
  <si>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</si>
  <si>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</si>
  <si>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</si>
  <si>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</si>
  <si>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</si>
  <si>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</si>
  <si>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</si>
  <si>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</si>
  <si>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</si>
  <si>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</si>
  <si>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</si>
  <si>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</si>
  <si>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</si>
  <si>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</si>
  <si>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</si>
  <si>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</si>
  <si>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</si>
  <si>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</si>
  <si>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</si>
  <si>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</si>
  <si>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</si>
  <si>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</si>
  <si>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</si>
  <si>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</si>
  <si>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</si>
  <si>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</si>
  <si>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</si>
  <si>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</si>
  <si>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</si>
  <si>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</si>
  <si>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</si>
  <si>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</si>
  <si>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</si>
  <si>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</si>
  <si>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</si>
  <si>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</si>
  <si>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</si>
  <si>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</si>
  <si>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</si>
  <si>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</si>
  <si>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</si>
  <si>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</si>
  <si>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</si>
  <si>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</si>
  <si>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</si>
  <si>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</si>
  <si>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</si>
  <si>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</si>
  <si>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</si>
  <si>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</si>
  <si>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</si>
  <si>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</si>
  <si>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</si>
  <si>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</si>
  <si>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</si>
  <si>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</si>
  <si>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</si>
  <si>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</si>
  <si>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</si>
  <si>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</si>
  <si>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</si>
  <si>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</si>
  <si>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</si>
  <si>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</si>
  <si>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</si>
  <si>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</si>
  <si>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</si>
  <si>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</si>
  <si>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</si>
  <si>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</si>
  <si>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</si>
  <si>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</si>
  <si>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</si>
  <si>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</si>
  <si>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</si>
  <si>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</si>
  <si>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</si>
  <si>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</si>
  <si>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</si>
  <si>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</si>
  <si>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</si>
  <si>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</si>
  <si>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</si>
  <si>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</si>
  <si>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</si>
  <si>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</si>
  <si>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</si>
  <si>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</si>
  <si>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</si>
  <si>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</si>
  <si>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</si>
  <si>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</si>
  <si>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</si>
  <si>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</si>
  <si>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</si>
  <si>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</si>
  <si>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</si>
  <si>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</si>
  <si>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</si>
  <si>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</si>
  <si>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</si>
  <si>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</si>
  <si>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</si>
  <si>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</si>
  <si>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</si>
  <si>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</si>
  <si>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</si>
  <si>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</si>
  <si>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</si>
  <si>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</si>
  <si>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</si>
  <si>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</si>
  <si>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</si>
  <si>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</si>
  <si>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</si>
  <si>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</si>
  <si>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</si>
  <si>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</si>
  <si>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</si>
  <si>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</si>
  <si>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</si>
  <si>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</si>
  <si>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</si>
  <si>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</si>
  <si>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</si>
  <si>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</si>
  <si>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</si>
  <si>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</si>
  <si>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</si>
  <si>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</si>
  <si>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</si>
  <si>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</si>
  <si>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</si>
  <si>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</si>
  <si>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</si>
  <si>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</si>
  <si>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</si>
  <si>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</si>
  <si>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</si>
  <si>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</si>
  <si>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</si>
  <si>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</si>
  <si>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</si>
  <si>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</si>
  <si>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</si>
  <si>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</si>
  <si>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</si>
  <si>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</si>
  <si>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</si>
  <si>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</si>
  <si>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</si>
  <si>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</si>
  <si>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</si>
  <si>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</si>
  <si>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</si>
  <si>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</si>
  <si>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</si>
  <si>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</si>
  <si>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</si>
  <si>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</si>
  <si>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</si>
  <si>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</si>
  <si>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</si>
  <si>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</si>
  <si>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</si>
  <si>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</si>
  <si>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</si>
  <si>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</si>
  <si>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</si>
  <si>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</si>
  <si>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</si>
  <si>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</si>
  <si>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</si>
  <si>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</si>
  <si>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</si>
  <si>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</si>
  <si>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</si>
  <si>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</si>
  <si>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</si>
  <si>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</si>
  <si>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</si>
  <si>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</si>
  <si>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</si>
  <si>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</si>
  <si>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</si>
  <si>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</si>
  <si>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</si>
  <si>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</si>
  <si>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</si>
  <si>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</si>
  <si>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</si>
  <si>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</si>
  <si>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</si>
  <si>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</si>
  <si>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</si>
  <si>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</si>
  <si>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</si>
  <si>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</si>
  <si>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</si>
  <si>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</si>
  <si>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</si>
  <si>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</si>
  <si>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</si>
  <si>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</si>
  <si>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</si>
  <si>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</si>
  <si>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</si>
  <si>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</si>
  <si>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</si>
  <si>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</si>
  <si>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</si>
  <si>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</si>
  <si>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</si>
  <si>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</si>
  <si>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</si>
  <si>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</si>
  <si>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</si>
  <si>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</si>
  <si>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</si>
  <si>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</si>
  <si>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</si>
  <si>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</si>
  <si>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</si>
  <si>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</si>
  <si>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</si>
  <si>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</si>
  <si>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</si>
  <si>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</si>
  <si>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</si>
  <si>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</si>
  <si>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</si>
  <si>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</si>
  <si>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</si>
  <si>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</si>
  <si>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</si>
  <si>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</si>
  <si>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</si>
  <si>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</si>
  <si>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</si>
  <si>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</si>
  <si>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</si>
  <si>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</si>
  <si>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</si>
  <si>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</si>
  <si>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</si>
  <si>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</si>
  <si>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</si>
  <si>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</si>
  <si>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</si>
  <si>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</si>
  <si>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</si>
  <si>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</si>
  <si>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</si>
  <si>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</si>
  <si>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</si>
  <si>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</si>
  <si>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</si>
  <si>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</si>
  <si>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</si>
  <si>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</si>
  <si>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</si>
  <si>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</si>
  <si>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</si>
  <si>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</si>
  <si>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</si>
  <si>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</si>
  <si>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</si>
  <si>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</si>
  <si>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</si>
  <si>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</si>
  <si>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</si>
  <si>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</si>
  <si>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</si>
  <si>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</si>
  <si>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</si>
  <si>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</si>
  <si>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</si>
  <si>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</si>
  <si>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</si>
  <si>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</si>
  <si>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</si>
  <si>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</si>
  <si>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</si>
  <si>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</si>
  <si>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</si>
  <si>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</si>
  <si>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</si>
  <si>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</si>
  <si>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</si>
  <si>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</si>
  <si>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</si>
  <si>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</si>
  <si>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</si>
  <si>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</si>
  <si>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</si>
  <si>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</si>
  <si>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</si>
  <si>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</si>
  <si>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</si>
  <si>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</si>
  <si>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</si>
  <si>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</si>
  <si>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</si>
  <si>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</si>
  <si>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</si>
  <si>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</si>
  <si>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</si>
  <si>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</si>
  <si>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</si>
  <si>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</si>
  <si>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</si>
  <si>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</si>
  <si>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</si>
  <si>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</si>
  <si>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</si>
  <si>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</si>
  <si>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</si>
  <si>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</si>
  <si>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</si>
  <si>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</si>
  <si>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</si>
  <si>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</si>
  <si>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</si>
  <si>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</si>
  <si>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</si>
  <si>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</si>
  <si>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</si>
  <si>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</si>
  <si>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</si>
  <si>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</si>
  <si>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</si>
  <si>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</si>
  <si>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</si>
  <si>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</si>
  <si>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</si>
  <si>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</si>
  <si>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</si>
  <si>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</si>
  <si>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</si>
  <si>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</si>
  <si>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</si>
  <si>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</si>
  <si>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</si>
  <si>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</si>
  <si>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</si>
  <si>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</si>
  <si>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</si>
  <si>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</si>
  <si>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</si>
  <si>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</si>
  <si>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</si>
  <si>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</si>
  <si>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</si>
  <si>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</si>
  <si>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</si>
  <si>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</si>
  <si>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</si>
  <si>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</si>
  <si>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</si>
  <si>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</si>
  <si>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</si>
  <si>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</si>
  <si>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</si>
  <si>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</si>
  <si>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</si>
  <si>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</si>
  <si>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</si>
  <si>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</si>
  <si>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</si>
  <si>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</si>
  <si>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</si>
  <si>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</si>
  <si>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</si>
  <si>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</si>
  <si>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</si>
  <si>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</si>
  <si>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</si>
  <si>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</si>
  <si>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</si>
  <si>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</si>
  <si>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</si>
  <si>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</si>
  <si>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</si>
  <si>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</si>
  <si>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</si>
  <si>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</si>
  <si>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</si>
  <si>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</si>
  <si>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</si>
  <si>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</si>
  <si>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</si>
  <si>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</si>
  <si>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</si>
  <si>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</si>
  <si>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</si>
  <si>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</si>
  <si>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</si>
  <si>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</si>
  <si>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</si>
  <si>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</si>
  <si>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</si>
  <si>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</si>
  <si>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</si>
  <si>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</si>
  <si>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</si>
  <si>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</si>
  <si>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</si>
  <si>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</si>
  <si>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</si>
  <si>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</si>
  <si>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</si>
  <si>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</si>
  <si>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</si>
  <si>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</si>
  <si>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</si>
  <si>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</si>
  <si>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</si>
  <si>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</si>
  <si>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</si>
  <si>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</si>
  <si>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</si>
  <si>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</si>
  <si>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</si>
  <si>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</si>
  <si>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</si>
  <si>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</si>
  <si>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</si>
  <si>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</si>
  <si>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</si>
  <si>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</si>
  <si>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</si>
  <si>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</si>
  <si>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</si>
  <si>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</si>
  <si>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</si>
  <si>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</si>
  <si>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</si>
  <si>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</si>
  <si>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</si>
  <si>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</si>
  <si>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</si>
  <si>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</si>
  <si>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</si>
  <si>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</si>
  <si>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</si>
  <si>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</si>
  <si>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</si>
  <si>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</si>
  <si>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</si>
  <si>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</si>
  <si>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</si>
  <si>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</si>
  <si>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</si>
  <si>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</si>
  <si>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</si>
  <si>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</si>
  <si>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</si>
  <si>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</si>
  <si>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</si>
  <si>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</si>
  <si>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</si>
  <si>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</si>
  <si>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</si>
  <si>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</si>
  <si>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</si>
  <si>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</si>
  <si>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</si>
  <si>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</si>
  <si>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</si>
  <si>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</si>
  <si>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</si>
  <si>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</si>
  <si>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</si>
  <si>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</si>
  <si>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</si>
  <si>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</si>
  <si>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</si>
  <si>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</si>
  <si>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</si>
  <si>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</si>
  <si>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</si>
  <si>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</si>
  <si>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</si>
  <si>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</si>
  <si>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</si>
  <si>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</si>
  <si>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</si>
  <si>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</si>
  <si>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</si>
  <si>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</si>
  <si>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</si>
  <si>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</si>
  <si>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</si>
  <si>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</si>
  <si>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</si>
  <si>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</si>
  <si>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</si>
  <si>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</si>
  <si>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</si>
  <si>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</si>
  <si>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</si>
  <si>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</si>
  <si>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</si>
  <si>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</si>
  <si>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</si>
  <si>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</si>
  <si>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</si>
  <si>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</si>
  <si>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</si>
  <si>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</si>
  <si>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</si>
  <si>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</si>
  <si>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</si>
  <si>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</si>
  <si>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</si>
  <si>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</si>
  <si>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</si>
  <si>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</si>
  <si>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</si>
  <si>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</si>
  <si>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</si>
  <si>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</si>
  <si>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</si>
  <si>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</si>
  <si>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</si>
  <si>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</si>
  <si>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</si>
  <si>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</si>
  <si>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</si>
  <si>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</si>
  <si>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</si>
  <si>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</si>
  <si>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</si>
  <si>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</si>
  <si>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</si>
  <si>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</si>
  <si>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</si>
  <si>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</si>
  <si>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</si>
  <si>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</si>
  <si>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</si>
  <si>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</si>
  <si>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</si>
  <si>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</si>
  <si>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</si>
  <si>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</si>
  <si>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</si>
  <si>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</si>
  <si>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</si>
  <si>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</si>
  <si>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</si>
  <si>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</si>
  <si>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</si>
  <si>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</si>
  <si>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</si>
  <si>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</si>
  <si>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</si>
  <si>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</si>
  <si>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</si>
  <si>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</si>
  <si>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</si>
  <si>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</si>
  <si>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</si>
  <si>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</si>
  <si>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</si>
  <si>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</si>
  <si>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</si>
  <si>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</si>
  <si>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</si>
  <si>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</si>
  <si>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</si>
  <si>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</si>
  <si>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</si>
  <si>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</si>
  <si>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</si>
  <si>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</si>
  <si>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</si>
  <si>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</si>
  <si>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</si>
  <si>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</si>
  <si>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</si>
  <si>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</si>
  <si>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</si>
  <si>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</si>
  <si>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</si>
  <si>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</si>
  <si>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</si>
  <si>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</si>
  <si>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</si>
  <si>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</si>
  <si>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</si>
  <si>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</si>
  <si>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</si>
  <si>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</si>
  <si>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</si>
  <si>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</si>
  <si>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</si>
  <si>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</si>
  <si>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</si>
  <si>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</si>
  <si>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</si>
  <si>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</si>
  <si>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</si>
  <si>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</si>
  <si>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</si>
  <si>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</si>
  <si>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</si>
  <si>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</si>
  <si>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</si>
  <si>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</si>
  <si>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</si>
  <si>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</si>
  <si>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</si>
  <si>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</si>
  <si>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</si>
  <si>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</si>
  <si>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</si>
  <si>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</si>
  <si>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</si>
  <si>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</si>
  <si>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</si>
  <si>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</si>
  <si>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</si>
  <si>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</si>
  <si>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</si>
  <si>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</si>
  <si>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</si>
  <si>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</si>
  <si>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</si>
  <si>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</si>
  <si>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</si>
  <si>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</si>
  <si>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</si>
  <si>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</si>
  <si>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</si>
  <si>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</si>
  <si>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</si>
  <si>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</si>
  <si>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</si>
  <si>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</si>
  <si>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</si>
  <si>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</si>
  <si>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</si>
  <si>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</si>
  <si>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</si>
  <si>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</si>
  <si>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</si>
  <si>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</si>
  <si>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</si>
  <si>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</si>
  <si>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</si>
  <si>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</si>
  <si>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</si>
  <si>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</si>
  <si>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</si>
  <si>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</si>
  <si>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</si>
  <si>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</si>
  <si>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</si>
  <si>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</si>
  <si>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</si>
  <si>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</si>
  <si>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</si>
  <si>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</si>
  <si>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</si>
  <si>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</si>
  <si>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</si>
  <si>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</si>
  <si>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</si>
  <si>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</si>
  <si>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</si>
  <si>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</si>
  <si>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</si>
  <si>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</si>
  <si>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</si>
  <si>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</si>
  <si>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</si>
  <si>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</si>
  <si>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</si>
  <si>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33037</t>
  </si>
  <si>
    <t>ZONNEBEKE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</si>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</sst>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33037</v>
      </c>
      <c r="B6" s="396"/>
      <c r="C6" s="397"/>
    </row>
    <row r="7" spans="1:7" s="394" customFormat="1" ht="15.75" customHeight="1">
      <c r="A7" s="398" t="str">
        <f>txtMunicipality</f>
        <v>ZONNEBEKE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14897.448843544176</v>
      </c>
      <c r="D10" s="702">
        <f ca="1">tertiair!C16</f>
        <v>0</v>
      </c>
      <c r="E10" s="702">
        <f ca="1">tertiair!D16</f>
        <v>11276.252209577046</v>
      </c>
      <c r="F10" s="702">
        <f>tertiair!E16</f>
        <v>257.30350649671749</v>
      </c>
      <c r="G10" s="702">
        <f ca="1">tertiair!F16</f>
        <v>2685.8944494940924</v>
      </c>
      <c r="H10" s="702">
        <f>tertiair!G16</f>
        <v>0</v>
      </c>
      <c r="I10" s="702">
        <f>tertiair!H16</f>
        <v>0</v>
      </c>
      <c r="J10" s="702">
        <f>tertiair!I16</f>
        <v>0</v>
      </c>
      <c r="K10" s="702">
        <f>tertiair!J16</f>
        <v>0</v>
      </c>
      <c r="L10" s="702">
        <f>tertiair!K16</f>
        <v>0</v>
      </c>
      <c r="M10" s="702">
        <f ca="1">tertiair!L16</f>
        <v>0</v>
      </c>
      <c r="N10" s="702">
        <f>tertiair!M16</f>
        <v>0</v>
      </c>
      <c r="O10" s="702">
        <f ca="1">tertiair!N16</f>
        <v>683.02022964298442</v>
      </c>
      <c r="P10" s="702">
        <f>tertiair!O16</f>
        <v>0</v>
      </c>
      <c r="Q10" s="703">
        <f>tertiair!P16</f>
        <v>19.066666666666666</v>
      </c>
      <c r="R10" s="705">
        <f ca="1">SUM(C10:Q10)</f>
        <v>29818.985905421683</v>
      </c>
      <c r="S10" s="67"/>
    </row>
    <row r="11" spans="1:19" s="457" customFormat="1">
      <c r="A11" s="858" t="s">
        <v>226</v>
      </c>
      <c r="B11" s="863"/>
      <c r="C11" s="702">
        <f>huishoudens!B8</f>
        <v>21267.57529124038</v>
      </c>
      <c r="D11" s="702">
        <f>huishoudens!C8</f>
        <v>0</v>
      </c>
      <c r="E11" s="702">
        <f>huishoudens!D8</f>
        <v>32652.66642794801</v>
      </c>
      <c r="F11" s="702">
        <f>huishoudens!E8</f>
        <v>7855.5323898870229</v>
      </c>
      <c r="G11" s="702">
        <f>huishoudens!F8</f>
        <v>23449.685667077913</v>
      </c>
      <c r="H11" s="702">
        <f>huishoudens!G8</f>
        <v>0</v>
      </c>
      <c r="I11" s="702">
        <f>huishoudens!H8</f>
        <v>0</v>
      </c>
      <c r="J11" s="702">
        <f>huishoudens!I8</f>
        <v>0</v>
      </c>
      <c r="K11" s="702">
        <f>huishoudens!J8</f>
        <v>5725.7352521645444</v>
      </c>
      <c r="L11" s="702">
        <f>huishoudens!K8</f>
        <v>0</v>
      </c>
      <c r="M11" s="702">
        <f>huishoudens!L8</f>
        <v>0</v>
      </c>
      <c r="N11" s="702">
        <f>huishoudens!M8</f>
        <v>0</v>
      </c>
      <c r="O11" s="702">
        <f>huishoudens!N8</f>
        <v>19512.416231692532</v>
      </c>
      <c r="P11" s="702">
        <f>huishoudens!O8</f>
        <v>70.350000000000009</v>
      </c>
      <c r="Q11" s="703">
        <f>huishoudens!P8</f>
        <v>114.4</v>
      </c>
      <c r="R11" s="705">
        <f>SUM(C11:Q11)</f>
        <v>110648.3612600104</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80077.655350920191</v>
      </c>
      <c r="D13" s="702">
        <f>industrie!C18</f>
        <v>0</v>
      </c>
      <c r="E13" s="702">
        <f>industrie!D18</f>
        <v>61720.300962514579</v>
      </c>
      <c r="F13" s="702">
        <f>industrie!E18</f>
        <v>772.8976096712172</v>
      </c>
      <c r="G13" s="702">
        <f>industrie!F18</f>
        <v>12111.975878897862</v>
      </c>
      <c r="H13" s="702">
        <f>industrie!G18</f>
        <v>0</v>
      </c>
      <c r="I13" s="702">
        <f>industrie!H18</f>
        <v>0</v>
      </c>
      <c r="J13" s="702">
        <f>industrie!I18</f>
        <v>0</v>
      </c>
      <c r="K13" s="702">
        <f>industrie!J18</f>
        <v>405.11654251394293</v>
      </c>
      <c r="L13" s="702">
        <f>industrie!K18</f>
        <v>0</v>
      </c>
      <c r="M13" s="702">
        <f>industrie!L18</f>
        <v>0</v>
      </c>
      <c r="N13" s="702">
        <f>industrie!M18</f>
        <v>0</v>
      </c>
      <c r="O13" s="702">
        <f>industrie!N18</f>
        <v>1079.4360510082006</v>
      </c>
      <c r="P13" s="702">
        <f>industrie!O18</f>
        <v>0</v>
      </c>
      <c r="Q13" s="703">
        <f>industrie!P18</f>
        <v>0</v>
      </c>
      <c r="R13" s="705">
        <f>SUM(C13:Q13)</f>
        <v>156167.38239552599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116242.67948570475</v>
      </c>
      <c r="D15" s="707">
        <f t="shared" ref="D15:Q15" ca="1" si="0">SUM(D9:D14)</f>
        <v>0</v>
      </c>
      <c r="E15" s="707">
        <f t="shared" ca="1" si="0"/>
        <v>105649.21960003964</v>
      </c>
      <c r="F15" s="707">
        <f t="shared" si="0"/>
        <v>8885.7335060549576</v>
      </c>
      <c r="G15" s="707">
        <f t="shared" ca="1" si="0"/>
        <v>38247.555995469869</v>
      </c>
      <c r="H15" s="707">
        <f t="shared" si="0"/>
        <v>0</v>
      </c>
      <c r="I15" s="707">
        <f t="shared" si="0"/>
        <v>0</v>
      </c>
      <c r="J15" s="707">
        <f t="shared" si="0"/>
        <v>0</v>
      </c>
      <c r="K15" s="707">
        <f t="shared" si="0"/>
        <v>6130.8517946784868</v>
      </c>
      <c r="L15" s="707">
        <f t="shared" si="0"/>
        <v>0</v>
      </c>
      <c r="M15" s="707">
        <f t="shared" ca="1" si="0"/>
        <v>0</v>
      </c>
      <c r="N15" s="707">
        <f t="shared" si="0"/>
        <v>0</v>
      </c>
      <c r="O15" s="707">
        <f t="shared" ca="1" si="0"/>
        <v>21274.872512343718</v>
      </c>
      <c r="P15" s="707">
        <f t="shared" si="0"/>
        <v>70.350000000000009</v>
      </c>
      <c r="Q15" s="708">
        <f t="shared" si="0"/>
        <v>133.46666666666667</v>
      </c>
      <c r="R15" s="709">
        <f ca="1">SUM(R9:R14)</f>
        <v>296634.72956095811</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1158.545776499511</v>
      </c>
      <c r="I18" s="702">
        <f>transport!H54</f>
        <v>0</v>
      </c>
      <c r="J18" s="702">
        <f>transport!I54</f>
        <v>0</v>
      </c>
      <c r="K18" s="702">
        <f>transport!J54</f>
        <v>0</v>
      </c>
      <c r="L18" s="702">
        <f>transport!K54</f>
        <v>0</v>
      </c>
      <c r="M18" s="702">
        <f>transport!L54</f>
        <v>0</v>
      </c>
      <c r="N18" s="702">
        <f>transport!M54</f>
        <v>49.383773177196588</v>
      </c>
      <c r="O18" s="702">
        <f>transport!N54</f>
        <v>0</v>
      </c>
      <c r="P18" s="702">
        <f>transport!O54</f>
        <v>0</v>
      </c>
      <c r="Q18" s="703">
        <f>transport!P54</f>
        <v>0</v>
      </c>
      <c r="R18" s="705">
        <f>SUM(C18:Q18)</f>
        <v>1207.9295496767077</v>
      </c>
      <c r="S18" s="67"/>
    </row>
    <row r="19" spans="1:19" s="457" customFormat="1" ht="15" thickBot="1">
      <c r="A19" s="858" t="s">
        <v>308</v>
      </c>
      <c r="B19" s="863"/>
      <c r="C19" s="711">
        <f>transport!B14</f>
        <v>0.89287476491951701</v>
      </c>
      <c r="D19" s="711">
        <f>transport!C14</f>
        <v>0</v>
      </c>
      <c r="E19" s="711">
        <f>transport!D14</f>
        <v>4.3618529442319103</v>
      </c>
      <c r="F19" s="711">
        <f>transport!E14</f>
        <v>504.10332236377042</v>
      </c>
      <c r="G19" s="711">
        <f>transport!F14</f>
        <v>0</v>
      </c>
      <c r="H19" s="711">
        <f>transport!G14</f>
        <v>96849.438104031811</v>
      </c>
      <c r="I19" s="711">
        <f>transport!H14</f>
        <v>14979.576966714041</v>
      </c>
      <c r="J19" s="711">
        <f>transport!I14</f>
        <v>0</v>
      </c>
      <c r="K19" s="711">
        <f>transport!J14</f>
        <v>0</v>
      </c>
      <c r="L19" s="711">
        <f>transport!K14</f>
        <v>0</v>
      </c>
      <c r="M19" s="711">
        <f>transport!L14</f>
        <v>0</v>
      </c>
      <c r="N19" s="711">
        <f>transport!M14</f>
        <v>4875.2123190533157</v>
      </c>
      <c r="O19" s="711">
        <f>transport!N14</f>
        <v>0</v>
      </c>
      <c r="P19" s="711">
        <f>transport!O14</f>
        <v>0</v>
      </c>
      <c r="Q19" s="712">
        <f>transport!P14</f>
        <v>0</v>
      </c>
      <c r="R19" s="713">
        <f>SUM(C19:Q19)</f>
        <v>117213.58543987208</v>
      </c>
      <c r="S19" s="67"/>
    </row>
    <row r="20" spans="1:19" s="457" customFormat="1" ht="15.75" thickBot="1">
      <c r="A20" s="714" t="s">
        <v>231</v>
      </c>
      <c r="B20" s="866"/>
      <c r="C20" s="861">
        <f>SUM(C17:C19)</f>
        <v>0.89287476491951701</v>
      </c>
      <c r="D20" s="715">
        <f t="shared" ref="D20:R20" si="1">SUM(D17:D19)</f>
        <v>0</v>
      </c>
      <c r="E20" s="715">
        <f t="shared" si="1"/>
        <v>4.3618529442319103</v>
      </c>
      <c r="F20" s="715">
        <f t="shared" si="1"/>
        <v>504.10332236377042</v>
      </c>
      <c r="G20" s="715">
        <f t="shared" si="1"/>
        <v>0</v>
      </c>
      <c r="H20" s="715">
        <f t="shared" si="1"/>
        <v>98007.983880531319</v>
      </c>
      <c r="I20" s="715">
        <f t="shared" si="1"/>
        <v>14979.576966714041</v>
      </c>
      <c r="J20" s="715">
        <f t="shared" si="1"/>
        <v>0</v>
      </c>
      <c r="K20" s="715">
        <f t="shared" si="1"/>
        <v>0</v>
      </c>
      <c r="L20" s="715">
        <f t="shared" si="1"/>
        <v>0</v>
      </c>
      <c r="M20" s="715">
        <f t="shared" si="1"/>
        <v>0</v>
      </c>
      <c r="N20" s="715">
        <f t="shared" si="1"/>
        <v>4924.5960922305121</v>
      </c>
      <c r="O20" s="715">
        <f t="shared" si="1"/>
        <v>0</v>
      </c>
      <c r="P20" s="715">
        <f t="shared" si="1"/>
        <v>0</v>
      </c>
      <c r="Q20" s="716">
        <f t="shared" si="1"/>
        <v>0</v>
      </c>
      <c r="R20" s="717">
        <f t="shared" si="1"/>
        <v>118421.51498954878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6971.4344790495197</v>
      </c>
      <c r="D22" s="711">
        <f>+landbouw!C8</f>
        <v>0</v>
      </c>
      <c r="E22" s="711">
        <f>+landbouw!D8</f>
        <v>3046.4664255321859</v>
      </c>
      <c r="F22" s="711">
        <f>+landbouw!E8</f>
        <v>73.006371118624259</v>
      </c>
      <c r="G22" s="711">
        <f>+landbouw!F8</f>
        <v>35806.397505946705</v>
      </c>
      <c r="H22" s="711">
        <f>+landbouw!G8</f>
        <v>0</v>
      </c>
      <c r="I22" s="711">
        <f>+landbouw!H8</f>
        <v>0</v>
      </c>
      <c r="J22" s="711">
        <f>+landbouw!I8</f>
        <v>0</v>
      </c>
      <c r="K22" s="711">
        <f>+landbouw!J8</f>
        <v>622.61158501234831</v>
      </c>
      <c r="L22" s="711">
        <f>+landbouw!K8</f>
        <v>0</v>
      </c>
      <c r="M22" s="711">
        <f>+landbouw!L8</f>
        <v>0</v>
      </c>
      <c r="N22" s="711">
        <f>+landbouw!M8</f>
        <v>0</v>
      </c>
      <c r="O22" s="711">
        <f>+landbouw!N8</f>
        <v>0</v>
      </c>
      <c r="P22" s="711">
        <f>+landbouw!O8</f>
        <v>0</v>
      </c>
      <c r="Q22" s="712">
        <f>+landbouw!P8</f>
        <v>0</v>
      </c>
      <c r="R22" s="713">
        <f>SUM(C22:Q22)</f>
        <v>46519.916366659381</v>
      </c>
      <c r="S22" s="67"/>
    </row>
    <row r="23" spans="1:19" s="457" customFormat="1" ht="17.25" thickTop="1" thickBot="1">
      <c r="A23" s="718" t="s">
        <v>116</v>
      </c>
      <c r="B23" s="852"/>
      <c r="C23" s="719">
        <f ca="1">C20+C15+C22</f>
        <v>123215.00683951919</v>
      </c>
      <c r="D23" s="719">
        <f t="shared" ref="D23:Q23" ca="1" si="2">D20+D15+D22</f>
        <v>0</v>
      </c>
      <c r="E23" s="719">
        <f t="shared" ca="1" si="2"/>
        <v>108700.04787851605</v>
      </c>
      <c r="F23" s="719">
        <f t="shared" si="2"/>
        <v>9462.8431995373521</v>
      </c>
      <c r="G23" s="719">
        <f t="shared" ca="1" si="2"/>
        <v>74053.953501416574</v>
      </c>
      <c r="H23" s="719">
        <f t="shared" si="2"/>
        <v>98007.983880531319</v>
      </c>
      <c r="I23" s="719">
        <f t="shared" si="2"/>
        <v>14979.576966714041</v>
      </c>
      <c r="J23" s="719">
        <f t="shared" si="2"/>
        <v>0</v>
      </c>
      <c r="K23" s="719">
        <f t="shared" si="2"/>
        <v>6753.4633796908347</v>
      </c>
      <c r="L23" s="719">
        <f t="shared" si="2"/>
        <v>0</v>
      </c>
      <c r="M23" s="719">
        <f t="shared" ca="1" si="2"/>
        <v>0</v>
      </c>
      <c r="N23" s="719">
        <f t="shared" si="2"/>
        <v>4924.5960922305121</v>
      </c>
      <c r="O23" s="719">
        <f t="shared" ca="1" si="2"/>
        <v>21274.872512343718</v>
      </c>
      <c r="P23" s="719">
        <f t="shared" si="2"/>
        <v>70.350000000000009</v>
      </c>
      <c r="Q23" s="720">
        <f t="shared" si="2"/>
        <v>133.46666666666667</v>
      </c>
      <c r="R23" s="721">
        <f ca="1">R20+R15+R22</f>
        <v>461576.16091716627</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3208.5961128654922</v>
      </c>
      <c r="D36" s="702">
        <f ca="1">tertiair!C20</f>
        <v>0</v>
      </c>
      <c r="E36" s="702">
        <f ca="1">tertiair!D20</f>
        <v>2277.8029463345633</v>
      </c>
      <c r="F36" s="702">
        <f>tertiair!E20</f>
        <v>58.407895974754872</v>
      </c>
      <c r="G36" s="702">
        <f ca="1">tertiair!F20</f>
        <v>717.13381801492267</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6261.9407731897327</v>
      </c>
    </row>
    <row r="37" spans="1:18">
      <c r="A37" s="873" t="s">
        <v>226</v>
      </c>
      <c r="B37" s="880"/>
      <c r="C37" s="702">
        <f ca="1">huishoudens!B12</f>
        <v>4580.5869264064995</v>
      </c>
      <c r="D37" s="702">
        <f ca="1">huishoudens!C12</f>
        <v>0</v>
      </c>
      <c r="E37" s="702">
        <f>huishoudens!D12</f>
        <v>6595.8386184454985</v>
      </c>
      <c r="F37" s="702">
        <f>huishoudens!E12</f>
        <v>1783.2058525043542</v>
      </c>
      <c r="G37" s="702">
        <f>huishoudens!F12</f>
        <v>6261.0660731098033</v>
      </c>
      <c r="H37" s="702">
        <f>huishoudens!G12</f>
        <v>0</v>
      </c>
      <c r="I37" s="702">
        <f>huishoudens!H12</f>
        <v>0</v>
      </c>
      <c r="J37" s="702">
        <f>huishoudens!I12</f>
        <v>0</v>
      </c>
      <c r="K37" s="702">
        <f>huishoudens!J12</f>
        <v>2026.9102792662486</v>
      </c>
      <c r="L37" s="702">
        <f>huishoudens!K12</f>
        <v>0</v>
      </c>
      <c r="M37" s="702">
        <f>huishoudens!L12</f>
        <v>0</v>
      </c>
      <c r="N37" s="702">
        <f>huishoudens!M12</f>
        <v>0</v>
      </c>
      <c r="O37" s="702">
        <f>huishoudens!N12</f>
        <v>0</v>
      </c>
      <c r="P37" s="702">
        <f>huishoudens!O12</f>
        <v>0</v>
      </c>
      <c r="Q37" s="812">
        <f>huishoudens!P12</f>
        <v>0</v>
      </c>
      <c r="R37" s="905">
        <f ca="1">SUM(C37:Q37)</f>
        <v>21247.607749732404</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17247.037152786663</v>
      </c>
      <c r="D39" s="702">
        <f ca="1">industrie!C22</f>
        <v>0</v>
      </c>
      <c r="E39" s="702">
        <f>industrie!D22</f>
        <v>12467.500794427946</v>
      </c>
      <c r="F39" s="702">
        <f>industrie!E22</f>
        <v>175.4477573953663</v>
      </c>
      <c r="G39" s="702">
        <f>industrie!F22</f>
        <v>3233.8975596657292</v>
      </c>
      <c r="H39" s="702">
        <f>industrie!G22</f>
        <v>0</v>
      </c>
      <c r="I39" s="702">
        <f>industrie!H22</f>
        <v>0</v>
      </c>
      <c r="J39" s="702">
        <f>industrie!I22</f>
        <v>0</v>
      </c>
      <c r="K39" s="702">
        <f>industrie!J22</f>
        <v>143.41125604993579</v>
      </c>
      <c r="L39" s="702">
        <f>industrie!K22</f>
        <v>0</v>
      </c>
      <c r="M39" s="702">
        <f>industrie!L22</f>
        <v>0</v>
      </c>
      <c r="N39" s="702">
        <f>industrie!M22</f>
        <v>0</v>
      </c>
      <c r="O39" s="702">
        <f>industrie!N22</f>
        <v>0</v>
      </c>
      <c r="P39" s="702">
        <f>industrie!O22</f>
        <v>0</v>
      </c>
      <c r="Q39" s="812">
        <f>industrie!P22</f>
        <v>0</v>
      </c>
      <c r="R39" s="906">
        <f ca="1">SUM(C39:Q39)</f>
        <v>33267.294520325639</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25036.220192058652</v>
      </c>
      <c r="D41" s="747">
        <f t="shared" ref="D41:R41" ca="1" si="4">SUM(D35:D40)</f>
        <v>0</v>
      </c>
      <c r="E41" s="747">
        <f t="shared" ca="1" si="4"/>
        <v>21341.14235920801</v>
      </c>
      <c r="F41" s="747">
        <f t="shared" si="4"/>
        <v>2017.0615058744754</v>
      </c>
      <c r="G41" s="747">
        <f t="shared" ca="1" si="4"/>
        <v>10212.097450790454</v>
      </c>
      <c r="H41" s="747">
        <f t="shared" si="4"/>
        <v>0</v>
      </c>
      <c r="I41" s="747">
        <f t="shared" si="4"/>
        <v>0</v>
      </c>
      <c r="J41" s="747">
        <f t="shared" si="4"/>
        <v>0</v>
      </c>
      <c r="K41" s="747">
        <f t="shared" si="4"/>
        <v>2170.3215353161845</v>
      </c>
      <c r="L41" s="747">
        <f t="shared" si="4"/>
        <v>0</v>
      </c>
      <c r="M41" s="747">
        <f t="shared" ca="1" si="4"/>
        <v>0</v>
      </c>
      <c r="N41" s="747">
        <f t="shared" si="4"/>
        <v>0</v>
      </c>
      <c r="O41" s="747">
        <f t="shared" ca="1" si="4"/>
        <v>0</v>
      </c>
      <c r="P41" s="747">
        <f t="shared" si="4"/>
        <v>0</v>
      </c>
      <c r="Q41" s="748">
        <f t="shared" si="4"/>
        <v>0</v>
      </c>
      <c r="R41" s="749">
        <f t="shared" ca="1" si="4"/>
        <v>60776.843043247776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309.33172232536947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309.33172232536947</v>
      </c>
    </row>
    <row r="45" spans="1:18" ht="15" thickBot="1">
      <c r="A45" s="876" t="s">
        <v>308</v>
      </c>
      <c r="B45" s="886"/>
      <c r="C45" s="711">
        <f ca="1">transport!B18</f>
        <v>0.192306382796404</v>
      </c>
      <c r="D45" s="711">
        <f>transport!C18</f>
        <v>0</v>
      </c>
      <c r="E45" s="711">
        <f>transport!D18</f>
        <v>0.88109429473484591</v>
      </c>
      <c r="F45" s="711">
        <f>transport!E18</f>
        <v>114.43145417657588</v>
      </c>
      <c r="G45" s="711">
        <f>transport!F18</f>
        <v>0</v>
      </c>
      <c r="H45" s="711">
        <f>transport!G18</f>
        <v>25858.799973776495</v>
      </c>
      <c r="I45" s="711">
        <f>transport!H18</f>
        <v>3729.9146647117964</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29704.219493342396</v>
      </c>
    </row>
    <row r="46" spans="1:18" ht="15.75" thickBot="1">
      <c r="A46" s="874" t="s">
        <v>231</v>
      </c>
      <c r="B46" s="887"/>
      <c r="C46" s="747">
        <f t="shared" ref="C46:R46" ca="1" si="5">SUM(C43:C45)</f>
        <v>0.192306382796404</v>
      </c>
      <c r="D46" s="747">
        <f t="shared" ca="1" si="5"/>
        <v>0</v>
      </c>
      <c r="E46" s="747">
        <f t="shared" si="5"/>
        <v>0.88109429473484591</v>
      </c>
      <c r="F46" s="747">
        <f t="shared" si="5"/>
        <v>114.43145417657588</v>
      </c>
      <c r="G46" s="747">
        <f t="shared" si="5"/>
        <v>0</v>
      </c>
      <c r="H46" s="747">
        <f t="shared" si="5"/>
        <v>26168.131696101864</v>
      </c>
      <c r="I46" s="747">
        <f t="shared" si="5"/>
        <v>3729.9146647117964</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30013.551215667765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1501.4998746089452</v>
      </c>
      <c r="D48" s="702">
        <f ca="1">+landbouw!C12</f>
        <v>0</v>
      </c>
      <c r="E48" s="702">
        <f>+landbouw!D12</f>
        <v>615.38621795750157</v>
      </c>
      <c r="F48" s="702">
        <f>+landbouw!E12</f>
        <v>16.572446243927708</v>
      </c>
      <c r="G48" s="702">
        <f>+landbouw!F12</f>
        <v>9560.3081340877707</v>
      </c>
      <c r="H48" s="702">
        <f>+landbouw!G12</f>
        <v>0</v>
      </c>
      <c r="I48" s="702">
        <f>+landbouw!H12</f>
        <v>0</v>
      </c>
      <c r="J48" s="702">
        <f>+landbouw!I12</f>
        <v>0</v>
      </c>
      <c r="K48" s="702">
        <f>+landbouw!J12</f>
        <v>220.40450109437128</v>
      </c>
      <c r="L48" s="702">
        <f>+landbouw!K12</f>
        <v>0</v>
      </c>
      <c r="M48" s="702">
        <f>+landbouw!L12</f>
        <v>0</v>
      </c>
      <c r="N48" s="702">
        <f>+landbouw!M12</f>
        <v>0</v>
      </c>
      <c r="O48" s="702">
        <f>+landbouw!N12</f>
        <v>0</v>
      </c>
      <c r="P48" s="702">
        <f>+landbouw!O12</f>
        <v>0</v>
      </c>
      <c r="Q48" s="703">
        <f>+landbouw!P12</f>
        <v>0</v>
      </c>
      <c r="R48" s="745">
        <f ca="1">SUM(C48:Q48)</f>
        <v>11914.171173992518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26537.912373050392</v>
      </c>
      <c r="D53" s="757">
        <f t="shared" ref="D53:Q53" ca="1" si="6">D41+D46+D48</f>
        <v>0</v>
      </c>
      <c r="E53" s="757">
        <f t="shared" ca="1" si="6"/>
        <v>21957.409671460246</v>
      </c>
      <c r="F53" s="757">
        <f t="shared" si="6"/>
        <v>2148.0654062949789</v>
      </c>
      <c r="G53" s="757">
        <f t="shared" ca="1" si="6"/>
        <v>19772.405584878223</v>
      </c>
      <c r="H53" s="757">
        <f t="shared" si="6"/>
        <v>26168.131696101864</v>
      </c>
      <c r="I53" s="757">
        <f t="shared" si="6"/>
        <v>3729.9146647117964</v>
      </c>
      <c r="J53" s="757">
        <f t="shared" si="6"/>
        <v>0</v>
      </c>
      <c r="K53" s="757">
        <f t="shared" si="6"/>
        <v>2390.7260364105559</v>
      </c>
      <c r="L53" s="757">
        <f t="shared" si="6"/>
        <v>0</v>
      </c>
      <c r="M53" s="757">
        <f t="shared" ca="1" si="6"/>
        <v>0</v>
      </c>
      <c r="N53" s="757">
        <f t="shared" si="6"/>
        <v>0</v>
      </c>
      <c r="O53" s="757">
        <f t="shared" ca="1" si="6"/>
        <v>0</v>
      </c>
      <c r="P53" s="757">
        <f>P41+P46+P48</f>
        <v>0</v>
      </c>
      <c r="Q53" s="758">
        <f t="shared" si="6"/>
        <v>0</v>
      </c>
      <c r="R53" s="759">
        <f ca="1">R41+R46+R48</f>
        <v>102704.56543290806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0.2153788978611556</v>
      </c>
      <c r="D55" s="823">
        <f t="shared" ca="1" si="7"/>
        <v>0</v>
      </c>
      <c r="E55" s="823">
        <f t="shared" ca="1" si="7"/>
        <v>0.20200000000000004</v>
      </c>
      <c r="F55" s="823">
        <f t="shared" si="7"/>
        <v>0.22699999999999998</v>
      </c>
      <c r="G55" s="823">
        <f t="shared" ca="1" si="7"/>
        <v>0.26699999999999996</v>
      </c>
      <c r="H55" s="823">
        <f t="shared" si="7"/>
        <v>0.26700000000000002</v>
      </c>
      <c r="I55" s="823">
        <f t="shared" si="7"/>
        <v>0.249</v>
      </c>
      <c r="J55" s="823">
        <f t="shared" si="7"/>
        <v>0</v>
      </c>
      <c r="K55" s="823">
        <f t="shared" si="7"/>
        <v>0.35400000000000009</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3133.9553777526862</v>
      </c>
      <c r="C66" s="779">
        <f>'lokale energieproductie'!B6</f>
        <v>3133.9553777526862</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3133.9553777526862</v>
      </c>
      <c r="C69" s="787">
        <f>SUM(C64:C68)</f>
        <v>3133.9553777526862</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21267.57529124038</v>
      </c>
      <c r="C4" s="461">
        <f>huishoudens!C8</f>
        <v>0</v>
      </c>
      <c r="D4" s="461">
        <f>huishoudens!D8</f>
        <v>32652.66642794801</v>
      </c>
      <c r="E4" s="461">
        <f>huishoudens!E8</f>
        <v>7855.5323898870229</v>
      </c>
      <c r="F4" s="461">
        <f>huishoudens!F8</f>
        <v>23449.685667077913</v>
      </c>
      <c r="G4" s="461">
        <f>huishoudens!G8</f>
        <v>0</v>
      </c>
      <c r="H4" s="461">
        <f>huishoudens!H8</f>
        <v>0</v>
      </c>
      <c r="I4" s="461">
        <f>huishoudens!I8</f>
        <v>0</v>
      </c>
      <c r="J4" s="461">
        <f>huishoudens!J8</f>
        <v>5725.7352521645444</v>
      </c>
      <c r="K4" s="461">
        <f>huishoudens!K8</f>
        <v>0</v>
      </c>
      <c r="L4" s="461">
        <f>huishoudens!L8</f>
        <v>0</v>
      </c>
      <c r="M4" s="461">
        <f>huishoudens!M8</f>
        <v>0</v>
      </c>
      <c r="N4" s="461">
        <f>huishoudens!N8</f>
        <v>19512.416231692532</v>
      </c>
      <c r="O4" s="461">
        <f>huishoudens!O8</f>
        <v>70.350000000000009</v>
      </c>
      <c r="P4" s="462">
        <f>huishoudens!P8</f>
        <v>114.4</v>
      </c>
      <c r="Q4" s="463">
        <f>SUM(B4:P4)</f>
        <v>110648.3612600104</v>
      </c>
    </row>
    <row r="5" spans="1:17">
      <c r="A5" s="460" t="s">
        <v>156</v>
      </c>
      <c r="B5" s="461">
        <f ca="1">tertiair!B16</f>
        <v>13876.366843544176</v>
      </c>
      <c r="C5" s="461">
        <f ca="1">tertiair!C16</f>
        <v>0</v>
      </c>
      <c r="D5" s="461">
        <f ca="1">tertiair!D16</f>
        <v>11276.252209577046</v>
      </c>
      <c r="E5" s="461">
        <f>tertiair!E16</f>
        <v>257.30350649671749</v>
      </c>
      <c r="F5" s="461">
        <f ca="1">tertiair!F16</f>
        <v>2685.8944494940924</v>
      </c>
      <c r="G5" s="461">
        <f>tertiair!G16</f>
        <v>0</v>
      </c>
      <c r="H5" s="461">
        <f>tertiair!H16</f>
        <v>0</v>
      </c>
      <c r="I5" s="461">
        <f>tertiair!I16</f>
        <v>0</v>
      </c>
      <c r="J5" s="461">
        <f>tertiair!J16</f>
        <v>0</v>
      </c>
      <c r="K5" s="461">
        <f>tertiair!K16</f>
        <v>0</v>
      </c>
      <c r="L5" s="461">
        <f ca="1">tertiair!L16</f>
        <v>0</v>
      </c>
      <c r="M5" s="461">
        <f>tertiair!M16</f>
        <v>0</v>
      </c>
      <c r="N5" s="461">
        <f ca="1">tertiair!N16</f>
        <v>683.02022964298442</v>
      </c>
      <c r="O5" s="461">
        <f>tertiair!O16</f>
        <v>0</v>
      </c>
      <c r="P5" s="462">
        <f>tertiair!P16</f>
        <v>19.066666666666666</v>
      </c>
      <c r="Q5" s="460">
        <f t="shared" ref="Q5:Q13" ca="1" si="0">SUM(B5:P5)</f>
        <v>28797.903905421681</v>
      </c>
    </row>
    <row r="6" spans="1:17">
      <c r="A6" s="460" t="s">
        <v>195</v>
      </c>
      <c r="B6" s="461">
        <f>'openbare verlichting'!B8</f>
        <v>1021.082</v>
      </c>
      <c r="C6" s="461"/>
      <c r="D6" s="461"/>
      <c r="E6" s="461"/>
      <c r="F6" s="461"/>
      <c r="G6" s="461"/>
      <c r="H6" s="461"/>
      <c r="I6" s="461"/>
      <c r="J6" s="461"/>
      <c r="K6" s="461"/>
      <c r="L6" s="461"/>
      <c r="M6" s="461"/>
      <c r="N6" s="461"/>
      <c r="O6" s="461"/>
      <c r="P6" s="462"/>
      <c r="Q6" s="460">
        <f t="shared" si="0"/>
        <v>1021.082</v>
      </c>
    </row>
    <row r="7" spans="1:17">
      <c r="A7" s="460" t="s">
        <v>112</v>
      </c>
      <c r="B7" s="461">
        <f>landbouw!B8</f>
        <v>6971.4344790495197</v>
      </c>
      <c r="C7" s="461">
        <f>landbouw!C8</f>
        <v>0</v>
      </c>
      <c r="D7" s="461">
        <f>landbouw!D8</f>
        <v>3046.4664255321859</v>
      </c>
      <c r="E7" s="461">
        <f>landbouw!E8</f>
        <v>73.006371118624259</v>
      </c>
      <c r="F7" s="461">
        <f>landbouw!F8</f>
        <v>35806.397505946705</v>
      </c>
      <c r="G7" s="461">
        <f>landbouw!G8</f>
        <v>0</v>
      </c>
      <c r="H7" s="461">
        <f>landbouw!H8</f>
        <v>0</v>
      </c>
      <c r="I7" s="461">
        <f>landbouw!I8</f>
        <v>0</v>
      </c>
      <c r="J7" s="461">
        <f>landbouw!J8</f>
        <v>622.61158501234831</v>
      </c>
      <c r="K7" s="461">
        <f>landbouw!K8</f>
        <v>0</v>
      </c>
      <c r="L7" s="461">
        <f>landbouw!L8</f>
        <v>0</v>
      </c>
      <c r="M7" s="461">
        <f>landbouw!M8</f>
        <v>0</v>
      </c>
      <c r="N7" s="461">
        <f>landbouw!N8</f>
        <v>0</v>
      </c>
      <c r="O7" s="461">
        <f>landbouw!O8</f>
        <v>0</v>
      </c>
      <c r="P7" s="462">
        <f>landbouw!P8</f>
        <v>0</v>
      </c>
      <c r="Q7" s="460">
        <f t="shared" si="0"/>
        <v>46519.916366659381</v>
      </c>
    </row>
    <row r="8" spans="1:17">
      <c r="A8" s="460" t="s">
        <v>656</v>
      </c>
      <c r="B8" s="461">
        <f>industrie!B18</f>
        <v>80077.655350920191</v>
      </c>
      <c r="C8" s="461">
        <f>industrie!C18</f>
        <v>0</v>
      </c>
      <c r="D8" s="461">
        <f>industrie!D18</f>
        <v>61720.300962514579</v>
      </c>
      <c r="E8" s="461">
        <f>industrie!E18</f>
        <v>772.8976096712172</v>
      </c>
      <c r="F8" s="461">
        <f>industrie!F18</f>
        <v>12111.975878897862</v>
      </c>
      <c r="G8" s="461">
        <f>industrie!G18</f>
        <v>0</v>
      </c>
      <c r="H8" s="461">
        <f>industrie!H18</f>
        <v>0</v>
      </c>
      <c r="I8" s="461">
        <f>industrie!I18</f>
        <v>0</v>
      </c>
      <c r="J8" s="461">
        <f>industrie!J18</f>
        <v>405.11654251394293</v>
      </c>
      <c r="K8" s="461">
        <f>industrie!K18</f>
        <v>0</v>
      </c>
      <c r="L8" s="461">
        <f>industrie!L18</f>
        <v>0</v>
      </c>
      <c r="M8" s="461">
        <f>industrie!M18</f>
        <v>0</v>
      </c>
      <c r="N8" s="461">
        <f>industrie!N18</f>
        <v>1079.4360510082006</v>
      </c>
      <c r="O8" s="461">
        <f>industrie!O18</f>
        <v>0</v>
      </c>
      <c r="P8" s="462">
        <f>industrie!P18</f>
        <v>0</v>
      </c>
      <c r="Q8" s="460">
        <f t="shared" si="0"/>
        <v>156167.38239552599</v>
      </c>
    </row>
    <row r="9" spans="1:17" s="466" customFormat="1">
      <c r="A9" s="464" t="s">
        <v>574</v>
      </c>
      <c r="B9" s="465">
        <f>transport!B14</f>
        <v>0.89287476491951701</v>
      </c>
      <c r="C9" s="465">
        <f>transport!C14</f>
        <v>0</v>
      </c>
      <c r="D9" s="465">
        <f>transport!D14</f>
        <v>4.3618529442319103</v>
      </c>
      <c r="E9" s="465">
        <f>transport!E14</f>
        <v>504.10332236377042</v>
      </c>
      <c r="F9" s="465">
        <f>transport!F14</f>
        <v>0</v>
      </c>
      <c r="G9" s="465">
        <f>transport!G14</f>
        <v>96849.438104031811</v>
      </c>
      <c r="H9" s="465">
        <f>transport!H14</f>
        <v>14979.576966714041</v>
      </c>
      <c r="I9" s="465">
        <f>transport!I14</f>
        <v>0</v>
      </c>
      <c r="J9" s="465">
        <f>transport!J14</f>
        <v>0</v>
      </c>
      <c r="K9" s="465">
        <f>transport!K14</f>
        <v>0</v>
      </c>
      <c r="L9" s="465">
        <f>transport!L14</f>
        <v>0</v>
      </c>
      <c r="M9" s="465">
        <f>transport!M14</f>
        <v>4875.2123190533157</v>
      </c>
      <c r="N9" s="465">
        <f>transport!N14</f>
        <v>0</v>
      </c>
      <c r="O9" s="465">
        <f>transport!O14</f>
        <v>0</v>
      </c>
      <c r="P9" s="465">
        <f>transport!P14</f>
        <v>0</v>
      </c>
      <c r="Q9" s="464">
        <f>SUM(B9:P9)</f>
        <v>117213.58543987208</v>
      </c>
    </row>
    <row r="10" spans="1:17">
      <c r="A10" s="460" t="s">
        <v>564</v>
      </c>
      <c r="B10" s="461">
        <f>transport!B54</f>
        <v>0</v>
      </c>
      <c r="C10" s="461">
        <f>transport!C54</f>
        <v>0</v>
      </c>
      <c r="D10" s="461">
        <f>transport!D54</f>
        <v>0</v>
      </c>
      <c r="E10" s="461">
        <f>transport!E54</f>
        <v>0</v>
      </c>
      <c r="F10" s="461">
        <f>transport!F54</f>
        <v>0</v>
      </c>
      <c r="G10" s="461">
        <f>transport!G54</f>
        <v>1158.545776499511</v>
      </c>
      <c r="H10" s="461">
        <f>transport!H54</f>
        <v>0</v>
      </c>
      <c r="I10" s="461">
        <f>transport!I54</f>
        <v>0</v>
      </c>
      <c r="J10" s="461">
        <f>transport!J54</f>
        <v>0</v>
      </c>
      <c r="K10" s="461">
        <f>transport!K54</f>
        <v>0</v>
      </c>
      <c r="L10" s="461">
        <f>transport!L54</f>
        <v>0</v>
      </c>
      <c r="M10" s="461">
        <f>transport!M54</f>
        <v>49.383773177196588</v>
      </c>
      <c r="N10" s="461">
        <f>transport!N54</f>
        <v>0</v>
      </c>
      <c r="O10" s="461">
        <f>transport!O54</f>
        <v>0</v>
      </c>
      <c r="P10" s="462">
        <f>transport!P54</f>
        <v>0</v>
      </c>
      <c r="Q10" s="460">
        <f t="shared" si="0"/>
        <v>1207.9295496767077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123215.00683951919</v>
      </c>
      <c r="C14" s="471">
        <f t="shared" ref="C14:Q14" ca="1" si="1">SUM(C4:C13)</f>
        <v>0</v>
      </c>
      <c r="D14" s="471">
        <f t="shared" ca="1" si="1"/>
        <v>108700.04787851605</v>
      </c>
      <c r="E14" s="471">
        <f t="shared" si="1"/>
        <v>9462.8431995373503</v>
      </c>
      <c r="F14" s="471">
        <f t="shared" ca="1" si="1"/>
        <v>74053.953501416574</v>
      </c>
      <c r="G14" s="471">
        <f t="shared" si="1"/>
        <v>98007.983880531319</v>
      </c>
      <c r="H14" s="471">
        <f t="shared" si="1"/>
        <v>14979.576966714041</v>
      </c>
      <c r="I14" s="471">
        <f t="shared" si="1"/>
        <v>0</v>
      </c>
      <c r="J14" s="471">
        <f t="shared" si="1"/>
        <v>6753.4633796908347</v>
      </c>
      <c r="K14" s="471">
        <f t="shared" si="1"/>
        <v>0</v>
      </c>
      <c r="L14" s="471">
        <f t="shared" ca="1" si="1"/>
        <v>0</v>
      </c>
      <c r="M14" s="471">
        <f t="shared" si="1"/>
        <v>4924.5960922305121</v>
      </c>
      <c r="N14" s="471">
        <f t="shared" ca="1" si="1"/>
        <v>21274.872512343718</v>
      </c>
      <c r="O14" s="471">
        <f t="shared" si="1"/>
        <v>70.350000000000009</v>
      </c>
      <c r="P14" s="472">
        <f t="shared" si="1"/>
        <v>133.46666666666667</v>
      </c>
      <c r="Q14" s="472">
        <f t="shared" ca="1" si="1"/>
        <v>461576.16091716627</v>
      </c>
    </row>
    <row r="16" spans="1:17">
      <c r="A16" s="474" t="s">
        <v>569</v>
      </c>
      <c r="B16" s="828">
        <f ca="1">huishoudens!B10</f>
        <v>0.21537889786115563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4580.5869264064995</v>
      </c>
      <c r="C21" s="461">
        <f t="shared" ref="C21:C30" ca="1" si="3">C4*$C$16</f>
        <v>0</v>
      </c>
      <c r="D21" s="461">
        <f t="shared" ref="D21:D30" si="4">D4*$D$16</f>
        <v>6595.8386184454985</v>
      </c>
      <c r="E21" s="461">
        <f t="shared" ref="E21:E30" si="5">E4*$E$16</f>
        <v>1783.2058525043542</v>
      </c>
      <c r="F21" s="461">
        <f t="shared" ref="F21:F30" si="6">F4*$F$16</f>
        <v>6261.0660731098033</v>
      </c>
      <c r="G21" s="461">
        <f t="shared" ref="G21:G30" si="7">G4*$G$16</f>
        <v>0</v>
      </c>
      <c r="H21" s="461">
        <f t="shared" ref="H21:H30" si="8">H4*$H$16</f>
        <v>0</v>
      </c>
      <c r="I21" s="461">
        <f t="shared" ref="I21:I30" si="9">I4*$I$16</f>
        <v>0</v>
      </c>
      <c r="J21" s="461">
        <f t="shared" ref="J21:J30" si="10">J4*$J$16</f>
        <v>2026.9102792662486</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21247.607749732404</v>
      </c>
    </row>
    <row r="22" spans="1:17">
      <c r="A22" s="460" t="s">
        <v>156</v>
      </c>
      <c r="B22" s="461">
        <f t="shared" ca="1" si="2"/>
        <v>2988.6765970796278</v>
      </c>
      <c r="C22" s="461">
        <f t="shared" ca="1" si="3"/>
        <v>0</v>
      </c>
      <c r="D22" s="461">
        <f t="shared" ca="1" si="4"/>
        <v>2277.8029463345633</v>
      </c>
      <c r="E22" s="461">
        <f t="shared" si="5"/>
        <v>58.407895974754872</v>
      </c>
      <c r="F22" s="461">
        <f t="shared" ca="1" si="6"/>
        <v>717.13381801492267</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6042.0212574038678</v>
      </c>
    </row>
    <row r="23" spans="1:17">
      <c r="A23" s="460" t="s">
        <v>195</v>
      </c>
      <c r="B23" s="461">
        <f t="shared" ca="1" si="2"/>
        <v>219.91951578586452</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219.91951578586452</v>
      </c>
    </row>
    <row r="24" spans="1:17">
      <c r="A24" s="460" t="s">
        <v>112</v>
      </c>
      <c r="B24" s="461">
        <f t="shared" ca="1" si="2"/>
        <v>1501.4998746089452</v>
      </c>
      <c r="C24" s="461">
        <f t="shared" ca="1" si="3"/>
        <v>0</v>
      </c>
      <c r="D24" s="461">
        <f t="shared" si="4"/>
        <v>615.38621795750157</v>
      </c>
      <c r="E24" s="461">
        <f t="shared" si="5"/>
        <v>16.572446243927708</v>
      </c>
      <c r="F24" s="461">
        <f t="shared" si="6"/>
        <v>9560.3081340877707</v>
      </c>
      <c r="G24" s="461">
        <f t="shared" si="7"/>
        <v>0</v>
      </c>
      <c r="H24" s="461">
        <f t="shared" si="8"/>
        <v>0</v>
      </c>
      <c r="I24" s="461">
        <f t="shared" si="9"/>
        <v>0</v>
      </c>
      <c r="J24" s="461">
        <f t="shared" si="10"/>
        <v>220.40450109437128</v>
      </c>
      <c r="K24" s="461">
        <f t="shared" si="11"/>
        <v>0</v>
      </c>
      <c r="L24" s="461">
        <f t="shared" si="12"/>
        <v>0</v>
      </c>
      <c r="M24" s="461">
        <f t="shared" si="13"/>
        <v>0</v>
      </c>
      <c r="N24" s="461">
        <f t="shared" si="14"/>
        <v>0</v>
      </c>
      <c r="O24" s="461">
        <f t="shared" si="15"/>
        <v>0</v>
      </c>
      <c r="P24" s="462">
        <f t="shared" si="16"/>
        <v>0</v>
      </c>
      <c r="Q24" s="460">
        <f t="shared" ca="1" si="17"/>
        <v>11914.171173992518</v>
      </c>
    </row>
    <row r="25" spans="1:17">
      <c r="A25" s="460" t="s">
        <v>656</v>
      </c>
      <c r="B25" s="461">
        <f t="shared" ca="1" si="2"/>
        <v>17247.037152786663</v>
      </c>
      <c r="C25" s="461">
        <f t="shared" ca="1" si="3"/>
        <v>0</v>
      </c>
      <c r="D25" s="461">
        <f t="shared" si="4"/>
        <v>12467.500794427946</v>
      </c>
      <c r="E25" s="461">
        <f t="shared" si="5"/>
        <v>175.4477573953663</v>
      </c>
      <c r="F25" s="461">
        <f t="shared" si="6"/>
        <v>3233.8975596657292</v>
      </c>
      <c r="G25" s="461">
        <f t="shared" si="7"/>
        <v>0</v>
      </c>
      <c r="H25" s="461">
        <f t="shared" si="8"/>
        <v>0</v>
      </c>
      <c r="I25" s="461">
        <f t="shared" si="9"/>
        <v>0</v>
      </c>
      <c r="J25" s="461">
        <f t="shared" si="10"/>
        <v>143.41125604993579</v>
      </c>
      <c r="K25" s="461">
        <f t="shared" si="11"/>
        <v>0</v>
      </c>
      <c r="L25" s="461">
        <f t="shared" si="12"/>
        <v>0</v>
      </c>
      <c r="M25" s="461">
        <f t="shared" si="13"/>
        <v>0</v>
      </c>
      <c r="N25" s="461">
        <f t="shared" si="14"/>
        <v>0</v>
      </c>
      <c r="O25" s="461">
        <f t="shared" si="15"/>
        <v>0</v>
      </c>
      <c r="P25" s="462">
        <f t="shared" si="16"/>
        <v>0</v>
      </c>
      <c r="Q25" s="460">
        <f t="shared" ca="1" si="17"/>
        <v>33267.294520325639</v>
      </c>
    </row>
    <row r="26" spans="1:17" s="466" customFormat="1">
      <c r="A26" s="464" t="s">
        <v>574</v>
      </c>
      <c r="B26" s="822">
        <f t="shared" ca="1" si="2"/>
        <v>0.192306382796404</v>
      </c>
      <c r="C26" s="465">
        <f t="shared" ca="1" si="3"/>
        <v>0</v>
      </c>
      <c r="D26" s="465">
        <f t="shared" si="4"/>
        <v>0.88109429473484591</v>
      </c>
      <c r="E26" s="465">
        <f t="shared" si="5"/>
        <v>114.43145417657588</v>
      </c>
      <c r="F26" s="465">
        <f t="shared" si="6"/>
        <v>0</v>
      </c>
      <c r="G26" s="465">
        <f t="shared" si="7"/>
        <v>25858.799973776495</v>
      </c>
      <c r="H26" s="465">
        <f t="shared" si="8"/>
        <v>3729.9146647117964</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29704.219493342396</v>
      </c>
    </row>
    <row r="27" spans="1:17">
      <c r="A27" s="460" t="s">
        <v>564</v>
      </c>
      <c r="B27" s="461">
        <f t="shared" ca="1" si="2"/>
        <v>0</v>
      </c>
      <c r="C27" s="461">
        <f t="shared" ca="1" si="3"/>
        <v>0</v>
      </c>
      <c r="D27" s="461">
        <f t="shared" si="4"/>
        <v>0</v>
      </c>
      <c r="E27" s="461">
        <f t="shared" si="5"/>
        <v>0</v>
      </c>
      <c r="F27" s="461">
        <f t="shared" si="6"/>
        <v>0</v>
      </c>
      <c r="G27" s="461">
        <f t="shared" si="7"/>
        <v>309.33172232536947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309.33172232536947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26537.912373050396</v>
      </c>
      <c r="C31" s="471">
        <f t="shared" ca="1" si="18"/>
        <v>0</v>
      </c>
      <c r="D31" s="471">
        <f t="shared" ca="1" si="18"/>
        <v>21957.409671460246</v>
      </c>
      <c r="E31" s="471">
        <f t="shared" si="18"/>
        <v>2148.0654062949789</v>
      </c>
      <c r="F31" s="471">
        <f t="shared" ca="1" si="18"/>
        <v>19772.405584878226</v>
      </c>
      <c r="G31" s="471">
        <f t="shared" si="18"/>
        <v>26168.131696101864</v>
      </c>
      <c r="H31" s="471">
        <f t="shared" si="18"/>
        <v>3729.9146647117964</v>
      </c>
      <c r="I31" s="471">
        <f t="shared" si="18"/>
        <v>0</v>
      </c>
      <c r="J31" s="471">
        <f t="shared" si="18"/>
        <v>2390.7260364105555</v>
      </c>
      <c r="K31" s="471">
        <f t="shared" si="18"/>
        <v>0</v>
      </c>
      <c r="L31" s="471">
        <f t="shared" ca="1" si="18"/>
        <v>0</v>
      </c>
      <c r="M31" s="471">
        <f t="shared" si="18"/>
        <v>0</v>
      </c>
      <c r="N31" s="471">
        <f t="shared" ca="1" si="18"/>
        <v>0</v>
      </c>
      <c r="O31" s="471">
        <f t="shared" si="18"/>
        <v>0</v>
      </c>
      <c r="P31" s="472">
        <f t="shared" si="18"/>
        <v>0</v>
      </c>
      <c r="Q31" s="472">
        <f t="shared" ca="1" si="18"/>
        <v>102704.56543290806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0.21537889786115563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0.21537889786115563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0.21537889786115563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33037</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4798</v>
      </c>
      <c r="C9" s="336">
        <v>5337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5092</v>
      </c>
    </row>
    <row r="15" spans="1:6">
      <c r="A15" s="1194" t="s">
        <v>185</v>
      </c>
      <c r="B15" s="333">
        <v>60</v>
      </c>
    </row>
    <row r="16" spans="1:6">
      <c r="A16" s="1194" t="s">
        <v>6</v>
      </c>
      <c r="B16" s="333">
        <v>1754</v>
      </c>
    </row>
    <row r="17" spans="1:6">
      <c r="A17" s="1194" t="s">
        <v>7</v>
      </c>
      <c r="B17" s="333">
        <v>1442</v>
      </c>
    </row>
    <row r="18" spans="1:6">
      <c r="A18" s="1194" t="s">
        <v>8</v>
      </c>
      <c r="B18" s="333">
        <v>1910</v>
      </c>
    </row>
    <row r="19" spans="1:6">
      <c r="A19" s="1194" t="s">
        <v>9</v>
      </c>
      <c r="B19" s="333">
        <v>1897</v>
      </c>
    </row>
    <row r="20" spans="1:6">
      <c r="A20" s="1194" t="s">
        <v>10</v>
      </c>
      <c r="B20" s="333">
        <v>1496</v>
      </c>
    </row>
    <row r="21" spans="1:6">
      <c r="A21" s="1194" t="s">
        <v>11</v>
      </c>
      <c r="B21" s="333">
        <v>32497</v>
      </c>
    </row>
    <row r="22" spans="1:6">
      <c r="A22" s="1194" t="s">
        <v>12</v>
      </c>
      <c r="B22" s="333">
        <v>71827</v>
      </c>
    </row>
    <row r="23" spans="1:6">
      <c r="A23" s="1194" t="s">
        <v>13</v>
      </c>
      <c r="B23" s="333">
        <v>1065</v>
      </c>
    </row>
    <row r="24" spans="1:6">
      <c r="A24" s="1194" t="s">
        <v>14</v>
      </c>
      <c r="B24" s="333">
        <v>135</v>
      </c>
    </row>
    <row r="25" spans="1:6">
      <c r="A25" s="1194" t="s">
        <v>15</v>
      </c>
      <c r="B25" s="333">
        <v>7440</v>
      </c>
    </row>
    <row r="26" spans="1:6">
      <c r="A26" s="1194" t="s">
        <v>16</v>
      </c>
      <c r="B26" s="333">
        <v>1095</v>
      </c>
    </row>
    <row r="27" spans="1:6">
      <c r="A27" s="1194" t="s">
        <v>17</v>
      </c>
      <c r="B27" s="333">
        <v>7</v>
      </c>
    </row>
    <row r="28" spans="1:6">
      <c r="A28" s="1194" t="s">
        <v>18</v>
      </c>
      <c r="B28" s="333">
        <v>348653</v>
      </c>
    </row>
    <row r="29" spans="1:6">
      <c r="A29" s="1194" t="s">
        <v>888</v>
      </c>
      <c r="B29" s="333">
        <v>240</v>
      </c>
    </row>
    <row r="30" spans="1:6">
      <c r="A30" s="1190" t="s">
        <v>889</v>
      </c>
      <c r="B30" s="1190">
        <v>39</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15747.3182721796</v>
      </c>
    </row>
    <row r="37" spans="1:6">
      <c r="A37" s="1194" t="s">
        <v>25</v>
      </c>
      <c r="B37" s="1194" t="s">
        <v>28</v>
      </c>
      <c r="C37" s="333">
        <v>0</v>
      </c>
      <c r="D37" s="333">
        <v>0</v>
      </c>
      <c r="E37" s="333">
        <v>0</v>
      </c>
      <c r="F37" s="333">
        <v>0</v>
      </c>
    </row>
    <row r="38" spans="1:6">
      <c r="A38" s="1194" t="s">
        <v>25</v>
      </c>
      <c r="B38" s="1194" t="s">
        <v>29</v>
      </c>
      <c r="C38" s="333">
        <v>0</v>
      </c>
      <c r="D38" s="333">
        <v>0</v>
      </c>
      <c r="E38" s="333">
        <v>1</v>
      </c>
      <c r="F38" s="333">
        <v>32400</v>
      </c>
    </row>
    <row r="39" spans="1:6">
      <c r="A39" s="1194" t="s">
        <v>30</v>
      </c>
      <c r="B39" s="1194" t="s">
        <v>31</v>
      </c>
      <c r="C39" s="333">
        <v>2285</v>
      </c>
      <c r="D39" s="333">
        <v>36200295.374665201</v>
      </c>
      <c r="E39" s="333">
        <v>4349</v>
      </c>
      <c r="F39" s="333">
        <v>19586810.133532099</v>
      </c>
    </row>
    <row r="40" spans="1:6">
      <c r="A40" s="1194" t="s">
        <v>30</v>
      </c>
      <c r="B40" s="1194" t="s">
        <v>29</v>
      </c>
      <c r="C40" s="333">
        <v>0</v>
      </c>
      <c r="D40" s="333">
        <v>0</v>
      </c>
      <c r="E40" s="333">
        <v>0</v>
      </c>
      <c r="F40" s="333">
        <v>0</v>
      </c>
    </row>
    <row r="41" spans="1:6">
      <c r="A41" s="1194" t="s">
        <v>32</v>
      </c>
      <c r="B41" s="1194" t="s">
        <v>33</v>
      </c>
      <c r="C41" s="333">
        <v>39</v>
      </c>
      <c r="D41" s="333">
        <v>886533.63423177402</v>
      </c>
      <c r="E41" s="333">
        <v>108</v>
      </c>
      <c r="F41" s="333">
        <v>878525.53855354397</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4</v>
      </c>
      <c r="D44" s="333">
        <v>103840.920502326</v>
      </c>
      <c r="E44" s="333">
        <v>19</v>
      </c>
      <c r="F44" s="333">
        <v>1056010.9235052399</v>
      </c>
    </row>
    <row r="45" spans="1:6">
      <c r="A45" s="1194" t="s">
        <v>32</v>
      </c>
      <c r="B45" s="1194" t="s">
        <v>37</v>
      </c>
      <c r="C45" s="333">
        <v>0</v>
      </c>
      <c r="D45" s="333">
        <v>0</v>
      </c>
      <c r="E45" s="333">
        <v>4</v>
      </c>
      <c r="F45" s="333">
        <v>10371961.009560101</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23</v>
      </c>
      <c r="D48" s="333">
        <v>67193166.990165904</v>
      </c>
      <c r="E48" s="333">
        <v>31</v>
      </c>
      <c r="F48" s="333">
        <v>45005796.920184597</v>
      </c>
    </row>
    <row r="49" spans="1:6">
      <c r="A49" s="1194" t="s">
        <v>32</v>
      </c>
      <c r="B49" s="1194" t="s">
        <v>40</v>
      </c>
      <c r="C49" s="333">
        <v>0</v>
      </c>
      <c r="D49" s="333">
        <v>0</v>
      </c>
      <c r="E49" s="333">
        <v>6</v>
      </c>
      <c r="F49" s="333">
        <v>17595999.751177799</v>
      </c>
    </row>
    <row r="50" spans="1:6">
      <c r="A50" s="1194" t="s">
        <v>32</v>
      </c>
      <c r="B50" s="1194" t="s">
        <v>41</v>
      </c>
      <c r="C50" s="333">
        <v>5</v>
      </c>
      <c r="D50" s="333">
        <v>242512.73726692999</v>
      </c>
      <c r="E50" s="333">
        <v>12</v>
      </c>
      <c r="F50" s="333">
        <v>5169361.2079389198</v>
      </c>
    </row>
    <row r="51" spans="1:6">
      <c r="A51" s="1194" t="s">
        <v>42</v>
      </c>
      <c r="B51" s="1194" t="s">
        <v>43</v>
      </c>
      <c r="C51" s="333">
        <v>18</v>
      </c>
      <c r="D51" s="333">
        <v>1347022.0254468899</v>
      </c>
      <c r="E51" s="333">
        <v>284</v>
      </c>
      <c r="F51" s="333">
        <v>6962867.6795059899</v>
      </c>
    </row>
    <row r="52" spans="1:6">
      <c r="A52" s="1194" t="s">
        <v>42</v>
      </c>
      <c r="B52" s="1194" t="s">
        <v>29</v>
      </c>
      <c r="C52" s="333">
        <v>3</v>
      </c>
      <c r="D52" s="333">
        <v>261020.800830458</v>
      </c>
      <c r="E52" s="333">
        <v>2</v>
      </c>
      <c r="F52" s="333">
        <v>8566.7995435301</v>
      </c>
    </row>
    <row r="53" spans="1:6">
      <c r="A53" s="1194" t="s">
        <v>44</v>
      </c>
      <c r="B53" s="1194" t="s">
        <v>45</v>
      </c>
      <c r="C53" s="333">
        <v>96</v>
      </c>
      <c r="D53" s="333">
        <v>1769414.4082372701</v>
      </c>
      <c r="E53" s="333">
        <v>191</v>
      </c>
      <c r="F53" s="333">
        <v>1129736.5106613301</v>
      </c>
    </row>
    <row r="54" spans="1:6">
      <c r="A54" s="1194" t="s">
        <v>46</v>
      </c>
      <c r="B54" s="1194" t="s">
        <v>47</v>
      </c>
      <c r="C54" s="333">
        <v>0</v>
      </c>
      <c r="D54" s="333">
        <v>0</v>
      </c>
      <c r="E54" s="333">
        <v>1</v>
      </c>
      <c r="F54" s="333">
        <v>1021082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44</v>
      </c>
      <c r="D57" s="333">
        <v>6242907.5478452798</v>
      </c>
      <c r="E57" s="333">
        <v>94</v>
      </c>
      <c r="F57" s="333">
        <v>2195254.25452916</v>
      </c>
    </row>
    <row r="58" spans="1:6">
      <c r="A58" s="1194" t="s">
        <v>49</v>
      </c>
      <c r="B58" s="1194" t="s">
        <v>51</v>
      </c>
      <c r="C58" s="333">
        <v>8</v>
      </c>
      <c r="D58" s="333">
        <v>250787.24569764</v>
      </c>
      <c r="E58" s="333">
        <v>20</v>
      </c>
      <c r="F58" s="333">
        <v>154207.191844007</v>
      </c>
    </row>
    <row r="59" spans="1:6">
      <c r="A59" s="1194" t="s">
        <v>49</v>
      </c>
      <c r="B59" s="1194" t="s">
        <v>52</v>
      </c>
      <c r="C59" s="333">
        <v>32</v>
      </c>
      <c r="D59" s="333">
        <v>903591.14958724298</v>
      </c>
      <c r="E59" s="333">
        <v>116</v>
      </c>
      <c r="F59" s="333">
        <v>3317599.0203901501</v>
      </c>
    </row>
    <row r="60" spans="1:6">
      <c r="A60" s="1194" t="s">
        <v>49</v>
      </c>
      <c r="B60" s="1194" t="s">
        <v>53</v>
      </c>
      <c r="C60" s="333">
        <v>22</v>
      </c>
      <c r="D60" s="333">
        <v>821218.57246959396</v>
      </c>
      <c r="E60" s="333">
        <v>40</v>
      </c>
      <c r="F60" s="333">
        <v>866272.69505593297</v>
      </c>
    </row>
    <row r="61" spans="1:6">
      <c r="A61" s="1194" t="s">
        <v>49</v>
      </c>
      <c r="B61" s="1194" t="s">
        <v>54</v>
      </c>
      <c r="C61" s="333">
        <v>45</v>
      </c>
      <c r="D61" s="333">
        <v>1160183.6527676899</v>
      </c>
      <c r="E61" s="333">
        <v>125</v>
      </c>
      <c r="F61" s="333">
        <v>1588665.8721179501</v>
      </c>
    </row>
    <row r="62" spans="1:6">
      <c r="A62" s="1194" t="s">
        <v>49</v>
      </c>
      <c r="B62" s="1194" t="s">
        <v>55</v>
      </c>
      <c r="C62" s="333">
        <v>0</v>
      </c>
      <c r="D62" s="333">
        <v>0</v>
      </c>
      <c r="E62" s="333">
        <v>3</v>
      </c>
      <c r="F62" s="333">
        <v>51633.573635335502</v>
      </c>
    </row>
    <row r="63" spans="1:6">
      <c r="A63" s="1194" t="s">
        <v>49</v>
      </c>
      <c r="B63" s="1194" t="s">
        <v>29</v>
      </c>
      <c r="C63" s="333">
        <v>50</v>
      </c>
      <c r="D63" s="333">
        <v>3122700.0905871498</v>
      </c>
      <c r="E63" s="333">
        <v>89</v>
      </c>
      <c r="F63" s="333">
        <v>5702734.2359716399</v>
      </c>
    </row>
    <row r="64" spans="1:6">
      <c r="A64" s="1194" t="s">
        <v>56</v>
      </c>
      <c r="B64" s="1194" t="s">
        <v>57</v>
      </c>
      <c r="C64" s="333">
        <v>0</v>
      </c>
      <c r="D64" s="333">
        <v>0</v>
      </c>
      <c r="E64" s="333">
        <v>0</v>
      </c>
      <c r="F64" s="333">
        <v>0</v>
      </c>
    </row>
    <row r="65" spans="1:6">
      <c r="A65" s="1194" t="s">
        <v>56</v>
      </c>
      <c r="B65" s="1194" t="s">
        <v>29</v>
      </c>
      <c r="C65" s="333">
        <v>0</v>
      </c>
      <c r="D65" s="333">
        <v>0</v>
      </c>
      <c r="E65" s="333">
        <v>3</v>
      </c>
      <c r="F65" s="333">
        <v>13820.9170896426</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112422.372991123</v>
      </c>
      <c r="E68" s="333">
        <v>15</v>
      </c>
      <c r="F68" s="333">
        <v>166513.52293335201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32662331</v>
      </c>
      <c r="E73" s="333">
        <v>43053589.514953502</v>
      </c>
      <c r="F73" s="333">
        <v>37590571</v>
      </c>
    </row>
    <row r="74" spans="1:6">
      <c r="A74" s="1194" t="s">
        <v>64</v>
      </c>
      <c r="B74" s="1194" t="s">
        <v>775</v>
      </c>
      <c r="C74" s="1205" t="s">
        <v>776</v>
      </c>
      <c r="D74" s="333">
        <v>4181382.8824337502</v>
      </c>
      <c r="E74" s="333">
        <v>5552210.8976107081</v>
      </c>
      <c r="F74" s="333">
        <v>4941583.9066494936</v>
      </c>
    </row>
    <row r="75" spans="1:6">
      <c r="A75" s="1194" t="s">
        <v>65</v>
      </c>
      <c r="B75" s="1194" t="s">
        <v>773</v>
      </c>
      <c r="C75" s="1205" t="s">
        <v>777</v>
      </c>
      <c r="D75" s="333">
        <v>15888066</v>
      </c>
      <c r="E75" s="333">
        <v>17588396.358399976</v>
      </c>
      <c r="F75" s="333">
        <v>17491982</v>
      </c>
    </row>
    <row r="76" spans="1:6">
      <c r="A76" s="1194" t="s">
        <v>65</v>
      </c>
      <c r="B76" s="1194" t="s">
        <v>775</v>
      </c>
      <c r="C76" s="1205" t="s">
        <v>778</v>
      </c>
      <c r="D76" s="333">
        <v>858792.88243375032</v>
      </c>
      <c r="E76" s="333">
        <v>882158.4544367058</v>
      </c>
      <c r="F76" s="333">
        <v>834922.9066494935</v>
      </c>
    </row>
    <row r="77" spans="1:6">
      <c r="A77" s="1194" t="s">
        <v>66</v>
      </c>
      <c r="B77" s="1194" t="s">
        <v>773</v>
      </c>
      <c r="C77" s="1205" t="s">
        <v>779</v>
      </c>
      <c r="D77" s="333">
        <v>63282218</v>
      </c>
      <c r="E77" s="333">
        <v>74475275.149950147</v>
      </c>
      <c r="F77" s="333">
        <v>68331216</v>
      </c>
    </row>
    <row r="78" spans="1:6">
      <c r="A78" s="1190" t="s">
        <v>66</v>
      </c>
      <c r="B78" s="1190" t="s">
        <v>775</v>
      </c>
      <c r="C78" s="1190" t="s">
        <v>780</v>
      </c>
      <c r="D78" s="1190">
        <v>9733088</v>
      </c>
      <c r="E78" s="1190">
        <v>11681004.559879586</v>
      </c>
      <c r="F78" s="336">
        <v>10718477</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317642.23513249931</v>
      </c>
      <c r="C83" s="333">
        <v>286180.48150023661</v>
      </c>
      <c r="D83" s="333">
        <v>283758.18670101301</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1680.7651577082813</v>
      </c>
    </row>
    <row r="92" spans="1:6">
      <c r="A92" s="1190" t="s">
        <v>69</v>
      </c>
      <c r="B92" s="336">
        <v>1453.1902200444051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1371</v>
      </c>
    </row>
    <row r="98" spans="1:6">
      <c r="A98" s="1194" t="s">
        <v>72</v>
      </c>
      <c r="B98" s="333">
        <v>0</v>
      </c>
    </row>
    <row r="99" spans="1:6">
      <c r="A99" s="1194" t="s">
        <v>73</v>
      </c>
      <c r="B99" s="333">
        <v>212</v>
      </c>
    </row>
    <row r="100" spans="1:6">
      <c r="A100" s="1194" t="s">
        <v>74</v>
      </c>
      <c r="B100" s="333">
        <v>316</v>
      </c>
    </row>
    <row r="101" spans="1:6">
      <c r="A101" s="1194" t="s">
        <v>75</v>
      </c>
      <c r="B101" s="333">
        <v>182</v>
      </c>
    </row>
    <row r="102" spans="1:6">
      <c r="A102" s="1194" t="s">
        <v>76</v>
      </c>
      <c r="B102" s="333">
        <v>54</v>
      </c>
    </row>
    <row r="103" spans="1:6">
      <c r="A103" s="1194" t="s">
        <v>77</v>
      </c>
      <c r="B103" s="333">
        <v>291</v>
      </c>
    </row>
    <row r="104" spans="1:6">
      <c r="A104" s="1194" t="s">
        <v>78</v>
      </c>
      <c r="B104" s="333">
        <v>1851</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5</v>
      </c>
    </row>
    <row r="124" spans="1:6">
      <c r="A124" s="1190" t="s">
        <v>89</v>
      </c>
      <c r="B124" s="333">
        <v>0</v>
      </c>
      <c r="C124" s="333">
        <v>2</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38</v>
      </c>
    </row>
    <row r="130" spans="1:6">
      <c r="A130" s="1194" t="s">
        <v>296</v>
      </c>
      <c r="B130" s="333">
        <v>0</v>
      </c>
    </row>
    <row r="131" spans="1:6">
      <c r="A131" s="1194" t="s">
        <v>297</v>
      </c>
      <c r="B131" s="333">
        <v>1</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123215.00683951919</v>
      </c>
      <c r="C3" s="43" t="s">
        <v>171</v>
      </c>
      <c r="D3" s="43"/>
      <c r="E3" s="156"/>
      <c r="F3" s="43"/>
      <c r="G3" s="43"/>
      <c r="H3" s="43"/>
      <c r="I3" s="43"/>
      <c r="J3" s="43"/>
      <c r="K3" s="96"/>
    </row>
    <row r="4" spans="1:11">
      <c r="A4" s="364" t="s">
        <v>172</v>
      </c>
      <c r="B4" s="49">
        <f>IF(ISERROR('SEAP template'!B69),0,'SEAP template'!B69)</f>
        <v>3133.9553777526862</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0.21537889786115563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1021.082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1021.082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0.21537889786115563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219.91951578586452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19586.810133532101</v>
      </c>
      <c r="C5" s="17">
        <f>IF(ISERROR('Eigen informatie GS &amp; warmtenet'!B57),0,'Eigen informatie GS &amp; warmtenet'!B57)</f>
        <v>0</v>
      </c>
      <c r="D5" s="30">
        <f>(SUM(HH_hh_gas_kWh,HH_rest_gas_kWh)/1000)*0.902</f>
        <v>32652.66642794801</v>
      </c>
      <c r="E5" s="17">
        <f>B46*B57</f>
        <v>7855.5323898870229</v>
      </c>
      <c r="F5" s="17">
        <f>B51*B62</f>
        <v>23449.685667077913</v>
      </c>
      <c r="G5" s="18"/>
      <c r="H5" s="17"/>
      <c r="I5" s="17"/>
      <c r="J5" s="17">
        <f>B50*B61+C50*C61</f>
        <v>5725.7352521645444</v>
      </c>
      <c r="K5" s="17"/>
      <c r="L5" s="17"/>
      <c r="M5" s="17"/>
      <c r="N5" s="17">
        <f>B48*B59+C48*C59</f>
        <v>19512.416231692532</v>
      </c>
      <c r="O5" s="17">
        <f>B69*B70*B71</f>
        <v>70.350000000000009</v>
      </c>
      <c r="P5" s="17">
        <f>B77*B78*B79/1000-B77*B78*B79/1000/B80</f>
        <v>114.4</v>
      </c>
    </row>
    <row r="6" spans="1:16">
      <c r="A6" s="16" t="s">
        <v>633</v>
      </c>
      <c r="B6" s="830">
        <f>kWh_PV_kleiner_dan_10kW</f>
        <v>1680.7651577082813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21267.57529124038</v>
      </c>
      <c r="C8" s="21">
        <f>C5</f>
        <v>0</v>
      </c>
      <c r="D8" s="21">
        <f>D5</f>
        <v>32652.66642794801</v>
      </c>
      <c r="E8" s="21">
        <f>E5</f>
        <v>7855.5323898870229</v>
      </c>
      <c r="F8" s="21">
        <f>F5</f>
        <v>23449.685667077913</v>
      </c>
      <c r="G8" s="21"/>
      <c r="H8" s="21"/>
      <c r="I8" s="21"/>
      <c r="J8" s="21">
        <f>J5</f>
        <v>5725.7352521645444</v>
      </c>
      <c r="K8" s="21"/>
      <c r="L8" s="21">
        <f>L5</f>
        <v>0</v>
      </c>
      <c r="M8" s="21">
        <f>M5</f>
        <v>0</v>
      </c>
      <c r="N8" s="21">
        <f>N5</f>
        <v>19512.416231692532</v>
      </c>
      <c r="O8" s="21">
        <f>O5</f>
        <v>70.350000000000009</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0.21537889786115563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4580.5869264064995</v>
      </c>
      <c r="C12" s="23">
        <f ca="1">C10*C8</f>
        <v>0</v>
      </c>
      <c r="D12" s="23">
        <f>D8*D10</f>
        <v>6595.8386184454985</v>
      </c>
      <c r="E12" s="23">
        <f>E10*E8</f>
        <v>1783.2058525043542</v>
      </c>
      <c r="F12" s="23">
        <f>F10*F8</f>
        <v>6261.0660731098033</v>
      </c>
      <c r="G12" s="23"/>
      <c r="H12" s="23"/>
      <c r="I12" s="23"/>
      <c r="J12" s="23">
        <f>J10*J8</f>
        <v>2026.9102792662486</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1371</v>
      </c>
      <c r="C18" s="167" t="s">
        <v>111</v>
      </c>
      <c r="D18" s="229"/>
      <c r="E18" s="15"/>
    </row>
    <row r="19" spans="1:7">
      <c r="A19" s="172" t="s">
        <v>72</v>
      </c>
      <c r="B19" s="37">
        <f>aantalw2001_ander</f>
        <v>0</v>
      </c>
      <c r="C19" s="167" t="s">
        <v>111</v>
      </c>
      <c r="D19" s="230"/>
      <c r="E19" s="15"/>
    </row>
    <row r="20" spans="1:7">
      <c r="A20" s="172" t="s">
        <v>73</v>
      </c>
      <c r="B20" s="37">
        <f>aantalw2001_propaan</f>
        <v>212</v>
      </c>
      <c r="C20" s="168">
        <f>IF(ISERROR(B20/SUM($B$20,$B$21,$B$22)*100),0,B20/SUM($B$20,$B$21,$B$22)*100)</f>
        <v>29.859154929577464</v>
      </c>
      <c r="D20" s="230"/>
      <c r="E20" s="15"/>
    </row>
    <row r="21" spans="1:7">
      <c r="A21" s="172" t="s">
        <v>74</v>
      </c>
      <c r="B21" s="37">
        <f>aantalw2001_elektriciteit</f>
        <v>316</v>
      </c>
      <c r="C21" s="168">
        <f>IF(ISERROR(B21/SUM($B$20,$B$21,$B$22)*100),0,B21/SUM($B$20,$B$21,$B$22)*100)</f>
        <v>44.507042253521128</v>
      </c>
      <c r="D21" s="230"/>
      <c r="E21" s="15"/>
    </row>
    <row r="22" spans="1:7">
      <c r="A22" s="172" t="s">
        <v>75</v>
      </c>
      <c r="B22" s="37">
        <f>aantalw2001_hout</f>
        <v>182</v>
      </c>
      <c r="C22" s="168">
        <f>IF(ISERROR(B22/SUM($B$20,$B$21,$B$22)*100),0,B22/SUM($B$20,$B$21,$B$22)*100)</f>
        <v>25.633802816901408</v>
      </c>
      <c r="D22" s="230"/>
      <c r="E22" s="15"/>
    </row>
    <row r="23" spans="1:7">
      <c r="A23" s="172" t="s">
        <v>76</v>
      </c>
      <c r="B23" s="37">
        <f>aantalw2001_niet_gespec</f>
        <v>54</v>
      </c>
      <c r="C23" s="167" t="s">
        <v>111</v>
      </c>
      <c r="D23" s="229"/>
      <c r="E23" s="15"/>
    </row>
    <row r="24" spans="1:7">
      <c r="A24" s="172" t="s">
        <v>77</v>
      </c>
      <c r="B24" s="37">
        <f>aantalw2001_steenkool</f>
        <v>291</v>
      </c>
      <c r="C24" s="167" t="s">
        <v>111</v>
      </c>
      <c r="D24" s="230"/>
      <c r="E24" s="15"/>
    </row>
    <row r="25" spans="1:7">
      <c r="A25" s="172" t="s">
        <v>78</v>
      </c>
      <c r="B25" s="37">
        <f>aantalw2001_stookolie</f>
        <v>1851</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4798</v>
      </c>
      <c r="C28" s="36"/>
      <c r="D28" s="229"/>
    </row>
    <row r="29" spans="1:7" s="15" customFormat="1">
      <c r="A29" s="231" t="s">
        <v>714</v>
      </c>
      <c r="B29" s="37">
        <f>SUM(HH_hh_gas_aantal,HH_rest_gas_aantal)</f>
        <v>2285</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2285</v>
      </c>
      <c r="C32" s="168">
        <f>IF(ISERROR(B32/SUM($B$32,$B$34,$B$35,$B$36,$B$38,$B$39)*100),0,B32/SUM($B$32,$B$34,$B$35,$B$36,$B$38,$B$39)*100)</f>
        <v>47.683639398998331</v>
      </c>
      <c r="D32" s="234"/>
      <c r="G32" s="15"/>
    </row>
    <row r="33" spans="1:7">
      <c r="A33" s="172" t="s">
        <v>72</v>
      </c>
      <c r="B33" s="34" t="s">
        <v>111</v>
      </c>
      <c r="C33" s="168"/>
      <c r="D33" s="234"/>
      <c r="G33" s="15"/>
    </row>
    <row r="34" spans="1:7">
      <c r="A34" s="172" t="s">
        <v>73</v>
      </c>
      <c r="B34" s="33">
        <f>IF((($B$28-$B$32-$B$39-$B$77-$B$38)*C20/100)&lt;0,0,($B$28-$B$32-$B$39-$B$77-$B$38)*C20/100)</f>
        <v>381.89859154929576</v>
      </c>
      <c r="C34" s="168">
        <f>IF(ISERROR(B34/SUM($B$32,$B$34,$B$35,$B$36,$B$38,$B$39)*100),0,B34/SUM($B$32,$B$34,$B$35,$B$36,$B$38,$B$39)*100)</f>
        <v>7.9695031625479089</v>
      </c>
      <c r="D34" s="234"/>
      <c r="G34" s="15"/>
    </row>
    <row r="35" spans="1:7">
      <c r="A35" s="172" t="s">
        <v>74</v>
      </c>
      <c r="B35" s="33">
        <f>IF((($B$28-$B$32-$B$39-$B$77-$B$38)*C21/100)&lt;0,0,($B$28-$B$32-$B$39-$B$77-$B$38)*C21/100)</f>
        <v>569.24507042253526</v>
      </c>
      <c r="C35" s="168">
        <f>IF(ISERROR(B35/SUM($B$32,$B$34,$B$35,$B$36,$B$38,$B$39)*100),0,B35/SUM($B$32,$B$34,$B$35,$B$36,$B$38,$B$39)*100)</f>
        <v>11.879070751722356</v>
      </c>
      <c r="D35" s="234"/>
      <c r="G35" s="15"/>
    </row>
    <row r="36" spans="1:7">
      <c r="A36" s="172" t="s">
        <v>75</v>
      </c>
      <c r="B36" s="33">
        <f>IF((($B$28-$B$32-$B$39-$B$77-$B$38)*C22/100)&lt;0,0,($B$28-$B$32-$B$39-$B$77-$B$38)*C22/100)</f>
        <v>327.85633802816898</v>
      </c>
      <c r="C36" s="168">
        <f>IF(ISERROR(B36/SUM($B$32,$B$34,$B$35,$B$36,$B$38,$B$39)*100),0,B36/SUM($B$32,$B$34,$B$35,$B$36,$B$38,$B$39)*100)</f>
        <v>6.8417432810552796</v>
      </c>
      <c r="D36" s="234"/>
      <c r="G36" s="15"/>
    </row>
    <row r="37" spans="1:7">
      <c r="A37" s="172" t="s">
        <v>76</v>
      </c>
      <c r="B37" s="34" t="s">
        <v>111</v>
      </c>
      <c r="C37" s="168"/>
      <c r="D37" s="174"/>
      <c r="G37" s="15"/>
    </row>
    <row r="38" spans="1:7">
      <c r="A38" s="172" t="s">
        <v>77</v>
      </c>
      <c r="B38" s="33">
        <f>IF((B24-(B29-B18)*0.1)&lt;0,0,B24-(B29-B18)*0.1)</f>
        <v>199.6</v>
      </c>
      <c r="C38" s="168">
        <f>IF(ISERROR(B38/SUM($B$32,$B$34,$B$35,$B$36,$B$38,$B$39)*100),0,B38/SUM($B$32,$B$34,$B$35,$B$36,$B$38,$B$39)*100)</f>
        <v>4.1652754590984973</v>
      </c>
      <c r="D38" s="235"/>
      <c r="G38" s="15"/>
    </row>
    <row r="39" spans="1:7">
      <c r="A39" s="172" t="s">
        <v>78</v>
      </c>
      <c r="B39" s="33">
        <f>IF((B25-(B29-B18))&lt;0,0,B25-(B29-B18)*0.9)</f>
        <v>1028.4000000000001</v>
      </c>
      <c r="C39" s="168">
        <f>IF(ISERROR(B39/SUM($B$32,$B$34,$B$35,$B$36,$B$38,$B$39)*100),0,B39/SUM($B$32,$B$34,$B$35,$B$36,$B$38,$B$39)*100)</f>
        <v>21.460767946577629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2285</v>
      </c>
      <c r="C44" s="34" t="s">
        <v>111</v>
      </c>
      <c r="D44" s="175"/>
    </row>
    <row r="45" spans="1:7">
      <c r="A45" s="172" t="s">
        <v>72</v>
      </c>
      <c r="B45" s="33" t="str">
        <f t="shared" si="0"/>
        <v>-</v>
      </c>
      <c r="C45" s="34" t="s">
        <v>111</v>
      </c>
      <c r="D45" s="175"/>
    </row>
    <row r="46" spans="1:7">
      <c r="A46" s="172" t="s">
        <v>73</v>
      </c>
      <c r="B46" s="33">
        <f t="shared" si="0"/>
        <v>381.89859154929576</v>
      </c>
      <c r="C46" s="34" t="s">
        <v>111</v>
      </c>
      <c r="D46" s="175"/>
    </row>
    <row r="47" spans="1:7">
      <c r="A47" s="172" t="s">
        <v>74</v>
      </c>
      <c r="B47" s="33">
        <f t="shared" si="0"/>
        <v>569.24507042253526</v>
      </c>
      <c r="C47" s="34" t="s">
        <v>111</v>
      </c>
      <c r="D47" s="175"/>
    </row>
    <row r="48" spans="1:7">
      <c r="A48" s="172" t="s">
        <v>75</v>
      </c>
      <c r="B48" s="33">
        <f t="shared" si="0"/>
        <v>327.85633802816898</v>
      </c>
      <c r="C48" s="33">
        <f>B48*10</f>
        <v>3278.5633802816897</v>
      </c>
      <c r="D48" s="235"/>
    </row>
    <row r="49" spans="1:6">
      <c r="A49" s="172" t="s">
        <v>76</v>
      </c>
      <c r="B49" s="33" t="str">
        <f t="shared" si="0"/>
        <v>-</v>
      </c>
      <c r="C49" s="34" t="s">
        <v>111</v>
      </c>
      <c r="D49" s="235"/>
    </row>
    <row r="50" spans="1:6">
      <c r="A50" s="172" t="s">
        <v>77</v>
      </c>
      <c r="B50" s="33">
        <f t="shared" si="0"/>
        <v>199.6</v>
      </c>
      <c r="C50" s="33">
        <f>B50*2</f>
        <v>399.2</v>
      </c>
      <c r="D50" s="235"/>
    </row>
    <row r="51" spans="1:6">
      <c r="A51" s="172" t="s">
        <v>78</v>
      </c>
      <c r="B51" s="33">
        <f t="shared" si="0"/>
        <v>1028.4000000000001</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13876.366843544176</v>
      </c>
      <c r="C5" s="17">
        <f>IF(ISERROR('Eigen informatie GS &amp; warmtenet'!B58),0,'Eigen informatie GS &amp; warmtenet'!B58)</f>
        <v>0</v>
      </c>
      <c r="D5" s="30">
        <f>SUM(D6:D12)</f>
        <v>11276.252209577046</v>
      </c>
      <c r="E5" s="17">
        <f>SUM(E6:E12)</f>
        <v>257.30350649671749</v>
      </c>
      <c r="F5" s="17">
        <f>SUM(F6:F12)</f>
        <v>2685.8944494940924</v>
      </c>
      <c r="G5" s="18"/>
      <c r="H5" s="17"/>
      <c r="I5" s="17"/>
      <c r="J5" s="17">
        <f>SUM(J6:J12)</f>
        <v>0</v>
      </c>
      <c r="K5" s="17"/>
      <c r="L5" s="17"/>
      <c r="M5" s="17"/>
      <c r="N5" s="17">
        <f>SUM(N6:N12)</f>
        <v>683.02022964298442</v>
      </c>
      <c r="O5" s="17">
        <f>B38*B39*B40</f>
        <v>0</v>
      </c>
      <c r="P5" s="17">
        <f>B46*B47*B48/1000-B46*B47*B48/1000/B49</f>
        <v>19.066666666666666</v>
      </c>
      <c r="R5" s="32"/>
    </row>
    <row r="6" spans="1:18">
      <c r="A6" s="32" t="s">
        <v>54</v>
      </c>
      <c r="B6" s="37">
        <f>B26</f>
        <v>1588.6658721179501</v>
      </c>
      <c r="C6" s="33"/>
      <c r="D6" s="37">
        <f>IF(ISERROR(TER_kantoor_gas_kWh/1000),0,TER_kantoor_gas_kWh/1000)*0.902</f>
        <v>1046.4856547964562</v>
      </c>
      <c r="E6" s="33">
        <f>$C$26*'E Balans VL '!I12/100/3.6*1000000</f>
        <v>55.60955493315722</v>
      </c>
      <c r="F6" s="33">
        <f>$C$26*('E Balans VL '!L12+'E Balans VL '!N12)/100/3.6*1000000</f>
        <v>240.87585453512469</v>
      </c>
      <c r="G6" s="34"/>
      <c r="H6" s="33"/>
      <c r="I6" s="33"/>
      <c r="J6" s="33">
        <f>$C$26*('E Balans VL '!D12+'E Balans VL '!E12)/100/3.6*1000000</f>
        <v>0</v>
      </c>
      <c r="K6" s="33"/>
      <c r="L6" s="33"/>
      <c r="M6" s="33"/>
      <c r="N6" s="33">
        <f>$C$26*'E Balans VL '!Y12/100/3.6*1000000</f>
        <v>12.279889952738406</v>
      </c>
      <c r="O6" s="33"/>
      <c r="P6" s="33"/>
      <c r="R6" s="32"/>
    </row>
    <row r="7" spans="1:18">
      <c r="A7" s="32" t="s">
        <v>53</v>
      </c>
      <c r="B7" s="37">
        <f t="shared" ref="B7:B12" si="0">B27</f>
        <v>866.27269505593301</v>
      </c>
      <c r="C7" s="33"/>
      <c r="D7" s="37">
        <f>IF(ISERROR(TER_horeca_gas_kWh/1000),0,TER_horeca_gas_kWh/1000)*0.902</f>
        <v>740.73915236757375</v>
      </c>
      <c r="E7" s="33">
        <f>$C$27*'E Balans VL '!I9/100/3.6*1000000</f>
        <v>48.86929862273918</v>
      </c>
      <c r="F7" s="33">
        <f>$C$27*('E Balans VL '!L9+'E Balans VL '!N9)/100/3.6*1000000</f>
        <v>150.90949749339021</v>
      </c>
      <c r="G7" s="34"/>
      <c r="H7" s="33"/>
      <c r="I7" s="33"/>
      <c r="J7" s="33">
        <f>$C$27*('E Balans VL '!D9+'E Balans VL '!E9)/100/3.6*1000000</f>
        <v>0</v>
      </c>
      <c r="K7" s="33"/>
      <c r="L7" s="33"/>
      <c r="M7" s="33"/>
      <c r="N7" s="33">
        <f>$C$27*'E Balans VL '!Y9/100/3.6*1000000</f>
        <v>0</v>
      </c>
      <c r="O7" s="33"/>
      <c r="P7" s="33"/>
      <c r="R7" s="32"/>
    </row>
    <row r="8" spans="1:18">
      <c r="A8" s="6" t="s">
        <v>52</v>
      </c>
      <c r="B8" s="37">
        <f t="shared" si="0"/>
        <v>3317.5990203901501</v>
      </c>
      <c r="C8" s="33"/>
      <c r="D8" s="37">
        <f>IF(ISERROR(TER_handel_gas_kWh/1000),0,TER_handel_gas_kWh/1000)*0.902</f>
        <v>815.03921692769313</v>
      </c>
      <c r="E8" s="33">
        <f>$C$28*'E Balans VL '!I13/100/3.6*1000000</f>
        <v>17.032216307511113</v>
      </c>
      <c r="F8" s="33">
        <f>$C$28*('E Balans VL '!L13+'E Balans VL '!N13)/100/3.6*1000000</f>
        <v>511.52250677700482</v>
      </c>
      <c r="G8" s="34"/>
      <c r="H8" s="33"/>
      <c r="I8" s="33"/>
      <c r="J8" s="33">
        <f>$C$28*('E Balans VL '!D13+'E Balans VL '!E13)/100/3.6*1000000</f>
        <v>0</v>
      </c>
      <c r="K8" s="33"/>
      <c r="L8" s="33"/>
      <c r="M8" s="33"/>
      <c r="N8" s="33">
        <f>$C$28*'E Balans VL '!Y13/100/3.6*1000000</f>
        <v>1.5516815585835313</v>
      </c>
      <c r="O8" s="33"/>
      <c r="P8" s="33"/>
      <c r="R8" s="32"/>
    </row>
    <row r="9" spans="1:18">
      <c r="A9" s="32" t="s">
        <v>51</v>
      </c>
      <c r="B9" s="37">
        <f t="shared" si="0"/>
        <v>154.20719184400701</v>
      </c>
      <c r="C9" s="33"/>
      <c r="D9" s="37">
        <f>IF(ISERROR(TER_gezond_gas_kWh/1000),0,TER_gezond_gas_kWh/1000)*0.902</f>
        <v>226.2100956192713</v>
      </c>
      <c r="E9" s="33">
        <f>$C$29*'E Balans VL '!I10/100/3.6*1000000</f>
        <v>6.3917782795080716E-2</v>
      </c>
      <c r="F9" s="33">
        <f>$C$29*('E Balans VL '!L10+'E Balans VL '!N10)/100/3.6*1000000</f>
        <v>37.979019725033488</v>
      </c>
      <c r="G9" s="34"/>
      <c r="H9" s="33"/>
      <c r="I9" s="33"/>
      <c r="J9" s="33">
        <f>$C$29*('E Balans VL '!D10+'E Balans VL '!E10)/100/3.6*1000000</f>
        <v>0</v>
      </c>
      <c r="K9" s="33"/>
      <c r="L9" s="33"/>
      <c r="M9" s="33"/>
      <c r="N9" s="33">
        <f>$C$29*'E Balans VL '!Y10/100/3.6*1000000</f>
        <v>1.332731819626106</v>
      </c>
      <c r="O9" s="33"/>
      <c r="P9" s="33"/>
      <c r="R9" s="32"/>
    </row>
    <row r="10" spans="1:18">
      <c r="A10" s="32" t="s">
        <v>50</v>
      </c>
      <c r="B10" s="37">
        <f t="shared" si="0"/>
        <v>2195.2542545291599</v>
      </c>
      <c r="C10" s="33"/>
      <c r="D10" s="37">
        <f>IF(ISERROR(TER_ander_gas_kWh/1000),0,TER_ander_gas_kWh/1000)*0.902</f>
        <v>5631.1026081564423</v>
      </c>
      <c r="E10" s="33">
        <f>$C$30*'E Balans VL '!I14/100/3.6*1000000</f>
        <v>13.382324098453809</v>
      </c>
      <c r="F10" s="33">
        <f>$C$30*('E Balans VL '!L14+'E Balans VL '!N14)/100/3.6*1000000</f>
        <v>581.99197444780066</v>
      </c>
      <c r="G10" s="34"/>
      <c r="H10" s="33"/>
      <c r="I10" s="33"/>
      <c r="J10" s="33">
        <f>$C$30*('E Balans VL '!D14+'E Balans VL '!E14)/100/3.6*1000000</f>
        <v>0</v>
      </c>
      <c r="K10" s="33"/>
      <c r="L10" s="33"/>
      <c r="M10" s="33"/>
      <c r="N10" s="33">
        <f>$C$30*'E Balans VL '!Y14/100/3.6*1000000</f>
        <v>505.95866971601714</v>
      </c>
      <c r="O10" s="33"/>
      <c r="P10" s="33"/>
      <c r="R10" s="32"/>
    </row>
    <row r="11" spans="1:18">
      <c r="A11" s="32" t="s">
        <v>55</v>
      </c>
      <c r="B11" s="37">
        <f t="shared" si="0"/>
        <v>51.633573635335502</v>
      </c>
      <c r="C11" s="33"/>
      <c r="D11" s="37">
        <f>IF(ISERROR(TER_onderwijs_gas_kWh/1000),0,TER_onderwijs_gas_kWh/1000)*0.902</f>
        <v>0</v>
      </c>
      <c r="E11" s="33">
        <f>$C$31*'E Balans VL '!I11/100/3.6*1000000</f>
        <v>3.9347471698707996E-2</v>
      </c>
      <c r="F11" s="33">
        <f>$C$31*('E Balans VL '!L11+'E Balans VL '!N11)/100/3.6*1000000</f>
        <v>37.364883520099056</v>
      </c>
      <c r="G11" s="34"/>
      <c r="H11" s="33"/>
      <c r="I11" s="33"/>
      <c r="J11" s="33">
        <f>$C$31*('E Balans VL '!D11+'E Balans VL '!E11)/100/3.6*1000000</f>
        <v>0</v>
      </c>
      <c r="K11" s="33"/>
      <c r="L11" s="33"/>
      <c r="M11" s="33"/>
      <c r="N11" s="33">
        <f>$C$31*'E Balans VL '!Y11/100/3.6*1000000</f>
        <v>0.15217648170256987</v>
      </c>
      <c r="O11" s="33"/>
      <c r="P11" s="33"/>
      <c r="R11" s="32"/>
    </row>
    <row r="12" spans="1:18">
      <c r="A12" s="32" t="s">
        <v>261</v>
      </c>
      <c r="B12" s="37">
        <f t="shared" si="0"/>
        <v>5702.7342359716395</v>
      </c>
      <c r="C12" s="33"/>
      <c r="D12" s="37">
        <f>IF(ISERROR(TER_rest_gas_kWh/1000),0,TER_rest_gas_kWh/1000)*0.902</f>
        <v>2816.6754817096094</v>
      </c>
      <c r="E12" s="33">
        <f>$C$32*'E Balans VL '!I8/100/3.6*1000000</f>
        <v>122.30684728036239</v>
      </c>
      <c r="F12" s="33">
        <f>$C$32*('E Balans VL '!L8+'E Balans VL '!N8)/100/3.6*1000000</f>
        <v>1125.2507129956396</v>
      </c>
      <c r="G12" s="34"/>
      <c r="H12" s="33"/>
      <c r="I12" s="33"/>
      <c r="J12" s="33">
        <f>$C$32*('E Balans VL '!D8+'E Balans VL '!E8)/100/3.6*1000000</f>
        <v>0</v>
      </c>
      <c r="K12" s="33"/>
      <c r="L12" s="33"/>
      <c r="M12" s="33"/>
      <c r="N12" s="33">
        <f>$C$32*'E Balans VL '!Y8/100/3.6*1000000</f>
        <v>161.74508011431672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13876.366843544176</v>
      </c>
      <c r="C16" s="21">
        <f ca="1">C5+C13+C14</f>
        <v>0</v>
      </c>
      <c r="D16" s="21">
        <f t="shared" ref="D16:N16" ca="1" si="1">MAX((D5+D13+D14),0)</f>
        <v>11276.252209577046</v>
      </c>
      <c r="E16" s="21">
        <f t="shared" si="1"/>
        <v>257.30350649671749</v>
      </c>
      <c r="F16" s="21">
        <f t="shared" ca="1" si="1"/>
        <v>2685.8944494940924</v>
      </c>
      <c r="G16" s="21">
        <f t="shared" si="1"/>
        <v>0</v>
      </c>
      <c r="H16" s="21">
        <f t="shared" si="1"/>
        <v>0</v>
      </c>
      <c r="I16" s="21">
        <f t="shared" si="1"/>
        <v>0</v>
      </c>
      <c r="J16" s="21">
        <f t="shared" si="1"/>
        <v>0</v>
      </c>
      <c r="K16" s="21">
        <f t="shared" si="1"/>
        <v>0</v>
      </c>
      <c r="L16" s="21">
        <f t="shared" ca="1" si="1"/>
        <v>0</v>
      </c>
      <c r="M16" s="21">
        <f t="shared" si="1"/>
        <v>0</v>
      </c>
      <c r="N16" s="21">
        <f t="shared" ca="1" si="1"/>
        <v>683.02022964298442</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0.21537889786115563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2988.6765970796278</v>
      </c>
      <c r="C20" s="23">
        <f t="shared" ref="C20:P20" ca="1" si="2">C16*C18</f>
        <v>0</v>
      </c>
      <c r="D20" s="23">
        <f t="shared" ca="1" si="2"/>
        <v>2277.8029463345633</v>
      </c>
      <c r="E20" s="23">
        <f t="shared" si="2"/>
        <v>58.407895974754872</v>
      </c>
      <c r="F20" s="23">
        <f t="shared" ca="1" si="2"/>
        <v>717.13381801492267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1588.6658721179501</v>
      </c>
      <c r="C26" s="39">
        <f>IF(ISERROR(B26*3.6/1000000/'E Balans VL '!Z12*100),0,B26*3.6/1000000/'E Balans VL '!Z12*100)</f>
        <v>3.343083867468636E-2</v>
      </c>
      <c r="D26" s="238" t="s">
        <v>720</v>
      </c>
      <c r="F26" s="6"/>
    </row>
    <row r="27" spans="1:18">
      <c r="A27" s="232" t="s">
        <v>53</v>
      </c>
      <c r="B27" s="33">
        <f>IF(ISERROR(TER_horeca_ele_kWh/1000),0,TER_horeca_ele_kWh/1000)</f>
        <v>866.27269505593301</v>
      </c>
      <c r="C27" s="39">
        <f>IF(ISERROR(B27*3.6/1000000/'E Balans VL '!Z9*100),0,B27*3.6/1000000/'E Balans VL '!Z9*100)</f>
        <v>7.334487488665499E-2</v>
      </c>
      <c r="D27" s="238" t="s">
        <v>720</v>
      </c>
      <c r="F27" s="6"/>
    </row>
    <row r="28" spans="1:18">
      <c r="A28" s="172" t="s">
        <v>52</v>
      </c>
      <c r="B28" s="33">
        <f>IF(ISERROR(TER_handel_ele_kWh/1000),0,TER_handel_ele_kWh/1000)</f>
        <v>3317.5990203901501</v>
      </c>
      <c r="C28" s="39">
        <f>IF(ISERROR(B28*3.6/1000000/'E Balans VL '!Z13*100),0,B28*3.6/1000000/'E Balans VL '!Z13*100)</f>
        <v>9.1847270125074723E-2</v>
      </c>
      <c r="D28" s="238" t="s">
        <v>720</v>
      </c>
      <c r="F28" s="6"/>
    </row>
    <row r="29" spans="1:18">
      <c r="A29" s="232" t="s">
        <v>51</v>
      </c>
      <c r="B29" s="33">
        <f>IF(ISERROR(TER_gezond_ele_kWh/1000),0,TER_gezond_ele_kWh/1000)</f>
        <v>154.20719184400701</v>
      </c>
      <c r="C29" s="39">
        <f>IF(ISERROR(B29*3.6/1000000/'E Balans VL '!Z10*100),0,B29*3.6/1000000/'E Balans VL '!Z10*100)</f>
        <v>2.0045225353679162E-2</v>
      </c>
      <c r="D29" s="238" t="s">
        <v>720</v>
      </c>
      <c r="F29" s="6"/>
    </row>
    <row r="30" spans="1:18">
      <c r="A30" s="232" t="s">
        <v>50</v>
      </c>
      <c r="B30" s="33">
        <f>IF(ISERROR(TER_ander_ele_kWh/1000),0,TER_ander_ele_kWh/1000)</f>
        <v>2195.2542545291599</v>
      </c>
      <c r="C30" s="39">
        <f>IF(ISERROR(B30*3.6/1000000/'E Balans VL '!Z14*100),0,B30*3.6/1000000/'E Balans VL '!Z14*100)</f>
        <v>0.1701523367454294</v>
      </c>
      <c r="D30" s="238" t="s">
        <v>720</v>
      </c>
      <c r="F30" s="6"/>
    </row>
    <row r="31" spans="1:18">
      <c r="A31" s="232" t="s">
        <v>55</v>
      </c>
      <c r="B31" s="33">
        <f>IF(ISERROR(TER_onderwijs_ele_kWh/1000),0,TER_onderwijs_ele_kWh/1000)</f>
        <v>51.633573635335502</v>
      </c>
      <c r="C31" s="39">
        <f>IF(ISERROR(B31*3.6/1000000/'E Balans VL '!Z11*100),0,B31*3.6/1000000/'E Balans VL '!Z11*100)</f>
        <v>9.8783824539156045E-3</v>
      </c>
      <c r="D31" s="238" t="s">
        <v>720</v>
      </c>
    </row>
    <row r="32" spans="1:18">
      <c r="A32" s="232" t="s">
        <v>261</v>
      </c>
      <c r="B32" s="33">
        <f>IF(ISERROR(TER_rest_ele_kWh/1000),0,TER_rest_ele_kWh/1000)</f>
        <v>5702.7342359716395</v>
      </c>
      <c r="C32" s="39">
        <f>IF(ISERROR(B32*3.6/1000000/'E Balans VL '!Z8*100),0,B32*3.6/1000000/'E Balans VL '!Z8*100)</f>
        <v>4.7023422993959021E-2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80077.655350920191</v>
      </c>
      <c r="C5" s="17">
        <f>IF(ISERROR('Eigen informatie GS &amp; warmtenet'!B59),0,'Eigen informatie GS &amp; warmtenet'!B59)</f>
        <v>0</v>
      </c>
      <c r="D5" s="30">
        <f>SUM(D6:D15)</f>
        <v>61720.300962514579</v>
      </c>
      <c r="E5" s="17">
        <f>SUM(E6:E15)</f>
        <v>772.8976096712172</v>
      </c>
      <c r="F5" s="17">
        <f>SUM(F6:F15)</f>
        <v>12111.975878897862</v>
      </c>
      <c r="G5" s="18"/>
      <c r="H5" s="17"/>
      <c r="I5" s="17"/>
      <c r="J5" s="17">
        <f>SUM(J6:J15)</f>
        <v>405.11654251394293</v>
      </c>
      <c r="K5" s="17"/>
      <c r="L5" s="17"/>
      <c r="M5" s="17"/>
      <c r="N5" s="17">
        <f>SUM(N6:N15)</f>
        <v>1079.4360510082006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1056.0109235052398</v>
      </c>
      <c r="C8" s="33"/>
      <c r="D8" s="37">
        <f>IF( ISERROR(IND_metaal_Gas_kWH/1000),0,IND_metaal_Gas_kWH/1000)*0.902</f>
        <v>93.664510293098061</v>
      </c>
      <c r="E8" s="33">
        <f>C30*'E Balans VL '!I18/100/3.6*1000000</f>
        <v>7.42035576122991</v>
      </c>
      <c r="F8" s="33">
        <f>C30*'E Balans VL '!L18/100/3.6*1000000+C30*'E Balans VL '!N18/100/3.6*1000000</f>
        <v>115.94382112885454</v>
      </c>
      <c r="G8" s="34"/>
      <c r="H8" s="33"/>
      <c r="I8" s="33"/>
      <c r="J8" s="40">
        <f>C30*'E Balans VL '!D18/100/3.6*1000000+C30*'E Balans VL '!E18/100/3.6*1000000</f>
        <v>21.787781469169193</v>
      </c>
      <c r="K8" s="33"/>
      <c r="L8" s="33"/>
      <c r="M8" s="33"/>
      <c r="N8" s="33">
        <f>C30*'E Balans VL '!Y18/100/3.6*1000000</f>
        <v>3.9580049951227729</v>
      </c>
      <c r="O8" s="33"/>
      <c r="P8" s="33"/>
      <c r="R8" s="32"/>
    </row>
    <row r="9" spans="1:18">
      <c r="A9" s="6" t="s">
        <v>33</v>
      </c>
      <c r="B9" s="37">
        <f t="shared" si="0"/>
        <v>878.52553855354392</v>
      </c>
      <c r="C9" s="33"/>
      <c r="D9" s="37">
        <f>IF( ISERROR(IND_andere_gas_kWh/1000),0,IND_andere_gas_kWh/1000)*0.902</f>
        <v>799.6533380770602</v>
      </c>
      <c r="E9" s="33">
        <f>C31*'E Balans VL '!I19/100/3.6*1000000</f>
        <v>14.755912648153551</v>
      </c>
      <c r="F9" s="33">
        <f>C31*'E Balans VL '!L19/100/3.6*1000000+C31*'E Balans VL '!N19/100/3.6*1000000</f>
        <v>686.7812289626321</v>
      </c>
      <c r="G9" s="34"/>
      <c r="H9" s="33"/>
      <c r="I9" s="33"/>
      <c r="J9" s="40">
        <f>C31*'E Balans VL '!D19/100/3.6*1000000+C31*'E Balans VL '!E19/100/3.6*1000000</f>
        <v>7.9235248494444327E-2</v>
      </c>
      <c r="K9" s="33"/>
      <c r="L9" s="33"/>
      <c r="M9" s="33"/>
      <c r="N9" s="33">
        <f>C31*'E Balans VL '!Y19/100/3.6*1000000</f>
        <v>65.11283710822471</v>
      </c>
      <c r="O9" s="33"/>
      <c r="P9" s="33"/>
      <c r="R9" s="32"/>
    </row>
    <row r="10" spans="1:18">
      <c r="A10" s="6" t="s">
        <v>41</v>
      </c>
      <c r="B10" s="37">
        <f t="shared" si="0"/>
        <v>5169.3612079389195</v>
      </c>
      <c r="C10" s="33"/>
      <c r="D10" s="37">
        <f>IF( ISERROR(IND_voed_gas_kWh/1000),0,IND_voed_gas_kWh/1000)*0.902</f>
        <v>218.74648901477087</v>
      </c>
      <c r="E10" s="33">
        <f>C32*'E Balans VL '!I20/100/3.6*1000000</f>
        <v>47.163103533288009</v>
      </c>
      <c r="F10" s="33">
        <f>C32*'E Balans VL '!L20/100/3.6*1000000+C32*'E Balans VL '!N20/100/3.6*1000000</f>
        <v>833.97965099681187</v>
      </c>
      <c r="G10" s="34"/>
      <c r="H10" s="33"/>
      <c r="I10" s="33"/>
      <c r="J10" s="40">
        <f>C32*'E Balans VL '!D20/100/3.6*1000000+C32*'E Balans VL '!E20/100/3.6*1000000</f>
        <v>21.290818651554762</v>
      </c>
      <c r="K10" s="33"/>
      <c r="L10" s="33"/>
      <c r="M10" s="33"/>
      <c r="N10" s="33">
        <f>C32*'E Balans VL '!Y20/100/3.6*1000000</f>
        <v>75.623678316432276</v>
      </c>
      <c r="O10" s="33"/>
      <c r="P10" s="33"/>
      <c r="R10" s="32"/>
    </row>
    <row r="11" spans="1:18">
      <c r="A11" s="6" t="s">
        <v>40</v>
      </c>
      <c r="B11" s="37">
        <f t="shared" si="0"/>
        <v>17595.999751177798</v>
      </c>
      <c r="C11" s="33"/>
      <c r="D11" s="37">
        <f>IF( ISERROR(IND_textiel_gas_kWh/1000),0,IND_textiel_gas_kWh/1000)*0.902</f>
        <v>0</v>
      </c>
      <c r="E11" s="33">
        <f>C33*'E Balans VL '!I21/100/3.6*1000000</f>
        <v>40.133211514032311</v>
      </c>
      <c r="F11" s="33">
        <f>C33*'E Balans VL '!L21/100/3.6*1000000+C33*'E Balans VL '!N21/100/3.6*1000000</f>
        <v>376.13081489766972</v>
      </c>
      <c r="G11" s="34"/>
      <c r="H11" s="33"/>
      <c r="I11" s="33"/>
      <c r="J11" s="40">
        <f>C33*'E Balans VL '!D21/100/3.6*1000000+C33*'E Balans VL '!E21/100/3.6*1000000</f>
        <v>0</v>
      </c>
      <c r="K11" s="33"/>
      <c r="L11" s="33"/>
      <c r="M11" s="33"/>
      <c r="N11" s="33">
        <f>C33*'E Balans VL '!Y21/100/3.6*1000000</f>
        <v>124.82364836652039</v>
      </c>
      <c r="O11" s="33"/>
      <c r="P11" s="33"/>
      <c r="R11" s="32"/>
    </row>
    <row r="12" spans="1:18">
      <c r="A12" s="6" t="s">
        <v>37</v>
      </c>
      <c r="B12" s="37">
        <f t="shared" si="0"/>
        <v>10371.9610095601</v>
      </c>
      <c r="C12" s="33"/>
      <c r="D12" s="37">
        <f>IF( ISERROR(IND_min_gas_kWh/1000),0,IND_min_gas_kWh/1000)*0.902</f>
        <v>0</v>
      </c>
      <c r="E12" s="33">
        <f>C34*'E Balans VL '!I22/100/3.6*1000000</f>
        <v>257.25835278346398</v>
      </c>
      <c r="F12" s="33">
        <f>C34*'E Balans VL '!L22/100/3.6*1000000+C34*'E Balans VL '!N22/100/3.6*1000000</f>
        <v>1102.1201687536395</v>
      </c>
      <c r="G12" s="34"/>
      <c r="H12" s="33"/>
      <c r="I12" s="33"/>
      <c r="J12" s="40">
        <f>C34*'E Balans VL '!D22/100/3.6*1000000+C34*'E Balans VL '!E22/100/3.6*1000000</f>
        <v>58.918824408983916</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45005.796920184599</v>
      </c>
      <c r="C15" s="33"/>
      <c r="D15" s="37">
        <f>IF( ISERROR(IND_rest_gas_kWh/1000),0,IND_rest_gas_kWh/1000)*0.902</f>
        <v>60608.236625129648</v>
      </c>
      <c r="E15" s="33">
        <f>C37*'E Balans VL '!I15/100/3.6*1000000</f>
        <v>406.16667343104945</v>
      </c>
      <c r="F15" s="33">
        <f>C37*'E Balans VL '!L15/100/3.6*1000000+C37*'E Balans VL '!N15/100/3.6*1000000</f>
        <v>8997.0201941582545</v>
      </c>
      <c r="G15" s="34"/>
      <c r="H15" s="33"/>
      <c r="I15" s="33"/>
      <c r="J15" s="40">
        <f>C37*'E Balans VL '!D15/100/3.6*1000000+C37*'E Balans VL '!E15/100/3.6*1000000</f>
        <v>303.0398827357406</v>
      </c>
      <c r="K15" s="33"/>
      <c r="L15" s="33"/>
      <c r="M15" s="33"/>
      <c r="N15" s="33">
        <f>C37*'E Balans VL '!Y15/100/3.6*1000000</f>
        <v>809.91788222190041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80077.655350920191</v>
      </c>
      <c r="C18" s="21">
        <f>C5+C16</f>
        <v>0</v>
      </c>
      <c r="D18" s="21">
        <f>MAX((D5+D16),0)</f>
        <v>61720.300962514579</v>
      </c>
      <c r="E18" s="21">
        <f>MAX((E5+E16),0)</f>
        <v>772.8976096712172</v>
      </c>
      <c r="F18" s="21">
        <f>MAX((F5+F16),0)</f>
        <v>12111.975878897862</v>
      </c>
      <c r="G18" s="21"/>
      <c r="H18" s="21"/>
      <c r="I18" s="21"/>
      <c r="J18" s="21">
        <f>MAX((J5+J16),0)</f>
        <v>405.11654251394293</v>
      </c>
      <c r="K18" s="21"/>
      <c r="L18" s="21">
        <f>MAX((L5+L16),0)</f>
        <v>0</v>
      </c>
      <c r="M18" s="21"/>
      <c r="N18" s="21">
        <f>MAX((N5+N16),0)</f>
        <v>1079.4360510082006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0.21537889786115563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17247.037152786663</v>
      </c>
      <c r="C22" s="23">
        <f ca="1">C18*C20</f>
        <v>0</v>
      </c>
      <c r="D22" s="23">
        <f>D18*D20</f>
        <v>12467.500794427946</v>
      </c>
      <c r="E22" s="23">
        <f>E18*E20</f>
        <v>175.4477573953663</v>
      </c>
      <c r="F22" s="23">
        <f>F18*F20</f>
        <v>3233.8975596657292</v>
      </c>
      <c r="G22" s="23"/>
      <c r="H22" s="23"/>
      <c r="I22" s="23"/>
      <c r="J22" s="23">
        <f>J18*J20</f>
        <v>143.41125604993579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1056.0109235052398</v>
      </c>
      <c r="C30" s="39">
        <f>IF(ISERROR(B30*3.6/1000000/'E Balans VL '!Z18*100),0,B30*3.6/1000000/'E Balans VL '!Z18*100)</f>
        <v>7.0299292032051361E-2</v>
      </c>
      <c r="D30" s="238" t="s">
        <v>720</v>
      </c>
    </row>
    <row r="31" spans="1:18">
      <c r="A31" s="6" t="s">
        <v>33</v>
      </c>
      <c r="B31" s="37">
        <f>IF( ISERROR(IND_ander_ele_kWh/1000),0,IND_ander_ele_kWh/1000)</f>
        <v>878.52553855354392</v>
      </c>
      <c r="C31" s="39">
        <f>IF(ISERROR(B31*3.6/1000000/'E Balans VL '!Z19*100),0,B31*3.6/1000000/'E Balans VL '!Z19*100)</f>
        <v>3.8941555574061378E-2</v>
      </c>
      <c r="D31" s="238" t="s">
        <v>720</v>
      </c>
    </row>
    <row r="32" spans="1:18">
      <c r="A32" s="172" t="s">
        <v>41</v>
      </c>
      <c r="B32" s="37">
        <f>IF( ISERROR(IND_voed_ele_kWh/1000),0,IND_voed_ele_kWh/1000)</f>
        <v>5169.3612079389195</v>
      </c>
      <c r="C32" s="39">
        <f>IF(ISERROR(B32*3.6/1000000/'E Balans VL '!Z20*100),0,B32*3.6/1000000/'E Balans VL '!Z20*100)</f>
        <v>0.17267149332322065</v>
      </c>
      <c r="D32" s="238" t="s">
        <v>720</v>
      </c>
    </row>
    <row r="33" spans="1:5">
      <c r="A33" s="172" t="s">
        <v>40</v>
      </c>
      <c r="B33" s="37">
        <f>IF( ISERROR(IND_textiel_ele_kWh/1000),0,IND_textiel_ele_kWh/1000)</f>
        <v>17595.999751177798</v>
      </c>
      <c r="C33" s="39">
        <f>IF(ISERROR(B33*3.6/1000000/'E Balans VL '!Z21*100),0,B33*3.6/1000000/'E Balans VL '!Z21*100)</f>
        <v>2.3165539443214431</v>
      </c>
      <c r="D33" s="238" t="s">
        <v>720</v>
      </c>
    </row>
    <row r="34" spans="1:5">
      <c r="A34" s="172" t="s">
        <v>37</v>
      </c>
      <c r="B34" s="37">
        <f>IF( ISERROR(IND_min_ele_kWh/1000),0,IND_min_ele_kWh/1000)</f>
        <v>10371.9610095601</v>
      </c>
      <c r="C34" s="39">
        <f>IF(ISERROR(B34*3.6/1000000/'E Balans VL '!Z22*100),0,B34*3.6/1000000/'E Balans VL '!Z22*100)</f>
        <v>2.0172324868438949</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45005.796920184599</v>
      </c>
      <c r="C37" s="39">
        <f>IF(ISERROR(B37*3.6/1000000/'E Balans VL '!Z15*100),0,B37*3.6/1000000/'E Balans VL '!Z15*100)</f>
        <v>0.33476980837119191</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6971.4344790495197</v>
      </c>
      <c r="C5" s="17">
        <f>'Eigen informatie GS &amp; warmtenet'!B60</f>
        <v>0</v>
      </c>
      <c r="D5" s="30">
        <f>IF(ISERROR(SUM(LB_lb_gas_kWh,LB_rest_gas_kWh,onbekend_gas_kWh)/1000),0,SUM(LB_lb_gas_kWh,LB_rest_gas_kWh,onbekend_gas_kWh)/1000)*0.902</f>
        <v>3046.4664255321859</v>
      </c>
      <c r="E5" s="17">
        <f>B17*'E Balans VL '!I25/3.6*1000000/100</f>
        <v>73.006371118624259</v>
      </c>
      <c r="F5" s="17">
        <f>B17*('E Balans VL '!L25/3.6*1000000+'E Balans VL '!N25/3.6*1000000)/100</f>
        <v>35806.397505946705</v>
      </c>
      <c r="G5" s="18"/>
      <c r="H5" s="17"/>
      <c r="I5" s="17"/>
      <c r="J5" s="17">
        <f>('E Balans VL '!D25+'E Balans VL '!E25)/3.6*1000000*landbouw!B17/100</f>
        <v>622.61158501234831</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6971.4344790495197</v>
      </c>
      <c r="C8" s="21">
        <f>C5+C6</f>
        <v>0</v>
      </c>
      <c r="D8" s="21">
        <f>MAX((D5+D6),0)</f>
        <v>3046.4664255321859</v>
      </c>
      <c r="E8" s="21">
        <f>MAX((E5+E6),0)</f>
        <v>73.006371118624259</v>
      </c>
      <c r="F8" s="21">
        <f>MAX((F5+F6),0)</f>
        <v>35806.397505946705</v>
      </c>
      <c r="G8" s="21"/>
      <c r="H8" s="21"/>
      <c r="I8" s="21"/>
      <c r="J8" s="21">
        <f>MAX((J5+J6),0)</f>
        <v>622.61158501234831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0.21537889786115563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1501.4998746089452</v>
      </c>
      <c r="C12" s="23">
        <f ca="1">C8*C10</f>
        <v>0</v>
      </c>
      <c r="D12" s="23">
        <f>D8*D10</f>
        <v>615.38621795750157</v>
      </c>
      <c r="E12" s="23">
        <f>E8*E10</f>
        <v>16.572446243927708</v>
      </c>
      <c r="F12" s="23">
        <f>F8*F10</f>
        <v>9560.3081340877707</v>
      </c>
      <c r="G12" s="23"/>
      <c r="H12" s="23"/>
      <c r="I12" s="23"/>
      <c r="J12" s="23">
        <f>J8*J10</f>
        <v>220.40450109437128</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1.0730383398801493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807.36428667256132</v>
      </c>
      <c r="C26" s="248">
        <f>B26*'GWP N2O_CH4'!B5</f>
        <v>16954.650020123787</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594.44824944016227</v>
      </c>
      <c r="C27" s="248">
        <f>B27*'GWP N2O_CH4'!B5</f>
        <v>12483.413238243407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11.760718140033671</v>
      </c>
      <c r="C28" s="248">
        <f>B28*'GWP N2O_CH4'!B4</f>
        <v>3645.8226234104377</v>
      </c>
      <c r="D28" s="50"/>
    </row>
    <row r="29" spans="1:4">
      <c r="A29" s="41" t="s">
        <v>278</v>
      </c>
      <c r="B29" s="248">
        <f>B34*'ha_N2O bodem landbouw'!B4</f>
        <v>45.81304156669858</v>
      </c>
      <c r="C29" s="248">
        <f>B29*'GWP N2O_CH4'!B4</f>
        <v>14202.042885676559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7.5712068134913789E-3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3.2143491537102615E-6</v>
      </c>
      <c r="C5" s="446" t="s">
        <v>212</v>
      </c>
      <c r="D5" s="431">
        <f>SUM(D6:D11)</f>
        <v>1.5702670599234877E-5</v>
      </c>
      <c r="E5" s="431">
        <f>SUM(E6:E11)</f>
        <v>1.8147719605095735E-3</v>
      </c>
      <c r="F5" s="444" t="s">
        <v>212</v>
      </c>
      <c r="G5" s="431">
        <f>SUM(G6:G11)</f>
        <v>0.34865797717451452</v>
      </c>
      <c r="H5" s="431">
        <f>SUM(H6:H11)</f>
        <v>5.3926477080170551E-2</v>
      </c>
      <c r="I5" s="446" t="s">
        <v>212</v>
      </c>
      <c r="J5" s="446" t="s">
        <v>212</v>
      </c>
      <c r="K5" s="446" t="s">
        <v>212</v>
      </c>
      <c r="L5" s="446" t="s">
        <v>212</v>
      </c>
      <c r="M5" s="431">
        <f>SUM(M6:M11)</f>
        <v>1.7550764348591937E-2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9.3879711216673645E-7</v>
      </c>
      <c r="C6" s="432"/>
      <c r="D6" s="432">
        <f>vkm_2011_GW_PW*SUMIFS(TableVerdeelsleutelVkm[CNG],TableVerdeelsleutelVkm[Voertuigtype],"Lichte voertuigen")*SUMIFS(TableECFTransport[EnergieConsumptieFactor (PJ per km)],TableECFTransport[Index],CONCATENATE($A6,"_CNG_CNG"))</f>
        <v>4.0470452248949683E-6</v>
      </c>
      <c r="E6" s="434">
        <f>vkm_2011_GW_PW*SUMIFS(TableVerdeelsleutelVkm[LPG],TableVerdeelsleutelVkm[Voertuigtype],"Lichte voertuigen")*SUMIFS(TableECFTransport[EnergieConsumptieFactor (PJ per km)],TableECFTransport[Index],CONCATENATE($A6,"_LPG_LPG"))</f>
        <v>4.2107022350200158E-4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5.1792793445940524E-2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1.3635969211217975E-2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2.8674020571456652E-3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3.9103097915622685E-2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1.3407910398329288E-5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1.6891805634546E-3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4.5666276784453965E-7</v>
      </c>
      <c r="C8" s="432"/>
      <c r="D8" s="434">
        <f>vkm_2011_NGW_PW*SUMIFS(TableVerdeelsleutelVkm[CNG],TableVerdeelsleutelVkm[Voertuigtype],"Lichte voertuigen")*SUMIFS(TableECFTransport[EnergieConsumptieFactor (PJ per km)],TableECFTransport[Index],CONCATENATE($A8,"_CNG_CNG"))</f>
        <v>3.5317524265808192E-6</v>
      </c>
      <c r="E8" s="434">
        <f>vkm_2011_NGW_PW*SUMIFS(TableVerdeelsleutelVkm[LPG],TableVerdeelsleutelVkm[Voertuigtype],"Lichte voertuigen")*SUMIFS(TableECFTransport[EnergieConsumptieFactor (PJ per km)],TableECFTransport[Index],CONCATENATE($A8,"_LPG_LPG"))</f>
        <v>3.3551564998301011E-4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3.9143035025846158E-2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1.1359132647884497E-2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2.2158183667178801E-3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1.115959469008288E-2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3.3241500835829287E-6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4.8205034116390993E-4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1.8188892736989856E-6</v>
      </c>
      <c r="C10" s="432"/>
      <c r="D10" s="434">
        <f>vkm_2011_SW_PW*SUMIFS(TableVerdeelsleutelVkm[CNG],TableVerdeelsleutelVkm[Voertuigtype],"Lichte voertuigen")*SUMIFS(TableECFTransport[EnergieConsumptieFactor (PJ per km)],TableECFTransport[Index],CONCATENATE($A10,"_CNG_CNG"))</f>
        <v>8.1238729477590902E-6</v>
      </c>
      <c r="E10" s="434">
        <f>vkm_2011_SW_PW*SUMIFS(TableVerdeelsleutelVkm[LPG],TableVerdeelsleutelVkm[Voertuigtype],"Lichte voertuigen")*SUMIFS(TableECFTransport[EnergieConsumptieFactor (PJ per km)],TableECFTransport[Index],CONCATENATE($A10,"_LPG_LPG"))</f>
        <v>1.0581860870245618E-3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0.11966116464611128</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2.8882522543159921E-2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6.5034980733346889E-3</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8.7798291450911004E-2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3.2120617426244027E-5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3.7928149467751898E-3</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0.89287476491951701</v>
      </c>
      <c r="C14" s="21"/>
      <c r="D14" s="21">
        <f t="shared" ref="D14:M14" si="0">((D5)*10^9/3600)+D12</f>
        <v>4.3618529442319103</v>
      </c>
      <c r="E14" s="21">
        <f t="shared" si="0"/>
        <v>504.10332236377042</v>
      </c>
      <c r="F14" s="21"/>
      <c r="G14" s="21">
        <f t="shared" si="0"/>
        <v>96849.438104031811</v>
      </c>
      <c r="H14" s="21">
        <f t="shared" si="0"/>
        <v>14979.576966714041</v>
      </c>
      <c r="I14" s="21"/>
      <c r="J14" s="21"/>
      <c r="K14" s="21"/>
      <c r="L14" s="21"/>
      <c r="M14" s="21">
        <f t="shared" si="0"/>
        <v>4875.2123190533157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0.21537889786115563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0.192306382796404</v>
      </c>
      <c r="C18" s="23"/>
      <c r="D18" s="23">
        <f t="shared" ref="D18:M18" si="1">D14*D16</f>
        <v>0.88109429473484591</v>
      </c>
      <c r="E18" s="23">
        <f t="shared" si="1"/>
        <v>114.43145417657588</v>
      </c>
      <c r="F18" s="23"/>
      <c r="G18" s="23">
        <f t="shared" si="1"/>
        <v>25858.799973776495</v>
      </c>
      <c r="H18" s="23">
        <f t="shared" si="1"/>
        <v>3729.9146647117964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4.1707647953982399E-3</v>
      </c>
      <c r="H50" s="322">
        <f t="shared" si="2"/>
        <v>0</v>
      </c>
      <c r="I50" s="322">
        <f t="shared" si="2"/>
        <v>0</v>
      </c>
      <c r="J50" s="322">
        <f t="shared" si="2"/>
        <v>0</v>
      </c>
      <c r="K50" s="322">
        <f t="shared" si="2"/>
        <v>0</v>
      </c>
      <c r="L50" s="322">
        <f t="shared" si="2"/>
        <v>0</v>
      </c>
      <c r="M50" s="322">
        <f t="shared" si="2"/>
        <v>1.7778158343790773E-4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4.1707647953982399E-3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1.7778158343790773E-4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1158.545776499511</v>
      </c>
      <c r="H54" s="21">
        <f t="shared" si="3"/>
        <v>0</v>
      </c>
      <c r="I54" s="21">
        <f t="shared" si="3"/>
        <v>0</v>
      </c>
      <c r="J54" s="21">
        <f t="shared" si="3"/>
        <v>0</v>
      </c>
      <c r="K54" s="21">
        <f t="shared" si="3"/>
        <v>0</v>
      </c>
      <c r="L54" s="21">
        <f t="shared" si="3"/>
        <v>0</v>
      </c>
      <c r="M54" s="21">
        <f t="shared" si="3"/>
        <v>49.383773177196588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0.21537889786115563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309.33172232536947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3133.9553777526862</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3133.9553777526862</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2018-06-27T09:01:16Z</dcterms:modified>
</cp:coreProperties>
</file>