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<sst xmlns="http://schemas.openxmlformats.org/spreadsheetml/2006/main" count="2056" uniqueCount="910">
  <si>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</si>
  <si>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</si>
  <si>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</si>
  <si>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</si>
  <si>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</si>
  <si>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</si>
  <si>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</si>
  <si>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</si>
  <si>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</si>
  <si>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</si>
  <si>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</si>
  <si>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</si>
  <si>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</si>
  <si>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</si>
  <si>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</si>
  <si>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</si>
  <si>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</si>
  <si>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</si>
  <si>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</si>
  <si>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</si>
  <si>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</si>
  <si>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</si>
  <si>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</si>
  <si>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</si>
  <si>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</si>
  <si>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</si>
  <si>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</si>
  <si>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</si>
  <si>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</si>
  <si>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</si>
  <si>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</si>
  <si>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</si>
  <si>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</si>
  <si>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</si>
  <si>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</si>
  <si>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</si>
  <si>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</si>
  <si>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</si>
  <si>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</si>
  <si>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</si>
  <si>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</si>
  <si>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</si>
  <si>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</si>
  <si>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</si>
  <si>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</si>
  <si>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</si>
  <si>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</si>
  <si>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</si>
  <si>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</si>
  <si>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</si>
  <si>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</si>
  <si>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</si>
  <si>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</si>
  <si>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</si>
  <si>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</si>
  <si>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</si>
  <si>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</si>
  <si>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</si>
  <si>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</si>
  <si>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</si>
  <si>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</si>
  <si>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</si>
  <si>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</si>
  <si>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</si>
  <si>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</si>
  <si>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</si>
  <si>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</si>
  <si>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</si>
  <si>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</si>
  <si>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</si>
  <si>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</si>
  <si>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</si>
  <si>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</si>
  <si>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</si>
  <si>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</si>
  <si>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</si>
  <si>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</si>
  <si>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</si>
  <si>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</si>
  <si>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</si>
  <si>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</si>
  <si>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</si>
  <si>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</si>
  <si>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</si>
  <si>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</si>
  <si>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</si>
  <si>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</si>
  <si>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</si>
  <si>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</si>
  <si>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</si>
  <si>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</si>
  <si>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</si>
  <si>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</si>
  <si>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</si>
  <si>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</si>
  <si>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</si>
  <si>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</si>
  <si>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</si>
  <si>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</si>
  <si>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</si>
  <si>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</si>
  <si>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</si>
  <si>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</si>
  <si>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</si>
  <si>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</si>
  <si>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</si>
  <si>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</si>
  <si>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</si>
  <si>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</si>
  <si>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</si>
  <si>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</si>
  <si>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</si>
  <si>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</si>
  <si>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</si>
  <si>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</si>
  <si>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</si>
  <si>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</si>
  <si>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</si>
  <si>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</si>
  <si>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</si>
  <si>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</si>
  <si>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</si>
  <si>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</si>
  <si>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</si>
  <si>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</si>
  <si>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</si>
  <si>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</si>
  <si>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</si>
  <si>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</si>
  <si>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</si>
  <si>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</si>
  <si>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</si>
  <si>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</si>
  <si>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</si>
  <si>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</si>
  <si>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</si>
  <si>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</si>
  <si>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</si>
  <si>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</si>
  <si>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</si>
  <si>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</si>
  <si>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</si>
  <si>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</si>
  <si>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</si>
  <si>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</si>
  <si>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</si>
  <si>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</si>
  <si>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</si>
  <si>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</si>
  <si>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</si>
  <si>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</si>
  <si>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</si>
  <si>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</si>
  <si>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</si>
  <si>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</si>
  <si>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</si>
  <si>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</si>
  <si>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</si>
  <si>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</si>
  <si>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</si>
  <si>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</si>
  <si>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</si>
  <si>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</si>
  <si>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</si>
  <si>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</si>
  <si>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</si>
  <si>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</si>
  <si>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</si>
  <si>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</si>
  <si>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</si>
  <si>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</si>
  <si>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</si>
  <si>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</si>
  <si>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</si>
  <si>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</si>
  <si>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</si>
  <si>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</si>
  <si>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</si>
  <si>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</si>
  <si>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</si>
  <si>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</si>
  <si>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</si>
  <si>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</si>
  <si>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</si>
  <si>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</si>
  <si>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</si>
  <si>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</si>
  <si>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</si>
  <si>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</si>
  <si>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</si>
  <si>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</si>
  <si>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</si>
  <si>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</si>
  <si>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</si>
  <si>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</si>
  <si>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</si>
  <si>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</si>
  <si>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</si>
  <si>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</si>
  <si>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</si>
  <si>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</si>
  <si>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</si>
  <si>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</si>
  <si>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</si>
  <si>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</si>
  <si>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</si>
  <si>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</si>
  <si>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</si>
  <si>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</si>
  <si>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</si>
  <si>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</si>
  <si>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</si>
  <si>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</si>
  <si>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</si>
  <si>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</si>
  <si>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</si>
  <si>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</si>
  <si>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</si>
  <si>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</si>
  <si>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</si>
  <si>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</si>
  <si>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</si>
  <si>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</si>
  <si>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</si>
  <si>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</si>
  <si>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</si>
  <si>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</si>
  <si>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</si>
  <si>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</si>
  <si>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</si>
  <si>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</si>
  <si>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</si>
  <si>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</si>
  <si>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</si>
  <si>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</si>
  <si>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</si>
  <si>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</si>
  <si>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</si>
  <si>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</si>
  <si>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</si>
  <si>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</si>
  <si>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</si>
  <si>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</si>
  <si>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</si>
  <si>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</si>
  <si>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</si>
  <si>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</si>
  <si>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</si>
  <si>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</si>
  <si>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</si>
  <si>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</si>
  <si>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</si>
  <si>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</si>
  <si>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</si>
  <si>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</si>
  <si>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</si>
  <si>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</si>
  <si>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</si>
  <si>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</si>
  <si>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</si>
  <si>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</si>
  <si>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</si>
  <si>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</si>
  <si>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</si>
  <si>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</si>
  <si>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</si>
  <si>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</si>
  <si>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</si>
  <si>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</si>
  <si>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</si>
  <si>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</si>
  <si>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</si>
  <si>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</si>
  <si>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</si>
  <si>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</si>
  <si>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</si>
  <si>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</si>
  <si>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</si>
  <si>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</si>
  <si>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</si>
  <si>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</si>
  <si>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</si>
  <si>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</si>
  <si>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</si>
  <si>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</si>
  <si>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</si>
  <si>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</si>
  <si>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</si>
  <si>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</si>
  <si>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</si>
  <si>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</si>
  <si>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</si>
  <si>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</si>
  <si>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</si>
  <si>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</si>
  <si>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</si>
  <si>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</si>
  <si>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</si>
  <si>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</si>
  <si>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</si>
  <si>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</si>
  <si>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</si>
  <si>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</si>
  <si>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</si>
  <si>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</si>
  <si>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</si>
  <si>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</si>
  <si>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</si>
  <si>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</si>
  <si>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</si>
  <si>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</si>
  <si>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</si>
  <si>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</si>
  <si>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</si>
  <si>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</si>
  <si>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</si>
  <si>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</si>
  <si>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</si>
  <si>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</si>
  <si>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</si>
  <si>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</si>
  <si>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</si>
  <si>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</si>
  <si>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</si>
  <si>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</si>
  <si>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</si>
  <si>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</si>
  <si>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</si>
  <si>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</si>
  <si>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</si>
  <si>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</si>
  <si>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</si>
  <si>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</si>
  <si>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</si>
  <si>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</si>
  <si>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</si>
  <si>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</si>
  <si>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</si>
  <si>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</si>
  <si>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</si>
  <si>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</si>
  <si>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</si>
  <si>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</si>
  <si>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</si>
  <si>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</si>
  <si>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</si>
  <si>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</si>
  <si>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</si>
  <si>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</si>
  <si>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</si>
  <si>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</si>
  <si>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</si>
  <si>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</si>
  <si>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</si>
  <si>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</si>
  <si>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</si>
  <si>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</si>
  <si>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</si>
  <si>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</si>
  <si>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</si>
  <si>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</si>
  <si>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</si>
  <si>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</si>
  <si>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</si>
  <si>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</si>
  <si>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</si>
  <si>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</si>
  <si>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</si>
  <si>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</si>
  <si>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</si>
  <si>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</si>
  <si>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</si>
  <si>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</si>
  <si>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</si>
  <si>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</si>
  <si>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</si>
  <si>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</si>
  <si>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</si>
  <si>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</si>
  <si>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</si>
  <si>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</si>
  <si>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</si>
  <si>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</si>
  <si>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</si>
  <si>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</si>
  <si>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</si>
  <si>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</si>
  <si>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</si>
  <si>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</si>
  <si>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</si>
  <si>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</si>
  <si>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</si>
  <si>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</si>
  <si>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</si>
  <si>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</si>
  <si>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</si>
  <si>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</si>
  <si>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</si>
  <si>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</si>
  <si>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</si>
  <si>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</si>
  <si>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</si>
  <si>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</si>
  <si>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</si>
  <si>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</si>
  <si>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</si>
  <si>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</si>
  <si>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</si>
  <si>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</si>
  <si>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</si>
  <si>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</si>
  <si>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</si>
  <si>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</si>
  <si>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</si>
  <si>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</si>
  <si>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</si>
  <si>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</si>
  <si>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</si>
  <si>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</si>
  <si>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</si>
  <si>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</si>
  <si>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</si>
  <si>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</si>
  <si>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</si>
  <si>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</si>
  <si>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</si>
  <si>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</si>
  <si>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</si>
  <si>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</si>
  <si>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</si>
  <si>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</si>
  <si>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</si>
  <si>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</si>
  <si>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</si>
  <si>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</si>
  <si>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</si>
  <si>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</si>
  <si>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</si>
  <si>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</si>
  <si>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</si>
  <si>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</si>
  <si>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</si>
  <si>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</si>
  <si>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</si>
  <si>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</si>
  <si>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</si>
  <si>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</si>
  <si>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</si>
  <si>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</si>
  <si>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</si>
  <si>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</si>
  <si>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</si>
  <si>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</si>
  <si>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</si>
  <si>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</si>
  <si>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</si>
  <si>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</si>
  <si>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</si>
  <si>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</si>
  <si>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</si>
  <si>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</si>
  <si>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</si>
  <si>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</si>
  <si>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</si>
  <si>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</si>
  <si>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</si>
  <si>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</si>
  <si>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</si>
  <si>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</si>
  <si>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</si>
  <si>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</si>
  <si>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</si>
  <si>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</si>
  <si>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</si>
  <si>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</si>
  <si>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</si>
  <si>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</si>
  <si>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</si>
  <si>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</si>
  <si>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</si>
  <si>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</si>
  <si>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</si>
  <si>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</si>
  <si>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</si>
  <si>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</si>
  <si>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</si>
  <si>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</si>
  <si>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</si>
  <si>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</si>
  <si>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</si>
  <si>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</si>
  <si>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</si>
  <si>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</si>
  <si>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</si>
  <si>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</si>
  <si>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</si>
  <si>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</si>
  <si>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</si>
  <si>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</si>
  <si>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</si>
  <si>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</si>
  <si>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</si>
  <si>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</si>
  <si>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</si>
  <si>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</si>
  <si>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</si>
  <si>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</si>
  <si>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</si>
  <si>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</si>
  <si>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</si>
  <si>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</si>
  <si>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</si>
  <si>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</si>
  <si>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</si>
  <si>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</si>
  <si>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</si>
  <si>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</si>
  <si>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</si>
  <si>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</si>
  <si>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</si>
  <si>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</si>
  <si>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</si>
  <si>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</si>
  <si>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</si>
  <si>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</si>
  <si>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</si>
  <si>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</si>
  <si>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</si>
  <si>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</si>
  <si>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</si>
  <si>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</si>
  <si>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</si>
  <si>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</si>
  <si>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</si>
  <si>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</si>
  <si>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</si>
  <si>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</si>
  <si>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</si>
  <si>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</si>
  <si>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</si>
  <si>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</si>
  <si>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</si>
  <si>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</si>
  <si>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</si>
  <si>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</si>
  <si>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</si>
  <si>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</si>
  <si>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</si>
  <si>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</si>
  <si>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</si>
  <si>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</si>
  <si>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</si>
  <si>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</si>
  <si>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</si>
  <si>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</si>
  <si>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</si>
  <si>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</si>
  <si>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</si>
  <si>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</si>
  <si>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</si>
  <si>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</si>
  <si>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</si>
  <si>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</si>
  <si>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</si>
  <si>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</si>
  <si>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</si>
  <si>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</si>
  <si>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</si>
  <si>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</si>
  <si>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</si>
  <si>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</si>
  <si>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</si>
  <si>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</si>
  <si>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</si>
  <si>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</si>
  <si>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</si>
  <si>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</si>
  <si>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</si>
  <si>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</si>
  <si>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</si>
  <si>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</si>
  <si>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</si>
  <si>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</si>
  <si>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</si>
  <si>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</si>
  <si>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</si>
  <si>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</si>
  <si>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</si>
  <si>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</si>
  <si>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</si>
  <si>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</si>
  <si>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</si>
  <si>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</si>
  <si>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</si>
  <si>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</si>
  <si>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</si>
  <si>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</si>
  <si>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</si>
  <si>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</si>
  <si>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</si>
  <si>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</si>
  <si>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</si>
  <si>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</si>
  <si>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</si>
  <si>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</si>
  <si>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</si>
  <si>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</si>
  <si>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</si>
  <si>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</si>
  <si>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</si>
  <si>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</si>
  <si>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</si>
  <si>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</si>
  <si>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</si>
  <si>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</si>
  <si>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</si>
  <si>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</si>
  <si>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</si>
  <si>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</si>
  <si>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</si>
  <si>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</si>
  <si>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</si>
  <si>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</si>
  <si>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</si>
  <si>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</si>
  <si>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</si>
  <si>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</si>
  <si>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</si>
  <si>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</si>
  <si>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</si>
  <si>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</si>
  <si>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</si>
  <si>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</si>
  <si>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</si>
  <si>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</si>
  <si>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</si>
  <si>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</si>
  <si>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</si>
  <si>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</si>
  <si>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</si>
  <si>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</si>
  <si>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</si>
  <si>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</si>
  <si>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</si>
  <si>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</si>
  <si>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</si>
  <si>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</si>
  <si>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</si>
  <si>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</si>
  <si>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</si>
  <si>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</si>
  <si>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</si>
  <si>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</si>
  <si>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</si>
  <si>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</si>
  <si>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</si>
  <si>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</si>
  <si>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</si>
  <si>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</si>
  <si>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</si>
  <si>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</si>
  <si>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</si>
  <si>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</si>
  <si>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</si>
  <si>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</si>
  <si>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</si>
  <si>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</si>
  <si>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</si>
  <si>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</si>
  <si>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</si>
  <si>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</si>
  <si>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</si>
  <si>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</si>
  <si>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</si>
  <si>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</si>
  <si>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</si>
  <si>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</si>
  <si>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</si>
  <si>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</si>
  <si>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</si>
  <si>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</si>
  <si>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</si>
  <si>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</si>
  <si>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</si>
  <si>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</si>
  <si>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</si>
  <si>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</si>
  <si>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</si>
  <si>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</si>
  <si>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</si>
  <si>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</si>
  <si>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</si>
  <si>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</si>
  <si>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</si>
  <si>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</si>
  <si>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</si>
  <si>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</si>
  <si>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</si>
  <si>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</si>
  <si>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</si>
  <si>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</si>
  <si>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</si>
  <si>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</si>
  <si>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</si>
  <si>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</si>
  <si>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</si>
  <si>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</si>
  <si>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</si>
  <si>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</si>
  <si>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</si>
  <si>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</si>
  <si>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</si>
  <si>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</si>
  <si>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</si>
  <si>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</si>
  <si>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</si>
  <si>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</si>
  <si>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</si>
  <si>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</si>
  <si>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</si>
  <si>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</si>
  <si>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</si>
  <si>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</si>
  <si>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</si>
  <si>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</si>
  <si>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</si>
  <si>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</si>
  <si>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</si>
  <si>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</si>
  <si>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</si>
  <si>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</si>
  <si>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</si>
  <si>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</si>
  <si>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</si>
  <si>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</si>
  <si>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</si>
  <si>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</si>
  <si>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</si>
  <si>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</si>
  <si>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</si>
  <si>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</si>
  <si>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</si>
  <si>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</si>
  <si>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</si>
  <si>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</si>
  <si>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</si>
  <si>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</si>
  <si>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</si>
  <si>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</si>
  <si>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</si>
  <si>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</si>
  <si>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</si>
  <si>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</si>
  <si>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</si>
  <si>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</si>
  <si>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</si>
  <si>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</si>
  <si>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</si>
  <si>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</si>
  <si>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</si>
  <si>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</si>
  <si>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</si>
  <si>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</si>
  <si>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</si>
  <si>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</si>
  <si>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</si>
  <si>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</si>
  <si>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</si>
  <si>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</si>
  <si>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</si>
  <si>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</si>
  <si>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</si>
  <si>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</si>
  <si>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</si>
  <si>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</si>
  <si>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</si>
  <si>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</si>
  <si>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</si>
  <si>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</si>
  <si>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</si>
  <si>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</si>
  <si>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</si>
  <si>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</si>
  <si>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</si>
  <si>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</si>
  <si>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</si>
  <si>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</si>
  <si>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</si>
  <si>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</si>
  <si>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</si>
  <si>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</si>
  <si>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</si>
  <si>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</si>
  <si>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</si>
  <si>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</si>
  <si>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</si>
  <si>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</si>
  <si>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</si>
  <si>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</si>
  <si>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</si>
  <si>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</si>
  <si>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</si>
  <si>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</si>
  <si>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</si>
  <si>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</si>
  <si>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</si>
  <si>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</si>
  <si>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</si>
  <si>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</si>
  <si>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</si>
  <si>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</si>
  <si>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</si>
  <si>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</si>
  <si>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</si>
  <si>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</si>
  <si>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</si>
  <si>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</si>
  <si>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</si>
  <si>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</si>
  <si>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</si>
  <si>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</si>
  <si>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</si>
  <si>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</si>
  <si>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</si>
  <si>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</si>
  <si>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</si>
  <si>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</si>
  <si>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</si>
  <si>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</si>
  <si>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</si>
  <si>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</si>
  <si>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</si>
  <si>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</si>
  <si>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</si>
  <si>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</si>
  <si>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</si>
  <si>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</si>
  <si>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</si>
  <si>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</si>
  <si>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</si>
  <si>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</si>
  <si>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</si>
  <si>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</si>
  <si>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</si>
  <si>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</si>
  <si>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</si>
  <si>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</si>
  <si>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</si>
  <si>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</si>
  <si>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</si>
  <si>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</si>
  <si>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</si>
  <si>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</si>
  <si>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</si>
  <si>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</si>
  <si>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</si>
  <si>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</si>
  <si>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</si>
  <si>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</si>
  <si>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</si>
  <si>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</si>
  <si>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</si>
  <si>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</si>
  <si>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</si>
  <si>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</si>
  <si>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</si>
  <si>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</si>
  <si>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</si>
  <si>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</si>
  <si>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</si>
  <si>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</si>
  <si>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</si>
  <si>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</si>
  <si>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</si>
  <si>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</si>
  <si>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</si>
  <si>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</si>
  <si>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</si>
  <si>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</si>
  <si>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</si>
  <si>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</si>
  <si>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</si>
  <si>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</si>
  <si>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</si>
  <si>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</si>
  <si>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33011</t>
  </si>
  <si>
    <t>IEPER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</si>
  <si>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</si>
  <si>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</si>
  <si>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</si>
  <si>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</si>
  <si>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</si>
  <si>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</si>
  <si>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</si>
  <si>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IVVO cvba</t>
  </si>
  <si>
    <t>Bargiestraat 6 , 8900 Ieper</t>
  </si>
  <si>
    <t>WKK-0267 IVVO</t>
  </si>
  <si>
    <t>interne verbrandingsmotor</t>
  </si>
  <si>
    <t>WKK interne verbrandinsgmotor (gas)</t>
  </si>
  <si>
    <t>GASELWEST</t>
  </si>
  <si>
    <t>Biomass Center Ieper bvba</t>
  </si>
  <si>
    <t>Bargiestraat 1, 8900 Ieper</t>
  </si>
  <si>
    <t>WKK-0102 Biomass Center Ieper</t>
  </si>
  <si>
    <t>Binergy Ieper nv</t>
  </si>
  <si>
    <t>Brusselstraat 59 , 2018 Antwerpen</t>
  </si>
  <si>
    <t>BGS-0080 Binergy Ieper</t>
  </si>
  <si>
    <t>biogas - overig</t>
  </si>
  <si>
    <t>niet WKK interne verbrandingsmotor (andere biomassa)</t>
  </si>
  <si>
    <t>Bargiestraat 4 , 8900 Ieper</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</si>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</sst>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33011</v>
      </c>
      <c r="B6" s="396"/>
      <c r="C6" s="397"/>
    </row>
    <row r="7" spans="1:7" s="394" customFormat="1" ht="15.75" customHeight="1">
      <c r="A7" s="398" t="str">
        <f>txtMunicipality</f>
        <v>IEPER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14846</v>
      </c>
      <c r="C9" s="336">
        <v>15115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9188</v>
      </c>
    </row>
    <row r="15" spans="1:6">
      <c r="A15" s="1194" t="s">
        <v>185</v>
      </c>
      <c r="B15" s="333">
        <v>116</v>
      </c>
    </row>
    <row r="16" spans="1:6">
      <c r="A16" s="1194" t="s">
        <v>6</v>
      </c>
      <c r="B16" s="333">
        <v>3737</v>
      </c>
    </row>
    <row r="17" spans="1:6">
      <c r="A17" s="1194" t="s">
        <v>7</v>
      </c>
      <c r="B17" s="333">
        <v>2482</v>
      </c>
    </row>
    <row r="18" spans="1:6">
      <c r="A18" s="1194" t="s">
        <v>8</v>
      </c>
      <c r="B18" s="333">
        <v>3780</v>
      </c>
    </row>
    <row r="19" spans="1:6">
      <c r="A19" s="1194" t="s">
        <v>9</v>
      </c>
      <c r="B19" s="333">
        <v>3788</v>
      </c>
    </row>
    <row r="20" spans="1:6">
      <c r="A20" s="1194" t="s">
        <v>10</v>
      </c>
      <c r="B20" s="333">
        <v>2777</v>
      </c>
    </row>
    <row r="21" spans="1:6">
      <c r="A21" s="1194" t="s">
        <v>11</v>
      </c>
      <c r="B21" s="333">
        <v>44043</v>
      </c>
    </row>
    <row r="22" spans="1:6">
      <c r="A22" s="1194" t="s">
        <v>12</v>
      </c>
      <c r="B22" s="333">
        <v>105145</v>
      </c>
    </row>
    <row r="23" spans="1:6">
      <c r="A23" s="1194" t="s">
        <v>13</v>
      </c>
      <c r="B23" s="333">
        <v>2399</v>
      </c>
    </row>
    <row r="24" spans="1:6">
      <c r="A24" s="1194" t="s">
        <v>14</v>
      </c>
      <c r="B24" s="333">
        <v>111</v>
      </c>
    </row>
    <row r="25" spans="1:6">
      <c r="A25" s="1194" t="s">
        <v>15</v>
      </c>
      <c r="B25" s="333">
        <v>12767</v>
      </c>
    </row>
    <row r="26" spans="1:6">
      <c r="A26" s="1194" t="s">
        <v>16</v>
      </c>
      <c r="B26" s="333">
        <v>997</v>
      </c>
    </row>
    <row r="27" spans="1:6">
      <c r="A27" s="1194" t="s">
        <v>17</v>
      </c>
      <c r="B27" s="333">
        <v>42</v>
      </c>
    </row>
    <row r="28" spans="1:6">
      <c r="A28" s="1194" t="s">
        <v>18</v>
      </c>
      <c r="B28" s="333">
        <v>349448</v>
      </c>
    </row>
    <row r="29" spans="1:6">
      <c r="A29" s="1194" t="s">
        <v>888</v>
      </c>
      <c r="B29" s="333">
        <v>173</v>
      </c>
    </row>
    <row r="30" spans="1:6">
      <c r="A30" s="1190" t="s">
        <v>889</v>
      </c>
      <c r="B30" s="1190">
        <v>37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3</v>
      </c>
      <c r="D36" s="333">
        <v>99452.4609481566</v>
      </c>
      <c r="E36" s="333">
        <v>15</v>
      </c>
      <c r="F36" s="333">
        <v>494138.68781070999</v>
      </c>
    </row>
    <row r="37" spans="1:6">
      <c r="A37" s="1194" t="s">
        <v>25</v>
      </c>
      <c r="B37" s="1194" t="s">
        <v>28</v>
      </c>
      <c r="C37" s="333">
        <v>0</v>
      </c>
      <c r="D37" s="333">
        <v>0</v>
      </c>
      <c r="E37" s="333">
        <v>0</v>
      </c>
      <c r="F37" s="333">
        <v>0</v>
      </c>
    </row>
    <row r="38" spans="1:6">
      <c r="A38" s="1194" t="s">
        <v>25</v>
      </c>
      <c r="B38" s="1194" t="s">
        <v>29</v>
      </c>
      <c r="C38" s="333">
        <v>2</v>
      </c>
      <c r="D38" s="333">
        <v>286614.75195840502</v>
      </c>
      <c r="E38" s="333">
        <v>2</v>
      </c>
      <c r="F38" s="333">
        <v>3012.9106597079999</v>
      </c>
    </row>
    <row r="39" spans="1:6">
      <c r="A39" s="1194" t="s">
        <v>30</v>
      </c>
      <c r="B39" s="1194" t="s">
        <v>31</v>
      </c>
      <c r="C39" s="333">
        <v>9795</v>
      </c>
      <c r="D39" s="333">
        <v>150021053.33912501</v>
      </c>
      <c r="E39" s="333">
        <v>13758</v>
      </c>
      <c r="F39" s="333">
        <v>55475744.618870698</v>
      </c>
    </row>
    <row r="40" spans="1:6">
      <c r="A40" s="1194" t="s">
        <v>30</v>
      </c>
      <c r="B40" s="1194" t="s">
        <v>29</v>
      </c>
      <c r="C40" s="333">
        <v>1</v>
      </c>
      <c r="D40" s="333">
        <v>5021.7953433864996</v>
      </c>
      <c r="E40" s="333">
        <v>1</v>
      </c>
      <c r="F40" s="333">
        <v>10945.368843171</v>
      </c>
    </row>
    <row r="41" spans="1:6">
      <c r="A41" s="1194" t="s">
        <v>32</v>
      </c>
      <c r="B41" s="1194" t="s">
        <v>33</v>
      </c>
      <c r="C41" s="333">
        <v>95</v>
      </c>
      <c r="D41" s="333">
        <v>1875202.1865397</v>
      </c>
      <c r="E41" s="333">
        <v>240</v>
      </c>
      <c r="F41" s="333">
        <v>15189446.9499349</v>
      </c>
    </row>
    <row r="42" spans="1:6">
      <c r="A42" s="1194" t="s">
        <v>32</v>
      </c>
      <c r="B42" s="1194" t="s">
        <v>34</v>
      </c>
      <c r="C42" s="333">
        <v>4</v>
      </c>
      <c r="D42" s="333">
        <v>5191912.9388928702</v>
      </c>
      <c r="E42" s="333">
        <v>4</v>
      </c>
      <c r="F42" s="333">
        <v>20189926.282072399</v>
      </c>
    </row>
    <row r="43" spans="1:6">
      <c r="A43" s="1194" t="s">
        <v>32</v>
      </c>
      <c r="B43" s="1194" t="s">
        <v>35</v>
      </c>
      <c r="C43" s="333">
        <v>0</v>
      </c>
      <c r="D43" s="333">
        <v>0</v>
      </c>
      <c r="E43" s="333">
        <v>0</v>
      </c>
      <c r="F43" s="333">
        <v>0</v>
      </c>
    </row>
    <row r="44" spans="1:6">
      <c r="A44" s="1194" t="s">
        <v>32</v>
      </c>
      <c r="B44" s="1194" t="s">
        <v>36</v>
      </c>
      <c r="C44" s="333">
        <v>25</v>
      </c>
      <c r="D44" s="333">
        <v>26029207.556760699</v>
      </c>
      <c r="E44" s="333">
        <v>32</v>
      </c>
      <c r="F44" s="333">
        <v>47559757.656471699</v>
      </c>
    </row>
    <row r="45" spans="1:6">
      <c r="A45" s="1194" t="s">
        <v>32</v>
      </c>
      <c r="B45" s="1194" t="s">
        <v>37</v>
      </c>
      <c r="C45" s="333">
        <v>5</v>
      </c>
      <c r="D45" s="333">
        <v>266181.99890366598</v>
      </c>
      <c r="E45" s="333">
        <v>5</v>
      </c>
      <c r="F45" s="333">
        <v>104366.50649379801</v>
      </c>
    </row>
    <row r="46" spans="1:6">
      <c r="A46" s="1194" t="s">
        <v>32</v>
      </c>
      <c r="B46" s="1194" t="s">
        <v>38</v>
      </c>
      <c r="C46" s="333">
        <v>0</v>
      </c>
      <c r="D46" s="333">
        <v>0</v>
      </c>
      <c r="E46" s="333">
        <v>0</v>
      </c>
      <c r="F46" s="333">
        <v>0</v>
      </c>
    </row>
    <row r="47" spans="1:6">
      <c r="A47" s="1194" t="s">
        <v>32</v>
      </c>
      <c r="B47" s="1194" t="s">
        <v>39</v>
      </c>
      <c r="C47" s="333">
        <v>5</v>
      </c>
      <c r="D47" s="333">
        <v>36826.223955040397</v>
      </c>
      <c r="E47" s="333">
        <v>6</v>
      </c>
      <c r="F47" s="333">
        <v>54706.904286341101</v>
      </c>
    </row>
    <row r="48" spans="1:6">
      <c r="A48" s="1194" t="s">
        <v>32</v>
      </c>
      <c r="B48" s="1194" t="s">
        <v>29</v>
      </c>
      <c r="C48" s="333">
        <v>87</v>
      </c>
      <c r="D48" s="333">
        <v>218904658.394445</v>
      </c>
      <c r="E48" s="333">
        <v>107</v>
      </c>
      <c r="F48" s="333">
        <v>75885982.493088096</v>
      </c>
    </row>
    <row r="49" spans="1:6">
      <c r="A49" s="1194" t="s">
        <v>32</v>
      </c>
      <c r="B49" s="1194" t="s">
        <v>40</v>
      </c>
      <c r="C49" s="333">
        <v>4</v>
      </c>
      <c r="D49" s="333">
        <v>387749.38840703497</v>
      </c>
      <c r="E49" s="333">
        <v>10</v>
      </c>
      <c r="F49" s="333">
        <v>233804.05450071601</v>
      </c>
    </row>
    <row r="50" spans="1:6">
      <c r="A50" s="1194" t="s">
        <v>32</v>
      </c>
      <c r="B50" s="1194" t="s">
        <v>41</v>
      </c>
      <c r="C50" s="333">
        <v>25</v>
      </c>
      <c r="D50" s="333">
        <v>8937978.3788415492</v>
      </c>
      <c r="E50" s="333">
        <v>40</v>
      </c>
      <c r="F50" s="333">
        <v>7388747.9980545295</v>
      </c>
    </row>
    <row r="51" spans="1:6">
      <c r="A51" s="1194" t="s">
        <v>42</v>
      </c>
      <c r="B51" s="1194" t="s">
        <v>43</v>
      </c>
      <c r="C51" s="333">
        <v>26</v>
      </c>
      <c r="D51" s="333">
        <v>469584.909023543</v>
      </c>
      <c r="E51" s="333">
        <v>381</v>
      </c>
      <c r="F51" s="333">
        <v>8436405.63291087</v>
      </c>
    </row>
    <row r="52" spans="1:6">
      <c r="A52" s="1194" t="s">
        <v>42</v>
      </c>
      <c r="B52" s="1194" t="s">
        <v>29</v>
      </c>
      <c r="C52" s="333">
        <v>11</v>
      </c>
      <c r="D52" s="333">
        <v>181455.80254444701</v>
      </c>
      <c r="E52" s="333">
        <v>27</v>
      </c>
      <c r="F52" s="333">
        <v>1360507.07122551</v>
      </c>
    </row>
    <row r="53" spans="1:6">
      <c r="A53" s="1194" t="s">
        <v>44</v>
      </c>
      <c r="B53" s="1194" t="s">
        <v>45</v>
      </c>
      <c r="C53" s="333">
        <v>456</v>
      </c>
      <c r="D53" s="333">
        <v>9145755.42894377</v>
      </c>
      <c r="E53" s="333">
        <v>725</v>
      </c>
      <c r="F53" s="333">
        <v>4632527.7159819296</v>
      </c>
    </row>
    <row r="54" spans="1:6">
      <c r="A54" s="1194" t="s">
        <v>46</v>
      </c>
      <c r="B54" s="1194" t="s">
        <v>47</v>
      </c>
      <c r="C54" s="333">
        <v>0</v>
      </c>
      <c r="D54" s="333">
        <v>0</v>
      </c>
      <c r="E54" s="333">
        <v>2</v>
      </c>
      <c r="F54" s="333">
        <v>3220174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108</v>
      </c>
      <c r="D57" s="333">
        <v>3325631.0878399899</v>
      </c>
      <c r="E57" s="333">
        <v>200</v>
      </c>
      <c r="F57" s="333">
        <v>5123103.05295223</v>
      </c>
    </row>
    <row r="58" spans="1:6">
      <c r="A58" s="1194" t="s">
        <v>49</v>
      </c>
      <c r="B58" s="1194" t="s">
        <v>51</v>
      </c>
      <c r="C58" s="333">
        <v>118</v>
      </c>
      <c r="D58" s="333">
        <v>24128590.509031001</v>
      </c>
      <c r="E58" s="333">
        <v>152</v>
      </c>
      <c r="F58" s="333">
        <v>14346423.065178899</v>
      </c>
    </row>
    <row r="59" spans="1:6">
      <c r="A59" s="1194" t="s">
        <v>49</v>
      </c>
      <c r="B59" s="1194" t="s">
        <v>52</v>
      </c>
      <c r="C59" s="333">
        <v>311</v>
      </c>
      <c r="D59" s="333">
        <v>12424158.734742699</v>
      </c>
      <c r="E59" s="333">
        <v>575</v>
      </c>
      <c r="F59" s="333">
        <v>17869488.0461496</v>
      </c>
    </row>
    <row r="60" spans="1:6">
      <c r="A60" s="1194" t="s">
        <v>49</v>
      </c>
      <c r="B60" s="1194" t="s">
        <v>53</v>
      </c>
      <c r="C60" s="333">
        <v>155</v>
      </c>
      <c r="D60" s="333">
        <v>8152652.2689129096</v>
      </c>
      <c r="E60" s="333">
        <v>192</v>
      </c>
      <c r="F60" s="333">
        <v>6040055.4563082699</v>
      </c>
    </row>
    <row r="61" spans="1:6">
      <c r="A61" s="1194" t="s">
        <v>49</v>
      </c>
      <c r="B61" s="1194" t="s">
        <v>54</v>
      </c>
      <c r="C61" s="333">
        <v>345</v>
      </c>
      <c r="D61" s="333">
        <v>19995571.922706202</v>
      </c>
      <c r="E61" s="333">
        <v>805</v>
      </c>
      <c r="F61" s="333">
        <v>23126449.234507699</v>
      </c>
    </row>
    <row r="62" spans="1:6">
      <c r="A62" s="1194" t="s">
        <v>49</v>
      </c>
      <c r="B62" s="1194" t="s">
        <v>55</v>
      </c>
      <c r="C62" s="333">
        <v>44</v>
      </c>
      <c r="D62" s="333">
        <v>5385815.77129474</v>
      </c>
      <c r="E62" s="333">
        <v>42</v>
      </c>
      <c r="F62" s="333">
        <v>1403303.1033129899</v>
      </c>
    </row>
    <row r="63" spans="1:6">
      <c r="A63" s="1194" t="s">
        <v>49</v>
      </c>
      <c r="B63" s="1194" t="s">
        <v>29</v>
      </c>
      <c r="C63" s="333">
        <v>237</v>
      </c>
      <c r="D63" s="333">
        <v>14947005.7948955</v>
      </c>
      <c r="E63" s="333">
        <v>299</v>
      </c>
      <c r="F63" s="333">
        <v>11041682.4926425</v>
      </c>
    </row>
    <row r="64" spans="1:6">
      <c r="A64" s="1194" t="s">
        <v>56</v>
      </c>
      <c r="B64" s="1194" t="s">
        <v>57</v>
      </c>
      <c r="C64" s="333">
        <v>0</v>
      </c>
      <c r="D64" s="333">
        <v>0</v>
      </c>
      <c r="E64" s="333">
        <v>0</v>
      </c>
      <c r="F64" s="333">
        <v>0</v>
      </c>
    </row>
    <row r="65" spans="1:6">
      <c r="A65" s="1194" t="s">
        <v>56</v>
      </c>
      <c r="B65" s="1194" t="s">
        <v>29</v>
      </c>
      <c r="C65" s="333">
        <v>6</v>
      </c>
      <c r="D65" s="333">
        <v>12604431.006681601</v>
      </c>
      <c r="E65" s="333">
        <v>8</v>
      </c>
      <c r="F65" s="333">
        <v>112451.438294536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16</v>
      </c>
      <c r="F68" s="333">
        <v>920037.639212835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180015481</v>
      </c>
      <c r="E73" s="333">
        <v>185635895.57861805</v>
      </c>
      <c r="F73" s="333">
        <v>180235035</v>
      </c>
    </row>
    <row r="74" spans="1:6">
      <c r="A74" s="1194" t="s">
        <v>64</v>
      </c>
      <c r="B74" s="1194" t="s">
        <v>775</v>
      </c>
      <c r="C74" s="1205" t="s">
        <v>776</v>
      </c>
      <c r="D74" s="333">
        <v>23214869.534725979</v>
      </c>
      <c r="E74" s="333">
        <v>24612337.722952738</v>
      </c>
      <c r="F74" s="333">
        <v>23755050.192896213</v>
      </c>
    </row>
    <row r="75" spans="1:6">
      <c r="A75" s="1194" t="s">
        <v>65</v>
      </c>
      <c r="B75" s="1194" t="s">
        <v>773</v>
      </c>
      <c r="C75" s="1205" t="s">
        <v>777</v>
      </c>
      <c r="D75" s="333">
        <v>38795871</v>
      </c>
      <c r="E75" s="333">
        <v>40026652.499422878</v>
      </c>
      <c r="F75" s="333">
        <v>38848862</v>
      </c>
    </row>
    <row r="76" spans="1:6">
      <c r="A76" s="1194" t="s">
        <v>65</v>
      </c>
      <c r="B76" s="1194" t="s">
        <v>775</v>
      </c>
      <c r="C76" s="1205" t="s">
        <v>778</v>
      </c>
      <c r="D76" s="333">
        <v>2274862.5347259785</v>
      </c>
      <c r="E76" s="333">
        <v>2490202.7127044834</v>
      </c>
      <c r="F76" s="333">
        <v>2391007.192896212</v>
      </c>
    </row>
    <row r="77" spans="1:6">
      <c r="A77" s="1194" t="s">
        <v>66</v>
      </c>
      <c r="B77" s="1194" t="s">
        <v>773</v>
      </c>
      <c r="C77" s="1205" t="s">
        <v>779</v>
      </c>
      <c r="D77" s="333">
        <v>6904678</v>
      </c>
      <c r="E77" s="333">
        <v>9251984.9655014891</v>
      </c>
      <c r="F77" s="333">
        <v>8264982</v>
      </c>
    </row>
    <row r="78" spans="1:6">
      <c r="A78" s="1190" t="s">
        <v>66</v>
      </c>
      <c r="B78" s="1190" t="s">
        <v>775</v>
      </c>
      <c r="C78" s="1190" t="s">
        <v>780</v>
      </c>
      <c r="D78" s="1190">
        <v>1262599</v>
      </c>
      <c r="E78" s="1190">
        <v>1690825.2304569394</v>
      </c>
      <c r="F78" s="336">
        <v>1512905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1094790.930548043</v>
      </c>
      <c r="C83" s="333">
        <v>986354.33513946855</v>
      </c>
      <c r="D83" s="333">
        <v>978005.61420757638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34193.681244038504</v>
      </c>
    </row>
    <row r="91" spans="1:6">
      <c r="A91" s="1194" t="s">
        <v>68</v>
      </c>
      <c r="B91" s="333">
        <v>3211.9748252713694</v>
      </c>
    </row>
    <row r="92" spans="1:6">
      <c r="A92" s="1190" t="s">
        <v>69</v>
      </c>
      <c r="B92" s="336">
        <v>4080.1429485370409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7879</v>
      </c>
    </row>
    <row r="98" spans="1:6">
      <c r="A98" s="1194" t="s">
        <v>72</v>
      </c>
      <c r="B98" s="333">
        <v>2</v>
      </c>
    </row>
    <row r="99" spans="1:6">
      <c r="A99" s="1194" t="s">
        <v>73</v>
      </c>
      <c r="B99" s="333">
        <v>295</v>
      </c>
    </row>
    <row r="100" spans="1:6">
      <c r="A100" s="1194" t="s">
        <v>74</v>
      </c>
      <c r="B100" s="333">
        <v>1386</v>
      </c>
    </row>
    <row r="101" spans="1:6">
      <c r="A101" s="1194" t="s">
        <v>75</v>
      </c>
      <c r="B101" s="333">
        <v>247</v>
      </c>
    </row>
    <row r="102" spans="1:6">
      <c r="A102" s="1194" t="s">
        <v>76</v>
      </c>
      <c r="B102" s="333">
        <v>262</v>
      </c>
    </row>
    <row r="103" spans="1:6">
      <c r="A103" s="1194" t="s">
        <v>77</v>
      </c>
      <c r="B103" s="333">
        <v>465</v>
      </c>
    </row>
    <row r="104" spans="1:6">
      <c r="A104" s="1194" t="s">
        <v>78</v>
      </c>
      <c r="B104" s="333">
        <v>3046</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16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94</v>
      </c>
    </row>
    <row r="130" spans="1:6">
      <c r="A130" s="1194" t="s">
        <v>296</v>
      </c>
      <c r="B130" s="333">
        <v>2</v>
      </c>
    </row>
    <row r="131" spans="1:6">
      <c r="A131" s="1194" t="s">
        <v>297</v>
      </c>
      <c r="B131" s="333">
        <v>1</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337668.7969362514</v>
      </c>
      <c r="C3" s="43" t="s">
        <v>171</v>
      </c>
      <c r="D3" s="43"/>
      <c r="E3" s="156"/>
      <c r="F3" s="43"/>
      <c r="G3" s="43"/>
      <c r="H3" s="43"/>
      <c r="I3" s="43"/>
      <c r="J3" s="43"/>
      <c r="K3" s="96"/>
    </row>
    <row r="4" spans="1:11">
      <c r="A4" s="364" t="s">
        <v>172</v>
      </c>
      <c r="B4" s="49">
        <f>IF(ISERROR('SEAP template'!B69),0,'SEAP template'!B69)</f>
        <v>71262.299017846904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0.17435971749288576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22017.857142857145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3220.174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3220.174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0.17435971749288576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561.46862891793592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55486.689987713864</v>
      </c>
      <c r="C5" s="17">
        <f>IF(ISERROR('Eigen informatie GS &amp; warmtenet'!B57),0,'Eigen informatie GS &amp; warmtenet'!B57)</f>
        <v>0</v>
      </c>
      <c r="D5" s="30">
        <f>(SUM(HH_hh_gas_kWh,HH_rest_gas_kWh)/1000)*0.902</f>
        <v>135323.51977129051</v>
      </c>
      <c r="E5" s="17">
        <f>B46*B57</f>
        <v>10811.08531975458</v>
      </c>
      <c r="F5" s="17">
        <f>B51*B62</f>
        <v>30114.741210141769</v>
      </c>
      <c r="G5" s="18"/>
      <c r="H5" s="17"/>
      <c r="I5" s="17"/>
      <c r="J5" s="17">
        <f>B50*B61+C50*C61</f>
        <v>7839.8970161150783</v>
      </c>
      <c r="K5" s="17"/>
      <c r="L5" s="17"/>
      <c r="M5" s="17"/>
      <c r="N5" s="17">
        <f>B48*B59+C48*C59</f>
        <v>26190.520708148408</v>
      </c>
      <c r="O5" s="17">
        <f>B69*B70*B71</f>
        <v>171.96666666666667</v>
      </c>
      <c r="P5" s="17">
        <f>B77*B78*B79/1000-B77*B78*B79/1000/B80</f>
        <v>400.4</v>
      </c>
    </row>
    <row r="6" spans="1:16">
      <c r="A6" s="16" t="s">
        <v>633</v>
      </c>
      <c r="B6" s="830">
        <f>kWh_PV_kleiner_dan_10kW</f>
        <v>3211.9748252713694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58698.664812985233</v>
      </c>
      <c r="C8" s="21">
        <f>C5</f>
        <v>0</v>
      </c>
      <c r="D8" s="21">
        <f>D5</f>
        <v>135323.51977129051</v>
      </c>
      <c r="E8" s="21">
        <f>E5</f>
        <v>10811.08531975458</v>
      </c>
      <c r="F8" s="21">
        <f>F5</f>
        <v>30114.741210141769</v>
      </c>
      <c r="G8" s="21"/>
      <c r="H8" s="21"/>
      <c r="I8" s="21"/>
      <c r="J8" s="21">
        <f>J5</f>
        <v>7839.8970161150783</v>
      </c>
      <c r="K8" s="21"/>
      <c r="L8" s="21">
        <f>L5</f>
        <v>0</v>
      </c>
      <c r="M8" s="21">
        <f>M5</f>
        <v>0</v>
      </c>
      <c r="N8" s="21">
        <f>N5</f>
        <v>26190.520708148408</v>
      </c>
      <c r="O8" s="21">
        <f>O5</f>
        <v>171.96666666666667</v>
      </c>
      <c r="P8" s="21">
        <f>P5</f>
        <v>400.4</v>
      </c>
    </row>
    <row r="9" spans="1:16">
      <c r="B9" s="19"/>
      <c r="C9" s="19"/>
      <c r="D9" s="260"/>
      <c r="E9" s="19"/>
      <c r="F9" s="19"/>
      <c r="G9" s="19"/>
      <c r="H9" s="19"/>
      <c r="I9" s="19"/>
      <c r="J9" s="19"/>
      <c r="K9" s="19"/>
      <c r="L9" s="19"/>
      <c r="M9" s="19"/>
      <c r="N9" s="19"/>
      <c r="O9" s="19"/>
      <c r="P9" s="19"/>
    </row>
    <row r="10" spans="1:16">
      <c r="A10" s="24" t="s">
        <v>215</v>
      </c>
      <c r="B10" s="25">
        <f ca="1">'EF ele_warmte'!B12</f>
        <v>0.17435971749288576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10234.682614001698</v>
      </c>
      <c r="C12" s="23">
        <f ca="1">C10*C8</f>
        <v>0</v>
      </c>
      <c r="D12" s="23">
        <f>D8*D10</f>
        <v>27335.350993800683</v>
      </c>
      <c r="E12" s="23">
        <f>E10*E8</f>
        <v>2454.1163675842899</v>
      </c>
      <c r="F12" s="23">
        <f>F10*F8</f>
        <v>8040.6359031078528</v>
      </c>
      <c r="G12" s="23"/>
      <c r="H12" s="23"/>
      <c r="I12" s="23"/>
      <c r="J12" s="23">
        <f>J10*J8</f>
        <v>2775.3235437047374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7879</v>
      </c>
      <c r="C18" s="167" t="s">
        <v>111</v>
      </c>
      <c r="D18" s="229"/>
      <c r="E18" s="15"/>
    </row>
    <row r="19" spans="1:7">
      <c r="A19" s="172" t="s">
        <v>72</v>
      </c>
      <c r="B19" s="37">
        <f>aantalw2001_ander</f>
        <v>2</v>
      </c>
      <c r="C19" s="167" t="s">
        <v>111</v>
      </c>
      <c r="D19" s="230"/>
      <c r="E19" s="15"/>
    </row>
    <row r="20" spans="1:7">
      <c r="A20" s="172" t="s">
        <v>73</v>
      </c>
      <c r="B20" s="37">
        <f>aantalw2001_propaan</f>
        <v>295</v>
      </c>
      <c r="C20" s="168">
        <f>IF(ISERROR(B20/SUM($B$20,$B$21,$B$22)*100),0,B20/SUM($B$20,$B$21,$B$22)*100)</f>
        <v>15.300829875518673</v>
      </c>
      <c r="D20" s="230"/>
      <c r="E20" s="15"/>
    </row>
    <row r="21" spans="1:7">
      <c r="A21" s="172" t="s">
        <v>74</v>
      </c>
      <c r="B21" s="37">
        <f>aantalw2001_elektriciteit</f>
        <v>1386</v>
      </c>
      <c r="C21" s="168">
        <f>IF(ISERROR(B21/SUM($B$20,$B$21,$B$22)*100),0,B21/SUM($B$20,$B$21,$B$22)*100)</f>
        <v>71.887966804979257</v>
      </c>
      <c r="D21" s="230"/>
      <c r="E21" s="15"/>
    </row>
    <row r="22" spans="1:7">
      <c r="A22" s="172" t="s">
        <v>75</v>
      </c>
      <c r="B22" s="37">
        <f>aantalw2001_hout</f>
        <v>247</v>
      </c>
      <c r="C22" s="168">
        <f>IF(ISERROR(B22/SUM($B$20,$B$21,$B$22)*100),0,B22/SUM($B$20,$B$21,$B$22)*100)</f>
        <v>12.811203319502074</v>
      </c>
      <c r="D22" s="230"/>
      <c r="E22" s="15"/>
    </row>
    <row r="23" spans="1:7">
      <c r="A23" s="172" t="s">
        <v>76</v>
      </c>
      <c r="B23" s="37">
        <f>aantalw2001_niet_gespec</f>
        <v>262</v>
      </c>
      <c r="C23" s="167" t="s">
        <v>111</v>
      </c>
      <c r="D23" s="229"/>
      <c r="E23" s="15"/>
    </row>
    <row r="24" spans="1:7">
      <c r="A24" s="172" t="s">
        <v>77</v>
      </c>
      <c r="B24" s="37">
        <f>aantalw2001_steenkool</f>
        <v>465</v>
      </c>
      <c r="C24" s="167" t="s">
        <v>111</v>
      </c>
      <c r="D24" s="230"/>
      <c r="E24" s="15"/>
    </row>
    <row r="25" spans="1:7">
      <c r="A25" s="172" t="s">
        <v>78</v>
      </c>
      <c r="B25" s="37">
        <f>aantalw2001_stookolie</f>
        <v>3046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14846</v>
      </c>
      <c r="C28" s="36"/>
      <c r="D28" s="229"/>
    </row>
    <row r="29" spans="1:7" s="15" customFormat="1">
      <c r="A29" s="231" t="s">
        <v>714</v>
      </c>
      <c r="B29" s="37">
        <f>SUM(HH_hh_gas_aantal,HH_rest_gas_aantal)</f>
        <v>9796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9796</v>
      </c>
      <c r="C32" s="168">
        <f>IF(ISERROR(B32/SUM($B$32,$B$34,$B$35,$B$36,$B$38,$B$39)*100),0,B32/SUM($B$32,$B$34,$B$35,$B$36,$B$38,$B$39)*100)</f>
        <v>66.077571669477237</v>
      </c>
      <c r="D32" s="234"/>
      <c r="G32" s="15"/>
    </row>
    <row r="33" spans="1:7">
      <c r="A33" s="172" t="s">
        <v>72</v>
      </c>
      <c r="B33" s="34" t="s">
        <v>111</v>
      </c>
      <c r="C33" s="168"/>
      <c r="D33" s="234"/>
      <c r="G33" s="15"/>
    </row>
    <row r="34" spans="1:7">
      <c r="A34" s="172" t="s">
        <v>73</v>
      </c>
      <c r="B34" s="33">
        <f>IF((($B$28-$B$32-$B$39-$B$77-$B$38)*C20/100)&lt;0,0,($B$28-$B$32-$B$39-$B$77-$B$38)*C20/100)</f>
        <v>525.58350622406647</v>
      </c>
      <c r="C34" s="168">
        <f>IF(ISERROR(B34/SUM($B$32,$B$34,$B$35,$B$36,$B$38,$B$39)*100),0,B34/SUM($B$32,$B$34,$B$35,$B$36,$B$38,$B$39)*100)</f>
        <v>3.5452513067390661</v>
      </c>
      <c r="D34" s="234"/>
      <c r="G34" s="15"/>
    </row>
    <row r="35" spans="1:7">
      <c r="A35" s="172" t="s">
        <v>74</v>
      </c>
      <c r="B35" s="33">
        <f>IF((($B$28-$B$32-$B$39-$B$77-$B$38)*C21/100)&lt;0,0,($B$28-$B$32-$B$39-$B$77-$B$38)*C21/100)</f>
        <v>2469.3516597510375</v>
      </c>
      <c r="C35" s="168">
        <f>IF(ISERROR(B35/SUM($B$32,$B$34,$B$35,$B$36,$B$38,$B$39)*100),0,B35/SUM($B$32,$B$34,$B$35,$B$36,$B$38,$B$39)*100)</f>
        <v>16.656672241153711</v>
      </c>
      <c r="D35" s="234"/>
      <c r="G35" s="15"/>
    </row>
    <row r="36" spans="1:7">
      <c r="A36" s="172" t="s">
        <v>75</v>
      </c>
      <c r="B36" s="33">
        <f>IF((($B$28-$B$32-$B$39-$B$77-$B$38)*C22/100)&lt;0,0,($B$28-$B$32-$B$39-$B$77-$B$38)*C22/100)</f>
        <v>440.06483402489624</v>
      </c>
      <c r="C36" s="168">
        <f>IF(ISERROR(B36/SUM($B$32,$B$34,$B$35,$B$36,$B$38,$B$39)*100),0,B36/SUM($B$32,$B$34,$B$35,$B$36,$B$38,$B$39)*100)</f>
        <v>2.96839685682898</v>
      </c>
      <c r="D36" s="234"/>
      <c r="G36" s="15"/>
    </row>
    <row r="37" spans="1:7">
      <c r="A37" s="172" t="s">
        <v>76</v>
      </c>
      <c r="B37" s="34" t="s">
        <v>111</v>
      </c>
      <c r="C37" s="168"/>
      <c r="D37" s="174"/>
      <c r="G37" s="15"/>
    </row>
    <row r="38" spans="1:7">
      <c r="A38" s="172" t="s">
        <v>77</v>
      </c>
      <c r="B38" s="33">
        <f>IF((B24-(B29-B18)*0.1)&lt;0,0,B24-(B29-B18)*0.1)</f>
        <v>273.29999999999995</v>
      </c>
      <c r="C38" s="168">
        <f>IF(ISERROR(B38/SUM($B$32,$B$34,$B$35,$B$36,$B$38,$B$39)*100),0,B38/SUM($B$32,$B$34,$B$35,$B$36,$B$38,$B$39)*100)</f>
        <v>1.8435075885328838</v>
      </c>
      <c r="D38" s="235"/>
      <c r="G38" s="15"/>
    </row>
    <row r="39" spans="1:7">
      <c r="A39" s="172" t="s">
        <v>78</v>
      </c>
      <c r="B39" s="33">
        <f>IF((B25-(B29-B18))&lt;0,0,B25-(B29-B18)*0.9)</f>
        <v>1320.7</v>
      </c>
      <c r="C39" s="168">
        <f>IF(ISERROR(B39/SUM($B$32,$B$34,$B$35,$B$36,$B$38,$B$39)*100),0,B39/SUM($B$32,$B$34,$B$35,$B$36,$B$38,$B$39)*100)</f>
        <v>8.9086003372681297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9796</v>
      </c>
      <c r="C44" s="34" t="s">
        <v>111</v>
      </c>
      <c r="D44" s="175"/>
    </row>
    <row r="45" spans="1:7">
      <c r="A45" s="172" t="s">
        <v>72</v>
      </c>
      <c r="B45" s="33" t="str">
        <f t="shared" si="0"/>
        <v>-</v>
      </c>
      <c r="C45" s="34" t="s">
        <v>111</v>
      </c>
      <c r="D45" s="175"/>
    </row>
    <row r="46" spans="1:7">
      <c r="A46" s="172" t="s">
        <v>73</v>
      </c>
      <c r="B46" s="33">
        <f t="shared" si="0"/>
        <v>525.58350622406647</v>
      </c>
      <c r="C46" s="34" t="s">
        <v>111</v>
      </c>
      <c r="D46" s="175"/>
    </row>
    <row r="47" spans="1:7">
      <c r="A47" s="172" t="s">
        <v>74</v>
      </c>
      <c r="B47" s="33">
        <f t="shared" si="0"/>
        <v>2469.3516597510375</v>
      </c>
      <c r="C47" s="34" t="s">
        <v>111</v>
      </c>
      <c r="D47" s="175"/>
    </row>
    <row r="48" spans="1:7">
      <c r="A48" s="172" t="s">
        <v>75</v>
      </c>
      <c r="B48" s="33">
        <f t="shared" si="0"/>
        <v>440.06483402489624</v>
      </c>
      <c r="C48" s="33">
        <f>B48*10</f>
        <v>4400.6483402489621</v>
      </c>
      <c r="D48" s="235"/>
    </row>
    <row r="49" spans="1:6">
      <c r="A49" s="172" t="s">
        <v>76</v>
      </c>
      <c r="B49" s="33" t="str">
        <f t="shared" si="0"/>
        <v>-</v>
      </c>
      <c r="C49" s="34" t="s">
        <v>111</v>
      </c>
      <c r="D49" s="235"/>
    </row>
    <row r="50" spans="1:6">
      <c r="A50" s="172" t="s">
        <v>77</v>
      </c>
      <c r="B50" s="33">
        <f t="shared" si="0"/>
        <v>273.29999999999995</v>
      </c>
      <c r="C50" s="33">
        <f>B50*2</f>
        <v>546.59999999999991</v>
      </c>
      <c r="D50" s="235"/>
    </row>
    <row r="51" spans="1:6">
      <c r="A51" s="172" t="s">
        <v>78</v>
      </c>
      <c r="B51" s="33">
        <f t="shared" si="0"/>
        <v>1320.7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78950.504451052184</v>
      </c>
      <c r="C5" s="17">
        <f>IF(ISERROR('Eigen informatie GS &amp; warmtenet'!B58),0,'Eigen informatie GS &amp; warmtenet'!B58)</f>
        <v>0</v>
      </c>
      <c r="D5" s="30">
        <f>SUM(D6:D12)</f>
        <v>79700.202332659581</v>
      </c>
      <c r="E5" s="17">
        <f>SUM(E6:E12)</f>
        <v>1517.0542737994137</v>
      </c>
      <c r="F5" s="17">
        <f>SUM(F6:F12)</f>
        <v>15399.626322272392</v>
      </c>
      <c r="G5" s="18"/>
      <c r="H5" s="17"/>
      <c r="I5" s="17"/>
      <c r="J5" s="17">
        <f>SUM(J6:J12)</f>
        <v>0</v>
      </c>
      <c r="K5" s="17"/>
      <c r="L5" s="17"/>
      <c r="M5" s="17"/>
      <c r="N5" s="17">
        <f>SUM(N6:N12)</f>
        <v>1809.1792163051507</v>
      </c>
      <c r="O5" s="17">
        <f>B38*B39*B40</f>
        <v>3.1266666666666669</v>
      </c>
      <c r="P5" s="17">
        <f>B46*B47*B48/1000-B46*B47*B48/1000/B49</f>
        <v>19.066666666666666</v>
      </c>
      <c r="R5" s="32"/>
    </row>
    <row r="6" spans="1:18">
      <c r="A6" s="32" t="s">
        <v>54</v>
      </c>
      <c r="B6" s="37">
        <f>B26</f>
        <v>23126.449234507698</v>
      </c>
      <c r="C6" s="33"/>
      <c r="D6" s="37">
        <f>IF(ISERROR(TER_kantoor_gas_kWh/1000),0,TER_kantoor_gas_kWh/1000)*0.902</f>
        <v>18036.005874280992</v>
      </c>
      <c r="E6" s="33">
        <f>$C$26*'E Balans VL '!I12/100/3.6*1000000</f>
        <v>809.51669679963072</v>
      </c>
      <c r="F6" s="33">
        <f>$C$26*('E Balans VL '!L12+'E Balans VL '!N12)/100/3.6*1000000</f>
        <v>3506.4662239509821</v>
      </c>
      <c r="G6" s="34"/>
      <c r="H6" s="33"/>
      <c r="I6" s="33"/>
      <c r="J6" s="33">
        <f>$C$26*('E Balans VL '!D12+'E Balans VL '!E12)/100/3.6*1000000</f>
        <v>0</v>
      </c>
      <c r="K6" s="33"/>
      <c r="L6" s="33"/>
      <c r="M6" s="33"/>
      <c r="N6" s="33">
        <f>$C$26*'E Balans VL '!Y12/100/3.6*1000000</f>
        <v>178.76021420334325</v>
      </c>
      <c r="O6" s="33"/>
      <c r="P6" s="33"/>
      <c r="R6" s="32"/>
    </row>
    <row r="7" spans="1:18">
      <c r="A7" s="32" t="s">
        <v>53</v>
      </c>
      <c r="B7" s="37">
        <f t="shared" ref="B7:B12" si="0">B27</f>
        <v>6040.0554563082696</v>
      </c>
      <c r="C7" s="33"/>
      <c r="D7" s="37">
        <f>IF(ISERROR(TER_horeca_gas_kWh/1000),0,TER_horeca_gas_kWh/1000)*0.902</f>
        <v>7353.6923465594446</v>
      </c>
      <c r="E7" s="33">
        <f>$C$27*'E Balans VL '!I9/100/3.6*1000000</f>
        <v>340.73944091378235</v>
      </c>
      <c r="F7" s="33">
        <f>$C$27*('E Balans VL '!L9+'E Balans VL '!N9)/100/3.6*1000000</f>
        <v>1052.2110865849668</v>
      </c>
      <c r="G7" s="34"/>
      <c r="H7" s="33"/>
      <c r="I7" s="33"/>
      <c r="J7" s="33">
        <f>$C$27*('E Balans VL '!D9+'E Balans VL '!E9)/100/3.6*1000000</f>
        <v>0</v>
      </c>
      <c r="K7" s="33"/>
      <c r="L7" s="33"/>
      <c r="M7" s="33"/>
      <c r="N7" s="33">
        <f>$C$27*'E Balans VL '!Y9/100/3.6*1000000</f>
        <v>0</v>
      </c>
      <c r="O7" s="33"/>
      <c r="P7" s="33"/>
      <c r="R7" s="32"/>
    </row>
    <row r="8" spans="1:18">
      <c r="A8" s="6" t="s">
        <v>52</v>
      </c>
      <c r="B8" s="37">
        <f t="shared" si="0"/>
        <v>17869.4880461496</v>
      </c>
      <c r="C8" s="33"/>
      <c r="D8" s="37">
        <f>IF(ISERROR(TER_handel_gas_kWh/1000),0,TER_handel_gas_kWh/1000)*0.902</f>
        <v>11206.591178737915</v>
      </c>
      <c r="E8" s="33">
        <f>$C$28*'E Balans VL '!I13/100/3.6*1000000</f>
        <v>91.740136115277608</v>
      </c>
      <c r="F8" s="33">
        <f>$C$28*('E Balans VL '!L13+'E Balans VL '!N13)/100/3.6*1000000</f>
        <v>2755.1989447818269</v>
      </c>
      <c r="G8" s="34"/>
      <c r="H8" s="33"/>
      <c r="I8" s="33"/>
      <c r="J8" s="33">
        <f>$C$28*('E Balans VL '!D13+'E Balans VL '!E13)/100/3.6*1000000</f>
        <v>0</v>
      </c>
      <c r="K8" s="33"/>
      <c r="L8" s="33"/>
      <c r="M8" s="33"/>
      <c r="N8" s="33">
        <f>$C$28*'E Balans VL '!Y13/100/3.6*1000000</f>
        <v>8.3577776856464094</v>
      </c>
      <c r="O8" s="33"/>
      <c r="P8" s="33"/>
      <c r="R8" s="32"/>
    </row>
    <row r="9" spans="1:18">
      <c r="A9" s="32" t="s">
        <v>51</v>
      </c>
      <c r="B9" s="37">
        <f t="shared" si="0"/>
        <v>14346.423065178898</v>
      </c>
      <c r="C9" s="33"/>
      <c r="D9" s="37">
        <f>IF(ISERROR(TER_gezond_gas_kWh/1000),0,TER_gezond_gas_kWh/1000)*0.902</f>
        <v>21763.988639145962</v>
      </c>
      <c r="E9" s="33">
        <f>$C$29*'E Balans VL '!I10/100/3.6*1000000</f>
        <v>5.9464901889533897</v>
      </c>
      <c r="F9" s="33">
        <f>$C$29*('E Balans VL '!L10+'E Balans VL '!N10)/100/3.6*1000000</f>
        <v>3533.3182458006086</v>
      </c>
      <c r="G9" s="34"/>
      <c r="H9" s="33"/>
      <c r="I9" s="33"/>
      <c r="J9" s="33">
        <f>$C$29*('E Balans VL '!D10+'E Balans VL '!E10)/100/3.6*1000000</f>
        <v>0</v>
      </c>
      <c r="K9" s="33"/>
      <c r="L9" s="33"/>
      <c r="M9" s="33"/>
      <c r="N9" s="33">
        <f>$C$29*'E Balans VL '!Y10/100/3.6*1000000</f>
        <v>123.98860447522554</v>
      </c>
      <c r="O9" s="33"/>
      <c r="P9" s="33"/>
      <c r="R9" s="32"/>
    </row>
    <row r="10" spans="1:18">
      <c r="A10" s="32" t="s">
        <v>50</v>
      </c>
      <c r="B10" s="37">
        <f t="shared" si="0"/>
        <v>5123.1030529522304</v>
      </c>
      <c r="C10" s="33"/>
      <c r="D10" s="37">
        <f>IF(ISERROR(TER_ander_gas_kWh/1000),0,TER_ander_gas_kWh/1000)*0.902</f>
        <v>2999.7192412316708</v>
      </c>
      <c r="E10" s="33">
        <f>$C$30*'E Balans VL '!I14/100/3.6*1000000</f>
        <v>31.230562611568427</v>
      </c>
      <c r="F10" s="33">
        <f>$C$30*('E Balans VL '!L14+'E Balans VL '!N14)/100/3.6*1000000</f>
        <v>1358.2047978887626</v>
      </c>
      <c r="G10" s="34"/>
      <c r="H10" s="33"/>
      <c r="I10" s="33"/>
      <c r="J10" s="33">
        <f>$C$30*('E Balans VL '!D14+'E Balans VL '!E14)/100/3.6*1000000</f>
        <v>0</v>
      </c>
      <c r="K10" s="33"/>
      <c r="L10" s="33"/>
      <c r="M10" s="33"/>
      <c r="N10" s="33">
        <f>$C$30*'E Balans VL '!Y14/100/3.6*1000000</f>
        <v>1180.7645515966569</v>
      </c>
      <c r="O10" s="33"/>
      <c r="P10" s="33"/>
      <c r="R10" s="32"/>
    </row>
    <row r="11" spans="1:18">
      <c r="A11" s="32" t="s">
        <v>55</v>
      </c>
      <c r="B11" s="37">
        <f t="shared" si="0"/>
        <v>1403.3031033129898</v>
      </c>
      <c r="C11" s="33"/>
      <c r="D11" s="37">
        <f>IF(ISERROR(TER_onderwijs_gas_kWh/1000),0,TER_onderwijs_gas_kWh/1000)*0.902</f>
        <v>4858.0058257078563</v>
      </c>
      <c r="E11" s="33">
        <f>$C$31*'E Balans VL '!I11/100/3.6*1000000</f>
        <v>1.0693900354890318</v>
      </c>
      <c r="F11" s="33">
        <f>$C$31*('E Balans VL '!L11+'E Balans VL '!N11)/100/3.6*1000000</f>
        <v>1015.5070297671583</v>
      </c>
      <c r="G11" s="34"/>
      <c r="H11" s="33"/>
      <c r="I11" s="33"/>
      <c r="J11" s="33">
        <f>$C$31*('E Balans VL '!D11+'E Balans VL '!E11)/100/3.6*1000000</f>
        <v>0</v>
      </c>
      <c r="K11" s="33"/>
      <c r="L11" s="33"/>
      <c r="M11" s="33"/>
      <c r="N11" s="33">
        <f>$C$31*'E Balans VL '!Y11/100/3.6*1000000</f>
        <v>4.1358696287937304</v>
      </c>
      <c r="O11" s="33"/>
      <c r="P11" s="33"/>
      <c r="R11" s="32"/>
    </row>
    <row r="12" spans="1:18">
      <c r="A12" s="32" t="s">
        <v>261</v>
      </c>
      <c r="B12" s="37">
        <f t="shared" si="0"/>
        <v>11041.6824926425</v>
      </c>
      <c r="C12" s="33"/>
      <c r="D12" s="37">
        <f>IF(ISERROR(TER_rest_gas_kWh/1000),0,TER_rest_gas_kWh/1000)*0.902</f>
        <v>13482.199226995741</v>
      </c>
      <c r="E12" s="33">
        <f>$C$32*'E Balans VL '!I8/100/3.6*1000000</f>
        <v>236.81155713471213</v>
      </c>
      <c r="F12" s="33">
        <f>$C$32*('E Balans VL '!L8+'E Balans VL '!N8)/100/3.6*1000000</f>
        <v>2178.7199934980854</v>
      </c>
      <c r="G12" s="34"/>
      <c r="H12" s="33"/>
      <c r="I12" s="33"/>
      <c r="J12" s="33">
        <f>$C$32*('E Balans VL '!D8+'E Balans VL '!E8)/100/3.6*1000000</f>
        <v>0</v>
      </c>
      <c r="K12" s="33"/>
      <c r="L12" s="33"/>
      <c r="M12" s="33"/>
      <c r="N12" s="33">
        <f>$C$32*'E Balans VL '!Y8/100/3.6*1000000</f>
        <v>313.17219871548485</v>
      </c>
      <c r="O12" s="33"/>
      <c r="P12" s="33"/>
      <c r="R12" s="32"/>
    </row>
    <row r="13" spans="1:18">
      <c r="A13" s="16" t="s">
        <v>497</v>
      </c>
      <c r="B13" s="248">
        <f ca="1">'lokale energieproductie'!N90+'lokale energieproductie'!N59</f>
        <v>20394</v>
      </c>
      <c r="C13" s="248">
        <f ca="1">'lokale energieproductie'!O90+'lokale energieproductie'!O59</f>
        <v>8614.2857142857138</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-53138.571428571435</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99344.504451052184</v>
      </c>
      <c r="C16" s="21">
        <f ca="1">C5+C13+C14</f>
        <v>8614.2857142857138</v>
      </c>
      <c r="D16" s="21">
        <f t="shared" ref="D16:N16" ca="1" si="1">MAX((D5+D13+D14),0)</f>
        <v>79700.202332659581</v>
      </c>
      <c r="E16" s="21">
        <f t="shared" si="1"/>
        <v>1517.0542737994137</v>
      </c>
      <c r="F16" s="21">
        <f t="shared" ca="1" si="1"/>
        <v>15399.626322272392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0.17435971749288576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17321.679730556192</v>
      </c>
      <c r="C20" s="23">
        <f t="shared" ref="C20:P20" ca="1" si="2">C16*C18</f>
        <v>0</v>
      </c>
      <c r="D20" s="23">
        <f t="shared" ca="1" si="2"/>
        <v>16099.440871197236</v>
      </c>
      <c r="E20" s="23">
        <f t="shared" si="2"/>
        <v>344.37132015246692</v>
      </c>
      <c r="F20" s="23">
        <f t="shared" ca="1" si="2"/>
        <v>4111.7002280467286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23126.449234507698</v>
      </c>
      <c r="C26" s="39">
        <f>IF(ISERROR(B26*3.6/1000000/'E Balans VL '!Z12*100),0,B26*3.6/1000000/'E Balans VL '!Z12*100)</f>
        <v>0.48665777181103148</v>
      </c>
      <c r="D26" s="238" t="s">
        <v>720</v>
      </c>
      <c r="F26" s="6"/>
    </row>
    <row r="27" spans="1:18">
      <c r="A27" s="232" t="s">
        <v>53</v>
      </c>
      <c r="B27" s="33">
        <f>IF(ISERROR(TER_horeca_ele_kWh/1000),0,TER_horeca_ele_kWh/1000)</f>
        <v>6040.0554563082696</v>
      </c>
      <c r="C27" s="39">
        <f>IF(ISERROR(B27*3.6/1000000/'E Balans VL '!Z9*100),0,B27*3.6/1000000/'E Balans VL '!Z9*100)</f>
        <v>0.51139452308696409</v>
      </c>
      <c r="D27" s="238" t="s">
        <v>720</v>
      </c>
      <c r="F27" s="6"/>
    </row>
    <row r="28" spans="1:18">
      <c r="A28" s="172" t="s">
        <v>52</v>
      </c>
      <c r="B28" s="33">
        <f>IF(ISERROR(TER_handel_ele_kWh/1000),0,TER_handel_ele_kWh/1000)</f>
        <v>17869.4880461496</v>
      </c>
      <c r="C28" s="39">
        <f>IF(ISERROR(B28*3.6/1000000/'E Balans VL '!Z13*100),0,B28*3.6/1000000/'E Balans VL '!Z13*100)</f>
        <v>0.49471430558189727</v>
      </c>
      <c r="D28" s="238" t="s">
        <v>720</v>
      </c>
      <c r="F28" s="6"/>
    </row>
    <row r="29" spans="1:18">
      <c r="A29" s="232" t="s">
        <v>51</v>
      </c>
      <c r="B29" s="33">
        <f>IF(ISERROR(TER_gezond_ele_kWh/1000),0,TER_gezond_ele_kWh/1000)</f>
        <v>14346.423065178898</v>
      </c>
      <c r="C29" s="39">
        <f>IF(ISERROR(B29*3.6/1000000/'E Balans VL '!Z10*100),0,B29*3.6/1000000/'E Balans VL '!Z10*100)</f>
        <v>1.8648759498301426</v>
      </c>
      <c r="D29" s="238" t="s">
        <v>720</v>
      </c>
      <c r="F29" s="6"/>
    </row>
    <row r="30" spans="1:18">
      <c r="A30" s="232" t="s">
        <v>50</v>
      </c>
      <c r="B30" s="33">
        <f>IF(ISERROR(TER_ander_ele_kWh/1000),0,TER_ander_ele_kWh/1000)</f>
        <v>5123.1030529522304</v>
      </c>
      <c r="C30" s="39">
        <f>IF(ISERROR(B30*3.6/1000000/'E Balans VL '!Z14*100),0,B30*3.6/1000000/'E Balans VL '!Z14*100)</f>
        <v>0.39708746904783015</v>
      </c>
      <c r="D30" s="238" t="s">
        <v>720</v>
      </c>
      <c r="F30" s="6"/>
    </row>
    <row r="31" spans="1:18">
      <c r="A31" s="232" t="s">
        <v>55</v>
      </c>
      <c r="B31" s="33">
        <f>IF(ISERROR(TER_onderwijs_ele_kWh/1000),0,TER_onderwijs_ele_kWh/1000)</f>
        <v>1403.3031033129898</v>
      </c>
      <c r="C31" s="39">
        <f>IF(ISERROR(B31*3.6/1000000/'E Balans VL '!Z11*100),0,B31*3.6/1000000/'E Balans VL '!Z11*100)</f>
        <v>0.26847579544263095</v>
      </c>
      <c r="D31" s="238" t="s">
        <v>720</v>
      </c>
    </row>
    <row r="32" spans="1:18">
      <c r="A32" s="232" t="s">
        <v>261</v>
      </c>
      <c r="B32" s="33">
        <f>IF(ISERROR(TER_rest_ele_kWh/1000),0,TER_rest_ele_kWh/1000)</f>
        <v>11041.6824926425</v>
      </c>
      <c r="C32" s="39">
        <f>IF(ISERROR(B32*3.6/1000000/'E Balans VL '!Z8*100),0,B32*3.6/1000000/'E Balans VL '!Z8*100)</f>
        <v>9.10471512316679E-2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166606.73884490249</v>
      </c>
      <c r="C5" s="17">
        <f>IF(ISERROR('Eigen informatie GS &amp; warmtenet'!B59),0,'Eigen informatie GS &amp; warmtenet'!B59)</f>
        <v>0</v>
      </c>
      <c r="D5" s="30">
        <f>SUM(D6:D15)</f>
        <v>235990.00479420449</v>
      </c>
      <c r="E5" s="17">
        <f>SUM(E6:E15)</f>
        <v>1414.8450413865783</v>
      </c>
      <c r="F5" s="17">
        <f>SUM(F6:F15)</f>
        <v>33550.779321908776</v>
      </c>
      <c r="G5" s="18"/>
      <c r="H5" s="17"/>
      <c r="I5" s="17"/>
      <c r="J5" s="17">
        <f>SUM(J6:J15)</f>
        <v>1524.6218848505193</v>
      </c>
      <c r="K5" s="17"/>
      <c r="L5" s="17"/>
      <c r="M5" s="17"/>
      <c r="N5" s="17">
        <f>SUM(N6:N15)</f>
        <v>2873.8251479710525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47559.757656471702</v>
      </c>
      <c r="C8" s="33"/>
      <c r="D8" s="37">
        <f>IF( ISERROR(IND_metaal_Gas_kWH/1000),0,IND_metaal_Gas_kWH/1000)*0.902</f>
        <v>23478.345216198151</v>
      </c>
      <c r="E8" s="33">
        <f>C30*'E Balans VL '!I18/100/3.6*1000000</f>
        <v>334.19192346749145</v>
      </c>
      <c r="F8" s="33">
        <f>C30*'E Balans VL '!L18/100/3.6*1000000+C30*'E Balans VL '!N18/100/3.6*1000000</f>
        <v>5221.783138710367</v>
      </c>
      <c r="G8" s="34"/>
      <c r="H8" s="33"/>
      <c r="I8" s="33"/>
      <c r="J8" s="40">
        <f>C30*'E Balans VL '!D18/100/3.6*1000000+C30*'E Balans VL '!E18/100/3.6*1000000</f>
        <v>981.26031036336155</v>
      </c>
      <c r="K8" s="33"/>
      <c r="L8" s="33"/>
      <c r="M8" s="33"/>
      <c r="N8" s="33">
        <f>C30*'E Balans VL '!Y18/100/3.6*1000000</f>
        <v>178.25739694652839</v>
      </c>
      <c r="O8" s="33"/>
      <c r="P8" s="33"/>
      <c r="R8" s="32"/>
    </row>
    <row r="9" spans="1:18">
      <c r="A9" s="6" t="s">
        <v>33</v>
      </c>
      <c r="B9" s="37">
        <f t="shared" si="0"/>
        <v>15189.4469499349</v>
      </c>
      <c r="C9" s="33"/>
      <c r="D9" s="37">
        <f>IF( ISERROR(IND_andere_gas_kWh/1000),0,IND_andere_gas_kWh/1000)*0.902</f>
        <v>1691.4323722588094</v>
      </c>
      <c r="E9" s="33">
        <f>C31*'E Balans VL '!I19/100/3.6*1000000</f>
        <v>255.12536919078002</v>
      </c>
      <c r="F9" s="33">
        <f>C31*'E Balans VL '!L19/100/3.6*1000000+C31*'E Balans VL '!N19/100/3.6*1000000</f>
        <v>11874.244499157719</v>
      </c>
      <c r="G9" s="34"/>
      <c r="H9" s="33"/>
      <c r="I9" s="33"/>
      <c r="J9" s="40">
        <f>C31*'E Balans VL '!D19/100/3.6*1000000+C31*'E Balans VL '!E19/100/3.6*1000000</f>
        <v>1.3699540317892747</v>
      </c>
      <c r="K9" s="33"/>
      <c r="L9" s="33"/>
      <c r="M9" s="33"/>
      <c r="N9" s="33">
        <f>C31*'E Balans VL '!Y19/100/3.6*1000000</f>
        <v>1125.7817122124022</v>
      </c>
      <c r="O9" s="33"/>
      <c r="P9" s="33"/>
      <c r="R9" s="32"/>
    </row>
    <row r="10" spans="1:18">
      <c r="A10" s="6" t="s">
        <v>41</v>
      </c>
      <c r="B10" s="37">
        <f t="shared" si="0"/>
        <v>7388.7479980545295</v>
      </c>
      <c r="C10" s="33"/>
      <c r="D10" s="37">
        <f>IF( ISERROR(IND_voed_gas_kWh/1000),0,IND_voed_gas_kWh/1000)*0.902</f>
        <v>8062.056497715078</v>
      </c>
      <c r="E10" s="33">
        <f>C32*'E Balans VL '!I20/100/3.6*1000000</f>
        <v>67.411866340166554</v>
      </c>
      <c r="F10" s="33">
        <f>C32*'E Balans VL '!L20/100/3.6*1000000+C32*'E Balans VL '!N20/100/3.6*1000000</f>
        <v>1192.0361585987509</v>
      </c>
      <c r="G10" s="34"/>
      <c r="H10" s="33"/>
      <c r="I10" s="33"/>
      <c r="J10" s="40">
        <f>C32*'E Balans VL '!D20/100/3.6*1000000+C32*'E Balans VL '!E20/100/3.6*1000000</f>
        <v>30.431708553664699</v>
      </c>
      <c r="K10" s="33"/>
      <c r="L10" s="33"/>
      <c r="M10" s="33"/>
      <c r="N10" s="33">
        <f>C32*'E Balans VL '!Y20/100/3.6*1000000</f>
        <v>108.09155702022302</v>
      </c>
      <c r="O10" s="33"/>
      <c r="P10" s="33"/>
      <c r="R10" s="32"/>
    </row>
    <row r="11" spans="1:18">
      <c r="A11" s="6" t="s">
        <v>40</v>
      </c>
      <c r="B11" s="37">
        <f t="shared" si="0"/>
        <v>233.80405450071601</v>
      </c>
      <c r="C11" s="33"/>
      <c r="D11" s="37">
        <f>IF( ISERROR(IND_textiel_gas_kWh/1000),0,IND_textiel_gas_kWh/1000)*0.902</f>
        <v>349.74994834314555</v>
      </c>
      <c r="E11" s="33">
        <f>C33*'E Balans VL '!I21/100/3.6*1000000</f>
        <v>0.53326367951826648</v>
      </c>
      <c r="F11" s="33">
        <f>C33*'E Balans VL '!L21/100/3.6*1000000+C33*'E Balans VL '!N21/100/3.6*1000000</f>
        <v>4.9977785172364042</v>
      </c>
      <c r="G11" s="34"/>
      <c r="H11" s="33"/>
      <c r="I11" s="33"/>
      <c r="J11" s="40">
        <f>C33*'E Balans VL '!D21/100/3.6*1000000+C33*'E Balans VL '!E21/100/3.6*1000000</f>
        <v>0</v>
      </c>
      <c r="K11" s="33"/>
      <c r="L11" s="33"/>
      <c r="M11" s="33"/>
      <c r="N11" s="33">
        <f>C33*'E Balans VL '!Y21/100/3.6*1000000</f>
        <v>1.6585744202292729</v>
      </c>
      <c r="O11" s="33"/>
      <c r="P11" s="33"/>
      <c r="R11" s="32"/>
    </row>
    <row r="12" spans="1:18">
      <c r="A12" s="6" t="s">
        <v>37</v>
      </c>
      <c r="B12" s="37">
        <f t="shared" si="0"/>
        <v>104.366506493798</v>
      </c>
      <c r="C12" s="33"/>
      <c r="D12" s="37">
        <f>IF( ISERROR(IND_min_gas_kWh/1000),0,IND_min_gas_kWh/1000)*0.902</f>
        <v>240.09616301110674</v>
      </c>
      <c r="E12" s="33">
        <f>C34*'E Balans VL '!I22/100/3.6*1000000</f>
        <v>2.5886286616013705</v>
      </c>
      <c r="F12" s="33">
        <f>C34*'E Balans VL '!L22/100/3.6*1000000+C34*'E Balans VL '!N22/100/3.6*1000000</f>
        <v>11.089940623875417</v>
      </c>
      <c r="G12" s="34"/>
      <c r="H12" s="33"/>
      <c r="I12" s="33"/>
      <c r="J12" s="40">
        <f>C34*'E Balans VL '!D22/100/3.6*1000000+C34*'E Balans VL '!E22/100/3.6*1000000</f>
        <v>0.59286299520595331</v>
      </c>
      <c r="K12" s="33"/>
      <c r="L12" s="33"/>
      <c r="M12" s="33"/>
      <c r="N12" s="33">
        <f>C34*'E Balans VL '!Y22/100/3.6*1000000</f>
        <v>0</v>
      </c>
      <c r="O12" s="33"/>
      <c r="P12" s="33"/>
      <c r="R12" s="32"/>
    </row>
    <row r="13" spans="1:18">
      <c r="A13" s="6" t="s">
        <v>39</v>
      </c>
      <c r="B13" s="37">
        <f t="shared" si="0"/>
        <v>54.7069042863411</v>
      </c>
      <c r="C13" s="33"/>
      <c r="D13" s="37">
        <f>IF( ISERROR(IND_papier_gas_kWh/1000),0,IND_papier_gas_kWh/1000)*0.902</f>
        <v>33.217254007446442</v>
      </c>
      <c r="E13" s="33">
        <f>C35*'E Balans VL '!I23/100/3.6*1000000</f>
        <v>1.6831886725861875</v>
      </c>
      <c r="F13" s="33">
        <f>C35*'E Balans VL '!L23/100/3.6*1000000+C35*'E Balans VL '!N23/100/3.6*1000000</f>
        <v>11.616187673335801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20189.9262820724</v>
      </c>
      <c r="C14" s="33"/>
      <c r="D14" s="37">
        <f>IF( ISERROR(IND_chemie_gas_kWh/1000),0,IND_chemie_gas_kWh/1000)*0.902</f>
        <v>4683.105470881369</v>
      </c>
      <c r="E14" s="33">
        <f>C36*'E Balans VL '!I24/100/3.6*1000000</f>
        <v>68.457756245019951</v>
      </c>
      <c r="F14" s="33">
        <f>C36*'E Balans VL '!L24/100/3.6*1000000+C36*'E Balans VL '!N24/100/3.6*1000000</f>
        <v>64.794365177449109</v>
      </c>
      <c r="G14" s="34"/>
      <c r="H14" s="33"/>
      <c r="I14" s="33"/>
      <c r="J14" s="40">
        <f>C36*'E Balans VL '!D24/100/3.6*1000000+C36*'E Balans VL '!E24/100/3.6*1000000</f>
        <v>0</v>
      </c>
      <c r="K14" s="33"/>
      <c r="L14" s="33"/>
      <c r="M14" s="33"/>
      <c r="N14" s="33">
        <f>C36*'E Balans VL '!Y24/100/3.6*1000000</f>
        <v>94.402623727594161</v>
      </c>
      <c r="O14" s="33"/>
      <c r="P14" s="33"/>
      <c r="R14" s="32"/>
    </row>
    <row r="15" spans="1:18">
      <c r="A15" s="6" t="s">
        <v>271</v>
      </c>
      <c r="B15" s="37">
        <f t="shared" si="0"/>
        <v>75885.9824930881</v>
      </c>
      <c r="C15" s="33"/>
      <c r="D15" s="37">
        <f>IF( ISERROR(IND_rest_gas_kWh/1000),0,IND_rest_gas_kWh/1000)*0.902</f>
        <v>197452.0018717894</v>
      </c>
      <c r="E15" s="33">
        <f>C37*'E Balans VL '!I15/100/3.6*1000000</f>
        <v>684.85304512941445</v>
      </c>
      <c r="F15" s="33">
        <f>C37*'E Balans VL '!L15/100/3.6*1000000+C37*'E Balans VL '!N15/100/3.6*1000000</f>
        <v>15170.217253450046</v>
      </c>
      <c r="G15" s="34"/>
      <c r="H15" s="33"/>
      <c r="I15" s="33"/>
      <c r="J15" s="40">
        <f>C37*'E Balans VL '!D15/100/3.6*1000000+C37*'E Balans VL '!E15/100/3.6*1000000</f>
        <v>510.96704890649795</v>
      </c>
      <c r="K15" s="33"/>
      <c r="L15" s="33"/>
      <c r="M15" s="33"/>
      <c r="N15" s="33">
        <f>C37*'E Balans VL '!Y15/100/3.6*1000000</f>
        <v>1365.6332836440756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166606.73884490249</v>
      </c>
      <c r="C18" s="21">
        <f>C5+C16</f>
        <v>0</v>
      </c>
      <c r="D18" s="21">
        <f>MAX((D5+D16),0)</f>
        <v>235990.00479420449</v>
      </c>
      <c r="E18" s="21">
        <f>MAX((E5+E16),0)</f>
        <v>1414.8450413865783</v>
      </c>
      <c r="F18" s="21">
        <f>MAX((F5+F16),0)</f>
        <v>33550.779321908776</v>
      </c>
      <c r="G18" s="21"/>
      <c r="H18" s="21"/>
      <c r="I18" s="21"/>
      <c r="J18" s="21">
        <f>MAX((J5+J16),0)</f>
        <v>1524.6218848505193</v>
      </c>
      <c r="K18" s="21"/>
      <c r="L18" s="21">
        <f>MAX((L5+L16),0)</f>
        <v>0</v>
      </c>
      <c r="M18" s="21"/>
      <c r="N18" s="21">
        <f>MAX((N5+N16),0)</f>
        <v>2873.8251479710525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0.17435971749288576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29049.503917408194</v>
      </c>
      <c r="C22" s="23">
        <f ca="1">C18*C20</f>
        <v>0</v>
      </c>
      <c r="D22" s="23">
        <f>D18*D20</f>
        <v>47669.980968429307</v>
      </c>
      <c r="E22" s="23">
        <f>E18*E20</f>
        <v>321.16982439475328</v>
      </c>
      <c r="F22" s="23">
        <f>F18*F20</f>
        <v>8958.0580789496435</v>
      </c>
      <c r="G22" s="23"/>
      <c r="H22" s="23"/>
      <c r="I22" s="23"/>
      <c r="J22" s="23">
        <f>J18*J20</f>
        <v>539.71614723708376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47559.757656471702</v>
      </c>
      <c r="C30" s="39">
        <f>IF(ISERROR(B30*3.6/1000000/'E Balans VL '!Z18*100),0,B30*3.6/1000000/'E Balans VL '!Z18*100)</f>
        <v>3.1660821096130496</v>
      </c>
      <c r="D30" s="238" t="s">
        <v>720</v>
      </c>
    </row>
    <row r="31" spans="1:18">
      <c r="A31" s="6" t="s">
        <v>33</v>
      </c>
      <c r="B31" s="37">
        <f>IF( ISERROR(IND_ander_ele_kWh/1000),0,IND_ander_ele_kWh/1000)</f>
        <v>15189.4469499349</v>
      </c>
      <c r="C31" s="39">
        <f>IF(ISERROR(B31*3.6/1000000/'E Balans VL '!Z19*100),0,B31*3.6/1000000/'E Balans VL '!Z19*100)</f>
        <v>0.67328798831964343</v>
      </c>
      <c r="D31" s="238" t="s">
        <v>720</v>
      </c>
    </row>
    <row r="32" spans="1:18">
      <c r="A32" s="172" t="s">
        <v>41</v>
      </c>
      <c r="B32" s="37">
        <f>IF( ISERROR(IND_voed_ele_kWh/1000),0,IND_voed_ele_kWh/1000)</f>
        <v>7388.7479980545295</v>
      </c>
      <c r="C32" s="39">
        <f>IF(ISERROR(B32*3.6/1000000/'E Balans VL '!Z20*100),0,B32*3.6/1000000/'E Balans VL '!Z20*100)</f>
        <v>0.24680537870978422</v>
      </c>
      <c r="D32" s="238" t="s">
        <v>720</v>
      </c>
    </row>
    <row r="33" spans="1:5">
      <c r="A33" s="172" t="s">
        <v>40</v>
      </c>
      <c r="B33" s="37">
        <f>IF( ISERROR(IND_textiel_ele_kWh/1000),0,IND_textiel_ele_kWh/1000)</f>
        <v>233.80405450071601</v>
      </c>
      <c r="C33" s="39">
        <f>IF(ISERROR(B33*3.6/1000000/'E Balans VL '!Z21*100),0,B33*3.6/1000000/'E Balans VL '!Z21*100)</f>
        <v>3.0780842936516051E-2</v>
      </c>
      <c r="D33" s="238" t="s">
        <v>720</v>
      </c>
    </row>
    <row r="34" spans="1:5">
      <c r="A34" s="172" t="s">
        <v>37</v>
      </c>
      <c r="B34" s="37">
        <f>IF( ISERROR(IND_min_ele_kWh/1000),0,IND_min_ele_kWh/1000)</f>
        <v>104.366506493798</v>
      </c>
      <c r="C34" s="39">
        <f>IF(ISERROR(B34*3.6/1000000/'E Balans VL '!Z22*100),0,B34*3.6/1000000/'E Balans VL '!Z22*100)</f>
        <v>2.0298139112135245E-2</v>
      </c>
      <c r="D34" s="238" t="s">
        <v>720</v>
      </c>
    </row>
    <row r="35" spans="1:5">
      <c r="A35" s="172" t="s">
        <v>39</v>
      </c>
      <c r="B35" s="37">
        <f>IF( ISERROR(IND_papier_ele_kWh/1000),0,IND_papier_ele_kWh/1000)</f>
        <v>54.7069042863411</v>
      </c>
      <c r="C35" s="39">
        <f>IF(ISERROR(B35*3.6/1000000/'E Balans VL '!Z22*100),0,B35*3.6/1000000/'E Balans VL '!Z22*100)</f>
        <v>1.0639891962508186E-2</v>
      </c>
      <c r="D35" s="238" t="s">
        <v>720</v>
      </c>
    </row>
    <row r="36" spans="1:5">
      <c r="A36" s="172" t="s">
        <v>34</v>
      </c>
      <c r="B36" s="37">
        <f>IF( ISERROR(IND_chemie_ele_kWh/1000),0,IND_chemie_ele_kWh/1000)</f>
        <v>20189.9262820724</v>
      </c>
      <c r="C36" s="39">
        <f>IF(ISERROR(B36*3.6/1000000/'E Balans VL '!Z24*100),0,B36*3.6/1000000/'E Balans VL '!Z24*100)</f>
        <v>0.47411384861808603</v>
      </c>
      <c r="D36" s="238" t="s">
        <v>720</v>
      </c>
    </row>
    <row r="37" spans="1:5">
      <c r="A37" s="172" t="s">
        <v>271</v>
      </c>
      <c r="B37" s="37">
        <f>IF( ISERROR(IND_rest_ele_kWh/1000),0,IND_rest_ele_kWh/1000)</f>
        <v>75885.9824930881</v>
      </c>
      <c r="C37" s="39">
        <f>IF(ISERROR(B37*3.6/1000000/'E Balans VL '!Z15*100),0,B37*3.6/1000000/'E Balans VL '!Z15*100)</f>
        <v>0.56446808090797662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9796.912704136379</v>
      </c>
      <c r="C5" s="17">
        <f>'Eigen informatie GS &amp; warmtenet'!B60</f>
        <v>0</v>
      </c>
      <c r="D5" s="30">
        <f>IF(ISERROR(SUM(LB_lb_gas_kWh,LB_rest_gas_kWh,onbekend_gas_kWh)/1000),0,SUM(LB_lb_gas_kWh,LB_rest_gas_kWh,onbekend_gas_kWh)/1000)*0.902</f>
        <v>8836.7101187416083</v>
      </c>
      <c r="E5" s="17">
        <f>B17*'E Balans VL '!I25/3.6*1000000/100</f>
        <v>102.59539078282496</v>
      </c>
      <c r="F5" s="17">
        <f>B17*('E Balans VL '!L25/3.6*1000000+'E Balans VL '!N25/3.6*1000000)/100</f>
        <v>50318.503554693547</v>
      </c>
      <c r="G5" s="18"/>
      <c r="H5" s="17"/>
      <c r="I5" s="17"/>
      <c r="J5" s="17">
        <f>('E Balans VL '!D25+'E Balans VL '!E25)/3.6*1000000*landbouw!B17/100</f>
        <v>874.95211570597542</v>
      </c>
      <c r="K5" s="17"/>
      <c r="L5" s="17">
        <f>L6*(-1)</f>
        <v>0</v>
      </c>
      <c r="M5" s="17"/>
      <c r="N5" s="17">
        <f>N6*(-1)</f>
        <v>26807.142857142859</v>
      </c>
      <c r="O5" s="17"/>
      <c r="P5" s="17"/>
      <c r="R5" s="32"/>
    </row>
    <row r="6" spans="1:18">
      <c r="A6" s="16" t="s">
        <v>497</v>
      </c>
      <c r="B6" s="17" t="s">
        <v>212</v>
      </c>
      <c r="C6" s="17">
        <f>'lokale energieproductie'!O91+'lokale energieproductie'!O60</f>
        <v>13403.571428571429</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-26807.142857142859</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9796.912704136379</v>
      </c>
      <c r="C8" s="21">
        <f>C5+C6</f>
        <v>13403.571428571429</v>
      </c>
      <c r="D8" s="21">
        <f>MAX((D5+D6),0)</f>
        <v>8836.7101187416083</v>
      </c>
      <c r="E8" s="21">
        <f>MAX((E5+E6),0)</f>
        <v>102.59539078282496</v>
      </c>
      <c r="F8" s="21">
        <f>MAX((F5+F6),0)</f>
        <v>50318.503554693547</v>
      </c>
      <c r="G8" s="21"/>
      <c r="H8" s="21"/>
      <c r="I8" s="21"/>
      <c r="J8" s="21">
        <f>MAX((J5+J6),0)</f>
        <v>874.95211570597542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0.17435971749288576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1708.1869313956824</v>
      </c>
      <c r="C12" s="23">
        <f ca="1">C8*C10</f>
        <v>0</v>
      </c>
      <c r="D12" s="23">
        <f>D8*D10</f>
        <v>1785.0154439858049</v>
      </c>
      <c r="E12" s="23">
        <f>E8*E10</f>
        <v>23.289153707701267</v>
      </c>
      <c r="F12" s="23">
        <f>F8*F10</f>
        <v>13435.040449103179</v>
      </c>
      <c r="G12" s="23"/>
      <c r="H12" s="23"/>
      <c r="I12" s="23"/>
      <c r="J12" s="23">
        <f>J8*J10</f>
        <v>309.73304895991527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1.5079339805300023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1500.8636091086983</v>
      </c>
      <c r="C26" s="248">
        <f>B26*'GWP N2O_CH4'!B5</f>
        <v>31518.135791282664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950.8691811079608</v>
      </c>
      <c r="C27" s="248">
        <f>B27*'GWP N2O_CH4'!B5</f>
        <v>19968.252803267176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21.044001600400254</v>
      </c>
      <c r="C28" s="248">
        <f>B28*'GWP N2O_CH4'!B4</f>
        <v>6523.6404961240787</v>
      </c>
      <c r="D28" s="50"/>
    </row>
    <row r="29" spans="1:4">
      <c r="A29" s="41" t="s">
        <v>278</v>
      </c>
      <c r="B29" s="248">
        <f>B34*'ha_N2O bodem landbouw'!B4</f>
        <v>82.665009017051574</v>
      </c>
      <c r="C29" s="248">
        <f>B29*'GWP N2O_CH4'!B4</f>
        <v>25626.152795285987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1.3661478437226785E-2</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6.4876434304012299E-6</v>
      </c>
      <c r="C5" s="446" t="s">
        <v>212</v>
      </c>
      <c r="D5" s="431">
        <f>SUM(D6:D11)</f>
        <v>3.1815233568019546E-5</v>
      </c>
      <c r="E5" s="431">
        <f>SUM(E6:E11)</f>
        <v>3.2554187403604881E-3</v>
      </c>
      <c r="F5" s="444" t="s">
        <v>212</v>
      </c>
      <c r="G5" s="431">
        <f>SUM(G6:G11)</f>
        <v>0.65213682140255835</v>
      </c>
      <c r="H5" s="431">
        <f>SUM(H6:H11)</f>
        <v>0.10612918394973224</v>
      </c>
      <c r="I5" s="446" t="s">
        <v>212</v>
      </c>
      <c r="J5" s="446" t="s">
        <v>212</v>
      </c>
      <c r="K5" s="446" t="s">
        <v>212</v>
      </c>
      <c r="L5" s="446" t="s">
        <v>212</v>
      </c>
      <c r="M5" s="431">
        <f>SUM(M6:M11)</f>
        <v>3.3070840788170748E-2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5.1740953120616531E-6</v>
      </c>
      <c r="C6" s="432"/>
      <c r="D6" s="432">
        <f>vkm_2011_GW_PW*SUMIFS(TableVerdeelsleutelVkm[CNG],TableVerdeelsleutelVkm[Voertuigtype],"Lichte voertuigen")*SUMIFS(TableECFTransport[EnergieConsumptieFactor (PJ per km)],TableECFTransport[Index],CONCATENATE($A6,"_CNG_CNG"))</f>
        <v>2.2304923454122759E-5</v>
      </c>
      <c r="E6" s="434">
        <f>vkm_2011_GW_PW*SUMIFS(TableVerdeelsleutelVkm[LPG],TableVerdeelsleutelVkm[Voertuigtype],"Lichte voertuigen")*SUMIFS(TableECFTransport[EnergieConsumptieFactor (PJ per km)],TableECFTransport[Index],CONCATENATE($A6,"_LPG_LPG"))</f>
        <v>2.3206904252635954E-3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0.28545129324984891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7.5153410099805626E-2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1.5803426905981278E-2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0.21709882640224323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7.444017909437213E-5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9.3782625279149549E-3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1.1150903975222478E-6</v>
      </c>
      <c r="C8" s="432"/>
      <c r="D8" s="434">
        <f>vkm_2011_NGW_PW*SUMIFS(TableVerdeelsleutelVkm[CNG],TableVerdeelsleutelVkm[Voertuigtype],"Lichte voertuigen")*SUMIFS(TableECFTransport[EnergieConsumptieFactor (PJ per km)],TableECFTransport[Index],CONCATENATE($A8,"_CNG_CNG"))</f>
        <v>8.6239200885473694E-6</v>
      </c>
      <c r="E8" s="434">
        <f>vkm_2011_NGW_PW*SUMIFS(TableVerdeelsleutelVkm[LPG],TableVerdeelsleutelVkm[Voertuigtype],"Lichte voertuigen")*SUMIFS(TableECFTransport[EnergieConsumptieFactor (PJ per km)],TableECFTransport[Index],CONCATENATE($A8,"_LPG_LPG"))</f>
        <v>8.1927038037367254E-4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9.5580427310108684E-2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2.7737009959501385E-2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5.4106398799336278E-3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2.9560729231072665E-2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8.8053646456861331E-6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1.2769065549984335E-3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1.984577208173292E-7</v>
      </c>
      <c r="C10" s="432"/>
      <c r="D10" s="434">
        <f>vkm_2011_SW_PW*SUMIFS(TableVerdeelsleutelVkm[CNG],TableVerdeelsleutelVkm[Voertuigtype],"Lichte voertuigen")*SUMIFS(TableECFTransport[EnergieConsumptieFactor (PJ per km)],TableECFTransport[Index],CONCATENATE($A10,"_CNG_CNG"))</f>
        <v>8.863900253494171E-7</v>
      </c>
      <c r="E10" s="434">
        <f>vkm_2011_SW_PW*SUMIFS(TableVerdeelsleutelVkm[LPG],TableVerdeelsleutelVkm[Voertuigtype],"Lichte voertuigen")*SUMIFS(TableECFTransport[EnergieConsumptieFactor (PJ per km)],TableECFTransport[Index],CONCATENATE($A10,"_LPG_LPG"))</f>
        <v>1.1545793472322E-4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1.3056144950330001E-2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3.1513515848679697E-3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7.0959207008193699E-4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1.1389400258954688E-2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4.1667618171908318E-6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4.9201284926052324E-4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1.8021231751114528</v>
      </c>
      <c r="C14" s="21"/>
      <c r="D14" s="21">
        <f t="shared" ref="D14:M14" si="0">((D5)*10^9/3600)+D12</f>
        <v>8.8375648800054289</v>
      </c>
      <c r="E14" s="21">
        <f t="shared" si="0"/>
        <v>904.28298343346898</v>
      </c>
      <c r="F14" s="21"/>
      <c r="G14" s="21">
        <f t="shared" si="0"/>
        <v>181149.1170562662</v>
      </c>
      <c r="H14" s="21">
        <f t="shared" si="0"/>
        <v>29480.328874925624</v>
      </c>
      <c r="I14" s="21"/>
      <c r="J14" s="21"/>
      <c r="K14" s="21"/>
      <c r="L14" s="21"/>
      <c r="M14" s="21">
        <f t="shared" si="0"/>
        <v>9186.3446633807634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0.17435971749288576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0.31421768769981523</v>
      </c>
      <c r="C18" s="23"/>
      <c r="D18" s="23">
        <f t="shared" ref="D18:M18" si="1">D14*D16</f>
        <v>1.7851881057610968</v>
      </c>
      <c r="E18" s="23">
        <f t="shared" si="1"/>
        <v>205.27223723939747</v>
      </c>
      <c r="F18" s="23"/>
      <c r="G18" s="23">
        <f t="shared" si="1"/>
        <v>48366.814254023077</v>
      </c>
      <c r="H18" s="23">
        <f t="shared" si="1"/>
        <v>7340.6018898564807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1.4375026260429051E-2</v>
      </c>
      <c r="H50" s="322">
        <f t="shared" si="2"/>
        <v>0</v>
      </c>
      <c r="I50" s="322">
        <f t="shared" si="2"/>
        <v>0</v>
      </c>
      <c r="J50" s="322">
        <f t="shared" si="2"/>
        <v>0</v>
      </c>
      <c r="K50" s="322">
        <f t="shared" si="2"/>
        <v>0</v>
      </c>
      <c r="L50" s="322">
        <f t="shared" si="2"/>
        <v>0</v>
      </c>
      <c r="M50" s="322">
        <f t="shared" si="2"/>
        <v>6.1274491751735487E-4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1.4375026260429051E-2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6.1274491751735487E-4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3993.0628501191809</v>
      </c>
      <c r="H54" s="21">
        <f t="shared" si="3"/>
        <v>0</v>
      </c>
      <c r="I54" s="21">
        <f t="shared" si="3"/>
        <v>0</v>
      </c>
      <c r="J54" s="21">
        <f t="shared" si="3"/>
        <v>0</v>
      </c>
      <c r="K54" s="21">
        <f t="shared" si="3"/>
        <v>0</v>
      </c>
      <c r="L54" s="21">
        <f t="shared" si="3"/>
        <v>0</v>
      </c>
      <c r="M54" s="21">
        <f t="shared" si="3"/>
        <v>170.20692153259856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0.17435971749288576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1066.1477809818214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34193.681244038504</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7292.1177738084098</v>
      </c>
      <c r="C6" s="1124"/>
      <c r="D6" s="1127"/>
      <c r="E6" s="1127"/>
      <c r="F6" s="1130"/>
      <c r="G6" s="1133"/>
      <c r="H6" s="1121"/>
      <c r="I6" s="1127"/>
      <c r="J6" s="1127"/>
      <c r="K6" s="1127"/>
      <c r="L6" s="1157"/>
      <c r="M6" s="559"/>
      <c r="N6" s="1169"/>
      <c r="O6" s="1170"/>
      <c r="Q6" s="557"/>
      <c r="R6" s="1154"/>
      <c r="S6" s="1154"/>
    </row>
    <row r="7" spans="1:19" s="547" customFormat="1">
      <c r="A7" s="560" t="s">
        <v>253</v>
      </c>
      <c r="B7" s="561">
        <f>N57</f>
        <v>15412.5</v>
      </c>
      <c r="C7" s="562">
        <f>B100</f>
        <v>0</v>
      </c>
      <c r="D7" s="563"/>
      <c r="E7" s="563">
        <f>E100</f>
        <v>0</v>
      </c>
      <c r="F7" s="564"/>
      <c r="G7" s="565"/>
      <c r="H7" s="563">
        <f>I100</f>
        <v>0</v>
      </c>
      <c r="I7" s="563">
        <f>G100+F100</f>
        <v>0</v>
      </c>
      <c r="J7" s="563">
        <f>H100+D100+C100</f>
        <v>18132.352941176472</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14364</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35910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71262.299017846904</v>
      </c>
      <c r="C9" s="578">
        <f t="shared" ref="C9:L9" si="0">SUM(C7:C8)</f>
        <v>0</v>
      </c>
      <c r="D9" s="578">
        <f t="shared" si="0"/>
        <v>0</v>
      </c>
      <c r="E9" s="578">
        <f t="shared" si="0"/>
        <v>0</v>
      </c>
      <c r="F9" s="578">
        <f t="shared" si="0"/>
        <v>0</v>
      </c>
      <c r="G9" s="578">
        <f t="shared" si="0"/>
        <v>0</v>
      </c>
      <c r="H9" s="578">
        <f t="shared" si="0"/>
        <v>0</v>
      </c>
      <c r="I9" s="578">
        <f t="shared" si="0"/>
        <v>0</v>
      </c>
      <c r="J9" s="578">
        <f t="shared" si="0"/>
        <v>54042.352941176476</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22017.857142857145</v>
      </c>
      <c r="C16" s="594">
        <f>B101</f>
        <v>0</v>
      </c>
      <c r="D16" s="595"/>
      <c r="E16" s="595">
        <f>E101</f>
        <v>0</v>
      </c>
      <c r="F16" s="596"/>
      <c r="G16" s="597"/>
      <c r="H16" s="594">
        <f>I101</f>
        <v>0</v>
      </c>
      <c r="I16" s="595">
        <f>G101+F101</f>
        <v>0</v>
      </c>
      <c r="J16" s="595">
        <f>H101+D101+C101</f>
        <v>25903.361344537818</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22017.857142857145</v>
      </c>
      <c r="C19" s="577">
        <f>SUM(C16:C18)</f>
        <v>0</v>
      </c>
      <c r="D19" s="577">
        <f t="shared" ref="D19:M19" si="1">SUM(D16:D18)</f>
        <v>0</v>
      </c>
      <c r="E19" s="577">
        <f t="shared" si="1"/>
        <v>0</v>
      </c>
      <c r="F19" s="577">
        <f t="shared" si="1"/>
        <v>0</v>
      </c>
      <c r="G19" s="577">
        <f t="shared" si="1"/>
        <v>0</v>
      </c>
      <c r="H19" s="577">
        <f t="shared" si="1"/>
        <v>0</v>
      </c>
      <c r="I19" s="577">
        <f t="shared" si="1"/>
        <v>0</v>
      </c>
      <c r="J19" s="577">
        <f t="shared" si="1"/>
        <v>25903.361344537818</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33011</v>
      </c>
      <c r="C27" s="839">
        <v>8900</v>
      </c>
      <c r="D27" s="656" t="s">
        <v>894</v>
      </c>
      <c r="E27" s="655" t="s">
        <v>895</v>
      </c>
      <c r="F27" s="655" t="s">
        <v>896</v>
      </c>
      <c r="G27" s="655" t="s">
        <v>897</v>
      </c>
      <c r="H27" s="655" t="s">
        <v>898</v>
      </c>
      <c r="I27" s="655" t="s">
        <v>895</v>
      </c>
      <c r="J27" s="838">
        <v>37824</v>
      </c>
      <c r="K27" s="838">
        <v>40350</v>
      </c>
      <c r="L27" s="655" t="s">
        <v>899</v>
      </c>
      <c r="M27" s="655">
        <v>1340</v>
      </c>
      <c r="N27" s="655">
        <v>6030</v>
      </c>
      <c r="O27" s="655">
        <v>8614.2857142857138</v>
      </c>
      <c r="P27" s="655">
        <v>0</v>
      </c>
      <c r="Q27" s="655">
        <v>17228.571428571431</v>
      </c>
      <c r="R27" s="655">
        <v>0</v>
      </c>
      <c r="S27" s="655">
        <v>0</v>
      </c>
      <c r="T27" s="655">
        <v>0</v>
      </c>
      <c r="U27" s="655">
        <v>0</v>
      </c>
      <c r="V27" s="655">
        <v>0</v>
      </c>
      <c r="W27" s="655">
        <v>0</v>
      </c>
      <c r="X27" s="655">
        <v>1600</v>
      </c>
      <c r="Y27" s="655" t="s">
        <v>50</v>
      </c>
      <c r="Z27" s="657" t="s">
        <v>156</v>
      </c>
    </row>
    <row r="28" spans="1:26" s="609" customFormat="1" ht="25.5">
      <c r="A28" s="608"/>
      <c r="B28" s="839">
        <v>33011</v>
      </c>
      <c r="C28" s="839">
        <v>8900</v>
      </c>
      <c r="D28" s="656" t="s">
        <v>900</v>
      </c>
      <c r="E28" s="655" t="s">
        <v>901</v>
      </c>
      <c r="F28" s="655" t="s">
        <v>902</v>
      </c>
      <c r="G28" s="655" t="s">
        <v>897</v>
      </c>
      <c r="H28" s="655" t="s">
        <v>898</v>
      </c>
      <c r="I28" s="655" t="s">
        <v>901</v>
      </c>
      <c r="J28" s="838">
        <v>40199</v>
      </c>
      <c r="K28" s="838">
        <v>39360</v>
      </c>
      <c r="L28" s="655" t="s">
        <v>899</v>
      </c>
      <c r="M28" s="655">
        <v>2085</v>
      </c>
      <c r="N28" s="655">
        <v>9382.5</v>
      </c>
      <c r="O28" s="655">
        <v>13403.571428571429</v>
      </c>
      <c r="P28" s="655">
        <v>0</v>
      </c>
      <c r="Q28" s="655">
        <v>26807.142857142859</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3425</v>
      </c>
      <c r="N57" s="613">
        <f>SUM(N27:N56)</f>
        <v>15412.5</v>
      </c>
      <c r="O57" s="613">
        <f t="shared" ref="O57:W57" si="2">SUM(O27:O56)</f>
        <v>22017.857142857145</v>
      </c>
      <c r="P57" s="613">
        <f t="shared" si="2"/>
        <v>0</v>
      </c>
      <c r="Q57" s="613">
        <f t="shared" si="2"/>
        <v>44035.71428571429</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1340</v>
      </c>
      <c r="N59" s="613">
        <f ca="1">SUMIF($Z$27:AB56,"tertiair",N27:N56)</f>
        <v>6030</v>
      </c>
      <c r="O59" s="613">
        <f ca="1">SUMIF($Z$27:AC56,"tertiair",O27:O56)</f>
        <v>8614.2857142857138</v>
      </c>
      <c r="P59" s="613">
        <f ca="1">SUMIF($Z$27:AD56,"tertiair",P27:P56)</f>
        <v>0</v>
      </c>
      <c r="Q59" s="613">
        <f ca="1">SUMIF($Z$27:AE56,"tertiair",Q27:Q56)</f>
        <v>17228.571428571431</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2085</v>
      </c>
      <c r="N60" s="618">
        <f t="shared" ref="N60:W60" si="4">SUMIF($Z$27:$Z$56,"landbouw",N27:N56)</f>
        <v>9382.5</v>
      </c>
      <c r="O60" s="618">
        <f t="shared" si="4"/>
        <v>13403.571428571429</v>
      </c>
      <c r="P60" s="618">
        <f t="shared" si="4"/>
        <v>0</v>
      </c>
      <c r="Q60" s="618">
        <f t="shared" si="4"/>
        <v>26807.142857142859</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33011</v>
      </c>
      <c r="C63" s="839">
        <v>8900</v>
      </c>
      <c r="D63" s="658" t="s">
        <v>903</v>
      </c>
      <c r="E63" s="658" t="s">
        <v>904</v>
      </c>
      <c r="F63" s="658" t="s">
        <v>905</v>
      </c>
      <c r="G63" s="658" t="s">
        <v>906</v>
      </c>
      <c r="H63" s="658" t="s">
        <v>907</v>
      </c>
      <c r="I63" s="658" t="s">
        <v>908</v>
      </c>
      <c r="J63" s="838">
        <v>40179</v>
      </c>
      <c r="K63" s="838">
        <v>40218</v>
      </c>
      <c r="L63" s="658" t="s">
        <v>909</v>
      </c>
      <c r="M63" s="658">
        <v>3192</v>
      </c>
      <c r="N63" s="658">
        <v>14364</v>
      </c>
      <c r="O63" s="658">
        <v>0</v>
      </c>
      <c r="P63" s="658">
        <v>0</v>
      </c>
      <c r="Q63" s="658">
        <v>0</v>
      </c>
      <c r="R63" s="658">
        <v>0</v>
      </c>
      <c r="S63" s="658">
        <v>0</v>
      </c>
      <c r="T63" s="658">
        <v>0</v>
      </c>
      <c r="U63" s="658">
        <v>0</v>
      </c>
      <c r="V63" s="658">
        <v>35910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3192</v>
      </c>
      <c r="N88" s="613">
        <f t="shared" ref="N88:W88" si="5">SUM(N63:N87)</f>
        <v>14364</v>
      </c>
      <c r="O88" s="613">
        <f t="shared" si="5"/>
        <v>0</v>
      </c>
      <c r="P88" s="613">
        <f t="shared" si="5"/>
        <v>0</v>
      </c>
      <c r="Q88" s="613">
        <f t="shared" si="5"/>
        <v>0</v>
      </c>
      <c r="R88" s="613">
        <f t="shared" si="5"/>
        <v>0</v>
      </c>
      <c r="S88" s="613">
        <f t="shared" si="5"/>
        <v>0</v>
      </c>
      <c r="T88" s="613">
        <f t="shared" si="5"/>
        <v>0</v>
      </c>
      <c r="U88" s="613">
        <f t="shared" si="5"/>
        <v>0</v>
      </c>
      <c r="V88" s="613">
        <f t="shared" si="5"/>
        <v>35910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3192</v>
      </c>
      <c r="N90" s="613">
        <f t="shared" ref="N90:W90" si="7">SUMIF($Z$63:$Z$88,"tertiair",N63:N88)</f>
        <v>14364</v>
      </c>
      <c r="O90" s="613">
        <f t="shared" si="7"/>
        <v>0</v>
      </c>
      <c r="P90" s="613">
        <f t="shared" si="7"/>
        <v>0</v>
      </c>
      <c r="Q90" s="613">
        <f t="shared" si="7"/>
        <v>0</v>
      </c>
      <c r="R90" s="613">
        <f t="shared" si="7"/>
        <v>0</v>
      </c>
      <c r="S90" s="613">
        <f t="shared" si="7"/>
        <v>0</v>
      </c>
      <c r="T90" s="613">
        <f t="shared" si="7"/>
        <v>0</v>
      </c>
      <c r="U90" s="613">
        <f t="shared" si="7"/>
        <v>0</v>
      </c>
      <c r="V90" s="613">
        <f t="shared" si="7"/>
        <v>35910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18132.352941176472</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25903.361344537818</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102564.67845105218</v>
      </c>
      <c r="D10" s="702">
        <f ca="1">tertiair!C16</f>
        <v>8614.2857142857138</v>
      </c>
      <c r="E10" s="702">
        <f ca="1">tertiair!D16</f>
        <v>79700.202332659581</v>
      </c>
      <c r="F10" s="702">
        <f>tertiair!E16</f>
        <v>1517.0542737994137</v>
      </c>
      <c r="G10" s="702">
        <f ca="1">tertiair!F16</f>
        <v>15399.626322272392</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3.1266666666666669</v>
      </c>
      <c r="Q10" s="703">
        <f>tertiair!P16</f>
        <v>19.066666666666666</v>
      </c>
      <c r="R10" s="705">
        <f ca="1">SUM(C10:Q10)</f>
        <v>207818.04042740262</v>
      </c>
      <c r="S10" s="67"/>
    </row>
    <row r="11" spans="1:19" s="457" customFormat="1">
      <c r="A11" s="858" t="s">
        <v>226</v>
      </c>
      <c r="B11" s="863"/>
      <c r="C11" s="702">
        <f>huishoudens!B8</f>
        <v>58698.664812985233</v>
      </c>
      <c r="D11" s="702">
        <f>huishoudens!C8</f>
        <v>0</v>
      </c>
      <c r="E11" s="702">
        <f>huishoudens!D8</f>
        <v>135323.51977129051</v>
      </c>
      <c r="F11" s="702">
        <f>huishoudens!E8</f>
        <v>10811.08531975458</v>
      </c>
      <c r="G11" s="702">
        <f>huishoudens!F8</f>
        <v>30114.741210141769</v>
      </c>
      <c r="H11" s="702">
        <f>huishoudens!G8</f>
        <v>0</v>
      </c>
      <c r="I11" s="702">
        <f>huishoudens!H8</f>
        <v>0</v>
      </c>
      <c r="J11" s="702">
        <f>huishoudens!I8</f>
        <v>0</v>
      </c>
      <c r="K11" s="702">
        <f>huishoudens!J8</f>
        <v>7839.8970161150783</v>
      </c>
      <c r="L11" s="702">
        <f>huishoudens!K8</f>
        <v>0</v>
      </c>
      <c r="M11" s="702">
        <f>huishoudens!L8</f>
        <v>0</v>
      </c>
      <c r="N11" s="702">
        <f>huishoudens!M8</f>
        <v>0</v>
      </c>
      <c r="O11" s="702">
        <f>huishoudens!N8</f>
        <v>26190.520708148408</v>
      </c>
      <c r="P11" s="702">
        <f>huishoudens!O8</f>
        <v>171.96666666666667</v>
      </c>
      <c r="Q11" s="703">
        <f>huishoudens!P8</f>
        <v>400.4</v>
      </c>
      <c r="R11" s="705">
        <f>SUM(C11:Q11)</f>
        <v>269550.79550510226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166606.73884490249</v>
      </c>
      <c r="D13" s="702">
        <f>industrie!C18</f>
        <v>0</v>
      </c>
      <c r="E13" s="702">
        <f>industrie!D18</f>
        <v>235990.00479420449</v>
      </c>
      <c r="F13" s="702">
        <f>industrie!E18</f>
        <v>1414.8450413865783</v>
      </c>
      <c r="G13" s="702">
        <f>industrie!F18</f>
        <v>33550.779321908776</v>
      </c>
      <c r="H13" s="702">
        <f>industrie!G18</f>
        <v>0</v>
      </c>
      <c r="I13" s="702">
        <f>industrie!H18</f>
        <v>0</v>
      </c>
      <c r="J13" s="702">
        <f>industrie!I18</f>
        <v>0</v>
      </c>
      <c r="K13" s="702">
        <f>industrie!J18</f>
        <v>1524.6218848505193</v>
      </c>
      <c r="L13" s="702">
        <f>industrie!K18</f>
        <v>0</v>
      </c>
      <c r="M13" s="702">
        <f>industrie!L18</f>
        <v>0</v>
      </c>
      <c r="N13" s="702">
        <f>industrie!M18</f>
        <v>0</v>
      </c>
      <c r="O13" s="702">
        <f>industrie!N18</f>
        <v>2873.8251479710525</v>
      </c>
      <c r="P13" s="702">
        <f>industrie!O18</f>
        <v>0</v>
      </c>
      <c r="Q13" s="703">
        <f>industrie!P18</f>
        <v>0</v>
      </c>
      <c r="R13" s="705">
        <f>SUM(C13:Q13)</f>
        <v>441960.81503522384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327870.08210893988</v>
      </c>
      <c r="D15" s="707">
        <f t="shared" ref="D15:Q15" ca="1" si="0">SUM(D9:D14)</f>
        <v>8614.2857142857138</v>
      </c>
      <c r="E15" s="707">
        <f t="shared" ca="1" si="0"/>
        <v>451013.72689815459</v>
      </c>
      <c r="F15" s="707">
        <f t="shared" si="0"/>
        <v>13742.984634940573</v>
      </c>
      <c r="G15" s="707">
        <f t="shared" ca="1" si="0"/>
        <v>79065.146854322928</v>
      </c>
      <c r="H15" s="707">
        <f t="shared" si="0"/>
        <v>0</v>
      </c>
      <c r="I15" s="707">
        <f t="shared" si="0"/>
        <v>0</v>
      </c>
      <c r="J15" s="707">
        <f t="shared" si="0"/>
        <v>0</v>
      </c>
      <c r="K15" s="707">
        <f t="shared" si="0"/>
        <v>9364.5189009655969</v>
      </c>
      <c r="L15" s="707">
        <f t="shared" si="0"/>
        <v>0</v>
      </c>
      <c r="M15" s="707">
        <f t="shared" ca="1" si="0"/>
        <v>0</v>
      </c>
      <c r="N15" s="707">
        <f t="shared" si="0"/>
        <v>0</v>
      </c>
      <c r="O15" s="707">
        <f t="shared" ca="1" si="0"/>
        <v>29064.34585611946</v>
      </c>
      <c r="P15" s="707">
        <f t="shared" si="0"/>
        <v>175.09333333333333</v>
      </c>
      <c r="Q15" s="708">
        <f t="shared" si="0"/>
        <v>419.46666666666664</v>
      </c>
      <c r="R15" s="709">
        <f ca="1">SUM(R9:R14)</f>
        <v>919329.6509677287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3993.0628501191809</v>
      </c>
      <c r="I18" s="702">
        <f>transport!H54</f>
        <v>0</v>
      </c>
      <c r="J18" s="702">
        <f>transport!I54</f>
        <v>0</v>
      </c>
      <c r="K18" s="702">
        <f>transport!J54</f>
        <v>0</v>
      </c>
      <c r="L18" s="702">
        <f>transport!K54</f>
        <v>0</v>
      </c>
      <c r="M18" s="702">
        <f>transport!L54</f>
        <v>0</v>
      </c>
      <c r="N18" s="702">
        <f>transport!M54</f>
        <v>170.20692153259856</v>
      </c>
      <c r="O18" s="702">
        <f>transport!N54</f>
        <v>0</v>
      </c>
      <c r="P18" s="702">
        <f>transport!O54</f>
        <v>0</v>
      </c>
      <c r="Q18" s="703">
        <f>transport!P54</f>
        <v>0</v>
      </c>
      <c r="R18" s="705">
        <f>SUM(C18:Q18)</f>
        <v>4163.2697716517796</v>
      </c>
      <c r="S18" s="67"/>
    </row>
    <row r="19" spans="1:19" s="457" customFormat="1" ht="15" thickBot="1">
      <c r="A19" s="858" t="s">
        <v>308</v>
      </c>
      <c r="B19" s="863"/>
      <c r="C19" s="711">
        <f>transport!B14</f>
        <v>1.8021231751114528</v>
      </c>
      <c r="D19" s="711">
        <f>transport!C14</f>
        <v>0</v>
      </c>
      <c r="E19" s="711">
        <f>transport!D14</f>
        <v>8.8375648800054289</v>
      </c>
      <c r="F19" s="711">
        <f>transport!E14</f>
        <v>904.28298343346898</v>
      </c>
      <c r="G19" s="711">
        <f>transport!F14</f>
        <v>0</v>
      </c>
      <c r="H19" s="711">
        <f>transport!G14</f>
        <v>181149.1170562662</v>
      </c>
      <c r="I19" s="711">
        <f>transport!H14</f>
        <v>29480.328874925624</v>
      </c>
      <c r="J19" s="711">
        <f>transport!I14</f>
        <v>0</v>
      </c>
      <c r="K19" s="711">
        <f>transport!J14</f>
        <v>0</v>
      </c>
      <c r="L19" s="711">
        <f>transport!K14</f>
        <v>0</v>
      </c>
      <c r="M19" s="711">
        <f>transport!L14</f>
        <v>0</v>
      </c>
      <c r="N19" s="711">
        <f>transport!M14</f>
        <v>9186.3446633807634</v>
      </c>
      <c r="O19" s="711">
        <f>transport!N14</f>
        <v>0</v>
      </c>
      <c r="P19" s="711">
        <f>transport!O14</f>
        <v>0</v>
      </c>
      <c r="Q19" s="712">
        <f>transport!P14</f>
        <v>0</v>
      </c>
      <c r="R19" s="713">
        <f>SUM(C19:Q19)</f>
        <v>220730.71326606115</v>
      </c>
      <c r="S19" s="67"/>
    </row>
    <row r="20" spans="1:19" s="457" customFormat="1" ht="15.75" thickBot="1">
      <c r="A20" s="714" t="s">
        <v>231</v>
      </c>
      <c r="B20" s="866"/>
      <c r="C20" s="861">
        <f>SUM(C17:C19)</f>
        <v>1.8021231751114528</v>
      </c>
      <c r="D20" s="715">
        <f t="shared" ref="D20:R20" si="1">SUM(D17:D19)</f>
        <v>0</v>
      </c>
      <c r="E20" s="715">
        <f t="shared" si="1"/>
        <v>8.8375648800054289</v>
      </c>
      <c r="F20" s="715">
        <f t="shared" si="1"/>
        <v>904.28298343346898</v>
      </c>
      <c r="G20" s="715">
        <f t="shared" si="1"/>
        <v>0</v>
      </c>
      <c r="H20" s="715">
        <f t="shared" si="1"/>
        <v>185142.17990638537</v>
      </c>
      <c r="I20" s="715">
        <f t="shared" si="1"/>
        <v>29480.328874925624</v>
      </c>
      <c r="J20" s="715">
        <f t="shared" si="1"/>
        <v>0</v>
      </c>
      <c r="K20" s="715">
        <f t="shared" si="1"/>
        <v>0</v>
      </c>
      <c r="L20" s="715">
        <f t="shared" si="1"/>
        <v>0</v>
      </c>
      <c r="M20" s="715">
        <f t="shared" si="1"/>
        <v>0</v>
      </c>
      <c r="N20" s="715">
        <f t="shared" si="1"/>
        <v>9356.5515849133626</v>
      </c>
      <c r="O20" s="715">
        <f t="shared" si="1"/>
        <v>0</v>
      </c>
      <c r="P20" s="715">
        <f t="shared" si="1"/>
        <v>0</v>
      </c>
      <c r="Q20" s="716">
        <f t="shared" si="1"/>
        <v>0</v>
      </c>
      <c r="R20" s="717">
        <f t="shared" si="1"/>
        <v>224893.98303771293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9796.912704136379</v>
      </c>
      <c r="D22" s="711">
        <f>+landbouw!C8</f>
        <v>13403.571428571429</v>
      </c>
      <c r="E22" s="711">
        <f>+landbouw!D8</f>
        <v>8836.7101187416083</v>
      </c>
      <c r="F22" s="711">
        <f>+landbouw!E8</f>
        <v>102.59539078282496</v>
      </c>
      <c r="G22" s="711">
        <f>+landbouw!F8</f>
        <v>50318.503554693547</v>
      </c>
      <c r="H22" s="711">
        <f>+landbouw!G8</f>
        <v>0</v>
      </c>
      <c r="I22" s="711">
        <f>+landbouw!H8</f>
        <v>0</v>
      </c>
      <c r="J22" s="711">
        <f>+landbouw!I8</f>
        <v>0</v>
      </c>
      <c r="K22" s="711">
        <f>+landbouw!J8</f>
        <v>874.95211570597542</v>
      </c>
      <c r="L22" s="711">
        <f>+landbouw!K8</f>
        <v>0</v>
      </c>
      <c r="M22" s="711">
        <f>+landbouw!L8</f>
        <v>0</v>
      </c>
      <c r="N22" s="711">
        <f>+landbouw!M8</f>
        <v>0</v>
      </c>
      <c r="O22" s="711">
        <f>+landbouw!N8</f>
        <v>0</v>
      </c>
      <c r="P22" s="711">
        <f>+landbouw!O8</f>
        <v>0</v>
      </c>
      <c r="Q22" s="712">
        <f>+landbouw!P8</f>
        <v>0</v>
      </c>
      <c r="R22" s="713">
        <f>SUM(C22:Q22)</f>
        <v>83333.245312631771</v>
      </c>
      <c r="S22" s="67"/>
    </row>
    <row r="23" spans="1:19" s="457" customFormat="1" ht="17.25" thickTop="1" thickBot="1">
      <c r="A23" s="718" t="s">
        <v>116</v>
      </c>
      <c r="B23" s="852"/>
      <c r="C23" s="719">
        <f ca="1">C20+C15+C22</f>
        <v>337668.7969362514</v>
      </c>
      <c r="D23" s="719">
        <f t="shared" ref="D23:Q23" ca="1" si="2">D20+D15+D22</f>
        <v>22017.857142857145</v>
      </c>
      <c r="E23" s="719">
        <f t="shared" ca="1" si="2"/>
        <v>459859.27458177623</v>
      </c>
      <c r="F23" s="719">
        <f t="shared" si="2"/>
        <v>14749.863009156867</v>
      </c>
      <c r="G23" s="719">
        <f t="shared" ca="1" si="2"/>
        <v>129383.65040901647</v>
      </c>
      <c r="H23" s="719">
        <f t="shared" si="2"/>
        <v>185142.17990638537</v>
      </c>
      <c r="I23" s="719">
        <f t="shared" si="2"/>
        <v>29480.328874925624</v>
      </c>
      <c r="J23" s="719">
        <f t="shared" si="2"/>
        <v>0</v>
      </c>
      <c r="K23" s="719">
        <f t="shared" si="2"/>
        <v>10239.471016671572</v>
      </c>
      <c r="L23" s="719">
        <f t="shared" si="2"/>
        <v>0</v>
      </c>
      <c r="M23" s="719">
        <f t="shared" ca="1" si="2"/>
        <v>0</v>
      </c>
      <c r="N23" s="719">
        <f t="shared" si="2"/>
        <v>9356.5515849133626</v>
      </c>
      <c r="O23" s="719">
        <f t="shared" ca="1" si="2"/>
        <v>29064.34585611946</v>
      </c>
      <c r="P23" s="719">
        <f t="shared" si="2"/>
        <v>175.09333333333333</v>
      </c>
      <c r="Q23" s="720">
        <f t="shared" si="2"/>
        <v>419.46666666666664</v>
      </c>
      <c r="R23" s="721">
        <f ca="1">R20+R15+R22</f>
        <v>1227556.8793180734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17883.148359474129</v>
      </c>
      <c r="D36" s="702">
        <f ca="1">tertiair!C20</f>
        <v>0</v>
      </c>
      <c r="E36" s="702">
        <f ca="1">tertiair!D20</f>
        <v>16099.440871197236</v>
      </c>
      <c r="F36" s="702">
        <f>tertiair!E20</f>
        <v>344.37132015246692</v>
      </c>
      <c r="G36" s="702">
        <f ca="1">tertiair!F20</f>
        <v>4111.7002280467286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38438.660778870559</v>
      </c>
    </row>
    <row r="37" spans="1:18">
      <c r="A37" s="873" t="s">
        <v>226</v>
      </c>
      <c r="B37" s="880"/>
      <c r="C37" s="702">
        <f ca="1">huishoudens!B12</f>
        <v>10234.682614001698</v>
      </c>
      <c r="D37" s="702">
        <f ca="1">huishoudens!C12</f>
        <v>0</v>
      </c>
      <c r="E37" s="702">
        <f>huishoudens!D12</f>
        <v>27335.350993800683</v>
      </c>
      <c r="F37" s="702">
        <f>huishoudens!E12</f>
        <v>2454.1163675842899</v>
      </c>
      <c r="G37" s="702">
        <f>huishoudens!F12</f>
        <v>8040.6359031078528</v>
      </c>
      <c r="H37" s="702">
        <f>huishoudens!G12</f>
        <v>0</v>
      </c>
      <c r="I37" s="702">
        <f>huishoudens!H12</f>
        <v>0</v>
      </c>
      <c r="J37" s="702">
        <f>huishoudens!I12</f>
        <v>0</v>
      </c>
      <c r="K37" s="702">
        <f>huishoudens!J12</f>
        <v>2775.3235437047374</v>
      </c>
      <c r="L37" s="702">
        <f>huishoudens!K12</f>
        <v>0</v>
      </c>
      <c r="M37" s="702">
        <f>huishoudens!L12</f>
        <v>0</v>
      </c>
      <c r="N37" s="702">
        <f>huishoudens!M12</f>
        <v>0</v>
      </c>
      <c r="O37" s="702">
        <f>huishoudens!N12</f>
        <v>0</v>
      </c>
      <c r="P37" s="702">
        <f>huishoudens!O12</f>
        <v>0</v>
      </c>
      <c r="Q37" s="812">
        <f>huishoudens!P12</f>
        <v>0</v>
      </c>
      <c r="R37" s="905">
        <f ca="1">SUM(C37:Q37)</f>
        <v>50840.109422199268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29049.503917408194</v>
      </c>
      <c r="D39" s="702">
        <f ca="1">industrie!C22</f>
        <v>0</v>
      </c>
      <c r="E39" s="702">
        <f>industrie!D22</f>
        <v>47669.980968429307</v>
      </c>
      <c r="F39" s="702">
        <f>industrie!E22</f>
        <v>321.16982439475328</v>
      </c>
      <c r="G39" s="702">
        <f>industrie!F22</f>
        <v>8958.0580789496435</v>
      </c>
      <c r="H39" s="702">
        <f>industrie!G22</f>
        <v>0</v>
      </c>
      <c r="I39" s="702">
        <f>industrie!H22</f>
        <v>0</v>
      </c>
      <c r="J39" s="702">
        <f>industrie!I22</f>
        <v>0</v>
      </c>
      <c r="K39" s="702">
        <f>industrie!J22</f>
        <v>539.71614723708376</v>
      </c>
      <c r="L39" s="702">
        <f>industrie!K22</f>
        <v>0</v>
      </c>
      <c r="M39" s="702">
        <f>industrie!L22</f>
        <v>0</v>
      </c>
      <c r="N39" s="702">
        <f>industrie!M22</f>
        <v>0</v>
      </c>
      <c r="O39" s="702">
        <f>industrie!N22</f>
        <v>0</v>
      </c>
      <c r="P39" s="702">
        <f>industrie!O22</f>
        <v>0</v>
      </c>
      <c r="Q39" s="812">
        <f>industrie!P22</f>
        <v>0</v>
      </c>
      <c r="R39" s="906">
        <f ca="1">SUM(C39:Q39)</f>
        <v>86538.428936418975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57167.334890884027</v>
      </c>
      <c r="D41" s="747">
        <f t="shared" ref="D41:R41" ca="1" si="4">SUM(D35:D40)</f>
        <v>0</v>
      </c>
      <c r="E41" s="747">
        <f t="shared" ca="1" si="4"/>
        <v>91104.772833427225</v>
      </c>
      <c r="F41" s="747">
        <f t="shared" si="4"/>
        <v>3119.65751213151</v>
      </c>
      <c r="G41" s="747">
        <f t="shared" ca="1" si="4"/>
        <v>21110.394210104227</v>
      </c>
      <c r="H41" s="747">
        <f t="shared" si="4"/>
        <v>0</v>
      </c>
      <c r="I41" s="747">
        <f t="shared" si="4"/>
        <v>0</v>
      </c>
      <c r="J41" s="747">
        <f t="shared" si="4"/>
        <v>0</v>
      </c>
      <c r="K41" s="747">
        <f t="shared" si="4"/>
        <v>3315.0396909418214</v>
      </c>
      <c r="L41" s="747">
        <f t="shared" si="4"/>
        <v>0</v>
      </c>
      <c r="M41" s="747">
        <f t="shared" ca="1" si="4"/>
        <v>0</v>
      </c>
      <c r="N41" s="747">
        <f t="shared" si="4"/>
        <v>0</v>
      </c>
      <c r="O41" s="747">
        <f t="shared" ca="1" si="4"/>
        <v>0</v>
      </c>
      <c r="P41" s="747">
        <f t="shared" si="4"/>
        <v>0</v>
      </c>
      <c r="Q41" s="748">
        <f t="shared" si="4"/>
        <v>0</v>
      </c>
      <c r="R41" s="749">
        <f t="shared" ca="1" si="4"/>
        <v>175817.19913748879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1066.1477809818214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1066.1477809818214</v>
      </c>
    </row>
    <row r="45" spans="1:18" ht="15" thickBot="1">
      <c r="A45" s="876" t="s">
        <v>308</v>
      </c>
      <c r="B45" s="886"/>
      <c r="C45" s="711">
        <f ca="1">transport!B18</f>
        <v>0.31421768769981523</v>
      </c>
      <c r="D45" s="711">
        <f>transport!C18</f>
        <v>0</v>
      </c>
      <c r="E45" s="711">
        <f>transport!D18</f>
        <v>1.7851881057610968</v>
      </c>
      <c r="F45" s="711">
        <f>transport!E18</f>
        <v>205.27223723939747</v>
      </c>
      <c r="G45" s="711">
        <f>transport!F18</f>
        <v>0</v>
      </c>
      <c r="H45" s="711">
        <f>transport!G18</f>
        <v>48366.814254023077</v>
      </c>
      <c r="I45" s="711">
        <f>transport!H18</f>
        <v>7340.6018898564807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55914.787786912413</v>
      </c>
    </row>
    <row r="46" spans="1:18" ht="15.75" thickBot="1">
      <c r="A46" s="874" t="s">
        <v>231</v>
      </c>
      <c r="B46" s="887"/>
      <c r="C46" s="747">
        <f t="shared" ref="C46:R46" ca="1" si="5">SUM(C43:C45)</f>
        <v>0.31421768769981523</v>
      </c>
      <c r="D46" s="747">
        <f t="shared" ca="1" si="5"/>
        <v>0</v>
      </c>
      <c r="E46" s="747">
        <f t="shared" si="5"/>
        <v>1.7851881057610968</v>
      </c>
      <c r="F46" s="747">
        <f t="shared" si="5"/>
        <v>205.27223723939747</v>
      </c>
      <c r="G46" s="747">
        <f t="shared" si="5"/>
        <v>0</v>
      </c>
      <c r="H46" s="747">
        <f t="shared" si="5"/>
        <v>49432.962035004901</v>
      </c>
      <c r="I46" s="747">
        <f t="shared" si="5"/>
        <v>7340.6018898564807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56980.935567894237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1708.1869313956824</v>
      </c>
      <c r="D48" s="702">
        <f ca="1">+landbouw!C12</f>
        <v>0</v>
      </c>
      <c r="E48" s="702">
        <f>+landbouw!D12</f>
        <v>1785.0154439858049</v>
      </c>
      <c r="F48" s="702">
        <f>+landbouw!E12</f>
        <v>23.289153707701267</v>
      </c>
      <c r="G48" s="702">
        <f>+landbouw!F12</f>
        <v>13435.040449103179</v>
      </c>
      <c r="H48" s="702">
        <f>+landbouw!G12</f>
        <v>0</v>
      </c>
      <c r="I48" s="702">
        <f>+landbouw!H12</f>
        <v>0</v>
      </c>
      <c r="J48" s="702">
        <f>+landbouw!I12</f>
        <v>0</v>
      </c>
      <c r="K48" s="702">
        <f>+landbouw!J12</f>
        <v>309.73304895991527</v>
      </c>
      <c r="L48" s="702">
        <f>+landbouw!K12</f>
        <v>0</v>
      </c>
      <c r="M48" s="702">
        <f>+landbouw!L12</f>
        <v>0</v>
      </c>
      <c r="N48" s="702">
        <f>+landbouw!M12</f>
        <v>0</v>
      </c>
      <c r="O48" s="702">
        <f>+landbouw!N12</f>
        <v>0</v>
      </c>
      <c r="P48" s="702">
        <f>+landbouw!O12</f>
        <v>0</v>
      </c>
      <c r="Q48" s="703">
        <f>+landbouw!P12</f>
        <v>0</v>
      </c>
      <c r="R48" s="745">
        <f ca="1">SUM(C48:Q48)</f>
        <v>17261.265027152283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58875.836039967413</v>
      </c>
      <c r="D53" s="757">
        <f t="shared" ref="D53:Q53" ca="1" si="6">D41+D46+D48</f>
        <v>0</v>
      </c>
      <c r="E53" s="757">
        <f t="shared" ca="1" si="6"/>
        <v>92891.573465518784</v>
      </c>
      <c r="F53" s="757">
        <f t="shared" si="6"/>
        <v>3348.2189030786085</v>
      </c>
      <c r="G53" s="757">
        <f t="shared" ca="1" si="6"/>
        <v>34545.434659207407</v>
      </c>
      <c r="H53" s="757">
        <f t="shared" si="6"/>
        <v>49432.962035004901</v>
      </c>
      <c r="I53" s="757">
        <f t="shared" si="6"/>
        <v>7340.6018898564807</v>
      </c>
      <c r="J53" s="757">
        <f t="shared" si="6"/>
        <v>0</v>
      </c>
      <c r="K53" s="757">
        <f t="shared" si="6"/>
        <v>3624.7727399017367</v>
      </c>
      <c r="L53" s="757">
        <f t="shared" si="6"/>
        <v>0</v>
      </c>
      <c r="M53" s="757">
        <f t="shared" ca="1" si="6"/>
        <v>0</v>
      </c>
      <c r="N53" s="757">
        <f t="shared" si="6"/>
        <v>0</v>
      </c>
      <c r="O53" s="757">
        <f t="shared" ca="1" si="6"/>
        <v>0</v>
      </c>
      <c r="P53" s="757">
        <f>P41+P46+P48</f>
        <v>0</v>
      </c>
      <c r="Q53" s="758">
        <f t="shared" si="6"/>
        <v>0</v>
      </c>
      <c r="R53" s="759">
        <f ca="1">R41+R46+R48</f>
        <v>250059.39973253533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0.17435971749288579</v>
      </c>
      <c r="D55" s="823">
        <f t="shared" ca="1" si="7"/>
        <v>0</v>
      </c>
      <c r="E55" s="823">
        <f t="shared" ca="1" si="7"/>
        <v>0.20199999999999996</v>
      </c>
      <c r="F55" s="823">
        <f t="shared" si="7"/>
        <v>0.22699999999999998</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34193.681244038504</v>
      </c>
      <c r="C64" s="779">
        <f>'lokale energieproductie'!B4</f>
        <v>34193.681244038504</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7292.1177738084098</v>
      </c>
      <c r="C66" s="779">
        <f>'lokale energieproductie'!B6</f>
        <v>7292.1177738084098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15412.5</v>
      </c>
      <c r="C67" s="778">
        <f>B67*IFERROR(SUM(J67:L67)/SUM(D67:M67),0)</f>
        <v>15412.5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18132.352941176472</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14364</v>
      </c>
      <c r="C68" s="778">
        <f>B68*IFERROR(SUM(J68:L68)/SUM(D68:M68),0)</f>
        <v>14364</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35910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71262.299017846904</v>
      </c>
      <c r="C69" s="787">
        <f>SUM(C64:C68)</f>
        <v>71262.299017846904</v>
      </c>
      <c r="D69" s="788">
        <f t="shared" ref="D69:M69" si="8">SUM(D67:D68)</f>
        <v>0</v>
      </c>
      <c r="E69" s="788">
        <f t="shared" si="8"/>
        <v>0</v>
      </c>
      <c r="F69" s="788">
        <f t="shared" si="8"/>
        <v>0</v>
      </c>
      <c r="G69" s="788">
        <f t="shared" si="8"/>
        <v>0</v>
      </c>
      <c r="H69" s="788">
        <f t="shared" si="8"/>
        <v>0</v>
      </c>
      <c r="I69" s="788">
        <f t="shared" si="8"/>
        <v>0</v>
      </c>
      <c r="J69" s="788">
        <f t="shared" si="8"/>
        <v>0</v>
      </c>
      <c r="K69" s="788">
        <f t="shared" si="8"/>
        <v>54042.352941176476</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22017.857142857145</v>
      </c>
      <c r="C78" s="801">
        <f>B78*IFERROR(SUM(I78:L78)/SUM(D78:M78),0)</f>
        <v>22017.857142857145</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25903.361344537818</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22017.857142857145</v>
      </c>
      <c r="C81" s="787">
        <f>SUM(C78:C80)</f>
        <v>22017.857142857145</v>
      </c>
      <c r="D81" s="787">
        <f t="shared" ref="D81:P81" si="9">SUM(D78:D80)</f>
        <v>0</v>
      </c>
      <c r="E81" s="787">
        <f t="shared" si="9"/>
        <v>0</v>
      </c>
      <c r="F81" s="787">
        <f t="shared" si="9"/>
        <v>0</v>
      </c>
      <c r="G81" s="787">
        <f t="shared" si="9"/>
        <v>0</v>
      </c>
      <c r="H81" s="787">
        <f t="shared" si="9"/>
        <v>0</v>
      </c>
      <c r="I81" s="787">
        <f t="shared" si="9"/>
        <v>0</v>
      </c>
      <c r="J81" s="787">
        <f t="shared" si="9"/>
        <v>0</v>
      </c>
      <c r="K81" s="787">
        <f t="shared" si="9"/>
        <v>25903.361344537818</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58698.664812985233</v>
      </c>
      <c r="C4" s="461">
        <f>huishoudens!C8</f>
        <v>0</v>
      </c>
      <c r="D4" s="461">
        <f>huishoudens!D8</f>
        <v>135323.51977129051</v>
      </c>
      <c r="E4" s="461">
        <f>huishoudens!E8</f>
        <v>10811.08531975458</v>
      </c>
      <c r="F4" s="461">
        <f>huishoudens!F8</f>
        <v>30114.741210141769</v>
      </c>
      <c r="G4" s="461">
        <f>huishoudens!G8</f>
        <v>0</v>
      </c>
      <c r="H4" s="461">
        <f>huishoudens!H8</f>
        <v>0</v>
      </c>
      <c r="I4" s="461">
        <f>huishoudens!I8</f>
        <v>0</v>
      </c>
      <c r="J4" s="461">
        <f>huishoudens!J8</f>
        <v>7839.8970161150783</v>
      </c>
      <c r="K4" s="461">
        <f>huishoudens!K8</f>
        <v>0</v>
      </c>
      <c r="L4" s="461">
        <f>huishoudens!L8</f>
        <v>0</v>
      </c>
      <c r="M4" s="461">
        <f>huishoudens!M8</f>
        <v>0</v>
      </c>
      <c r="N4" s="461">
        <f>huishoudens!N8</f>
        <v>26190.520708148408</v>
      </c>
      <c r="O4" s="461">
        <f>huishoudens!O8</f>
        <v>171.96666666666667</v>
      </c>
      <c r="P4" s="462">
        <f>huishoudens!P8</f>
        <v>400.4</v>
      </c>
      <c r="Q4" s="463">
        <f>SUM(B4:P4)</f>
        <v>269550.79550510226</v>
      </c>
    </row>
    <row r="5" spans="1:17">
      <c r="A5" s="460" t="s">
        <v>156</v>
      </c>
      <c r="B5" s="461">
        <f ca="1">tertiair!B16</f>
        <v>99344.504451052184</v>
      </c>
      <c r="C5" s="461">
        <f ca="1">tertiair!C16</f>
        <v>8614.2857142857138</v>
      </c>
      <c r="D5" s="461">
        <f ca="1">tertiair!D16</f>
        <v>79700.202332659581</v>
      </c>
      <c r="E5" s="461">
        <f>tertiair!E16</f>
        <v>1517.0542737994137</v>
      </c>
      <c r="F5" s="461">
        <f ca="1">tertiair!F16</f>
        <v>15399.626322272392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3.1266666666666669</v>
      </c>
      <c r="P5" s="462">
        <f>tertiair!P16</f>
        <v>19.066666666666666</v>
      </c>
      <c r="Q5" s="460">
        <f t="shared" ref="Q5:Q13" ca="1" si="0">SUM(B5:P5)</f>
        <v>204597.86642740262</v>
      </c>
    </row>
    <row r="6" spans="1:17">
      <c r="A6" s="460" t="s">
        <v>195</v>
      </c>
      <c r="B6" s="461">
        <f>'openbare verlichting'!B8</f>
        <v>3220.174</v>
      </c>
      <c r="C6" s="461"/>
      <c r="D6" s="461"/>
      <c r="E6" s="461"/>
      <c r="F6" s="461"/>
      <c r="G6" s="461"/>
      <c r="H6" s="461"/>
      <c r="I6" s="461"/>
      <c r="J6" s="461"/>
      <c r="K6" s="461"/>
      <c r="L6" s="461"/>
      <c r="M6" s="461"/>
      <c r="N6" s="461"/>
      <c r="O6" s="461"/>
      <c r="P6" s="462"/>
      <c r="Q6" s="460">
        <f t="shared" si="0"/>
        <v>3220.174</v>
      </c>
    </row>
    <row r="7" spans="1:17">
      <c r="A7" s="460" t="s">
        <v>112</v>
      </c>
      <c r="B7" s="461">
        <f>landbouw!B8</f>
        <v>9796.912704136379</v>
      </c>
      <c r="C7" s="461">
        <f>landbouw!C8</f>
        <v>13403.571428571429</v>
      </c>
      <c r="D7" s="461">
        <f>landbouw!D8</f>
        <v>8836.7101187416083</v>
      </c>
      <c r="E7" s="461">
        <f>landbouw!E8</f>
        <v>102.59539078282496</v>
      </c>
      <c r="F7" s="461">
        <f>landbouw!F8</f>
        <v>50318.503554693547</v>
      </c>
      <c r="G7" s="461">
        <f>landbouw!G8</f>
        <v>0</v>
      </c>
      <c r="H7" s="461">
        <f>landbouw!H8</f>
        <v>0</v>
      </c>
      <c r="I7" s="461">
        <f>landbouw!I8</f>
        <v>0</v>
      </c>
      <c r="J7" s="461">
        <f>landbouw!J8</f>
        <v>874.95211570597542</v>
      </c>
      <c r="K7" s="461">
        <f>landbouw!K8</f>
        <v>0</v>
      </c>
      <c r="L7" s="461">
        <f>landbouw!L8</f>
        <v>0</v>
      </c>
      <c r="M7" s="461">
        <f>landbouw!M8</f>
        <v>0</v>
      </c>
      <c r="N7" s="461">
        <f>landbouw!N8</f>
        <v>0</v>
      </c>
      <c r="O7" s="461">
        <f>landbouw!O8</f>
        <v>0</v>
      </c>
      <c r="P7" s="462">
        <f>landbouw!P8</f>
        <v>0</v>
      </c>
      <c r="Q7" s="460">
        <f t="shared" si="0"/>
        <v>83333.245312631771</v>
      </c>
    </row>
    <row r="8" spans="1:17">
      <c r="A8" s="460" t="s">
        <v>656</v>
      </c>
      <c r="B8" s="461">
        <f>industrie!B18</f>
        <v>166606.73884490249</v>
      </c>
      <c r="C8" s="461">
        <f>industrie!C18</f>
        <v>0</v>
      </c>
      <c r="D8" s="461">
        <f>industrie!D18</f>
        <v>235990.00479420449</v>
      </c>
      <c r="E8" s="461">
        <f>industrie!E18</f>
        <v>1414.8450413865783</v>
      </c>
      <c r="F8" s="461">
        <f>industrie!F18</f>
        <v>33550.779321908776</v>
      </c>
      <c r="G8" s="461">
        <f>industrie!G18</f>
        <v>0</v>
      </c>
      <c r="H8" s="461">
        <f>industrie!H18</f>
        <v>0</v>
      </c>
      <c r="I8" s="461">
        <f>industrie!I18</f>
        <v>0</v>
      </c>
      <c r="J8" s="461">
        <f>industrie!J18</f>
        <v>1524.6218848505193</v>
      </c>
      <c r="K8" s="461">
        <f>industrie!K18</f>
        <v>0</v>
      </c>
      <c r="L8" s="461">
        <f>industrie!L18</f>
        <v>0</v>
      </c>
      <c r="M8" s="461">
        <f>industrie!M18</f>
        <v>0</v>
      </c>
      <c r="N8" s="461">
        <f>industrie!N18</f>
        <v>2873.8251479710525</v>
      </c>
      <c r="O8" s="461">
        <f>industrie!O18</f>
        <v>0</v>
      </c>
      <c r="P8" s="462">
        <f>industrie!P18</f>
        <v>0</v>
      </c>
      <c r="Q8" s="460">
        <f t="shared" si="0"/>
        <v>441960.81503522384</v>
      </c>
    </row>
    <row r="9" spans="1:17" s="466" customFormat="1">
      <c r="A9" s="464" t="s">
        <v>574</v>
      </c>
      <c r="B9" s="465">
        <f>transport!B14</f>
        <v>1.8021231751114528</v>
      </c>
      <c r="C9" s="465">
        <f>transport!C14</f>
        <v>0</v>
      </c>
      <c r="D9" s="465">
        <f>transport!D14</f>
        <v>8.8375648800054289</v>
      </c>
      <c r="E9" s="465">
        <f>transport!E14</f>
        <v>904.28298343346898</v>
      </c>
      <c r="F9" s="465">
        <f>transport!F14</f>
        <v>0</v>
      </c>
      <c r="G9" s="465">
        <f>transport!G14</f>
        <v>181149.1170562662</v>
      </c>
      <c r="H9" s="465">
        <f>transport!H14</f>
        <v>29480.328874925624</v>
      </c>
      <c r="I9" s="465">
        <f>transport!I14</f>
        <v>0</v>
      </c>
      <c r="J9" s="465">
        <f>transport!J14</f>
        <v>0</v>
      </c>
      <c r="K9" s="465">
        <f>transport!K14</f>
        <v>0</v>
      </c>
      <c r="L9" s="465">
        <f>transport!L14</f>
        <v>0</v>
      </c>
      <c r="M9" s="465">
        <f>transport!M14</f>
        <v>9186.3446633807634</v>
      </c>
      <c r="N9" s="465">
        <f>transport!N14</f>
        <v>0</v>
      </c>
      <c r="O9" s="465">
        <f>transport!O14</f>
        <v>0</v>
      </c>
      <c r="P9" s="465">
        <f>transport!P14</f>
        <v>0</v>
      </c>
      <c r="Q9" s="464">
        <f>SUM(B9:P9)</f>
        <v>220730.71326606115</v>
      </c>
    </row>
    <row r="10" spans="1:17">
      <c r="A10" s="460" t="s">
        <v>564</v>
      </c>
      <c r="B10" s="461">
        <f>transport!B54</f>
        <v>0</v>
      </c>
      <c r="C10" s="461">
        <f>transport!C54</f>
        <v>0</v>
      </c>
      <c r="D10" s="461">
        <f>transport!D54</f>
        <v>0</v>
      </c>
      <c r="E10" s="461">
        <f>transport!E54</f>
        <v>0</v>
      </c>
      <c r="F10" s="461">
        <f>transport!F54</f>
        <v>0</v>
      </c>
      <c r="G10" s="461">
        <f>transport!G54</f>
        <v>3993.0628501191809</v>
      </c>
      <c r="H10" s="461">
        <f>transport!H54</f>
        <v>0</v>
      </c>
      <c r="I10" s="461">
        <f>transport!I54</f>
        <v>0</v>
      </c>
      <c r="J10" s="461">
        <f>transport!J54</f>
        <v>0</v>
      </c>
      <c r="K10" s="461">
        <f>transport!K54</f>
        <v>0</v>
      </c>
      <c r="L10" s="461">
        <f>transport!L54</f>
        <v>0</v>
      </c>
      <c r="M10" s="461">
        <f>transport!M54</f>
        <v>170.20692153259856</v>
      </c>
      <c r="N10" s="461">
        <f>transport!N54</f>
        <v>0</v>
      </c>
      <c r="O10" s="461">
        <f>transport!O54</f>
        <v>0</v>
      </c>
      <c r="P10" s="462">
        <f>transport!P54</f>
        <v>0</v>
      </c>
      <c r="Q10" s="460">
        <f t="shared" si="0"/>
        <v>4163.2697716517796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337668.7969362514</v>
      </c>
      <c r="C14" s="471">
        <f t="shared" ref="C14:Q14" ca="1" si="1">SUM(C4:C13)</f>
        <v>22017.857142857145</v>
      </c>
      <c r="D14" s="471">
        <f t="shared" ca="1" si="1"/>
        <v>459859.27458177623</v>
      </c>
      <c r="E14" s="471">
        <f t="shared" si="1"/>
        <v>14749.863009156867</v>
      </c>
      <c r="F14" s="471">
        <f t="shared" ca="1" si="1"/>
        <v>129383.65040901648</v>
      </c>
      <c r="G14" s="471">
        <f t="shared" si="1"/>
        <v>185142.17990638537</v>
      </c>
      <c r="H14" s="471">
        <f t="shared" si="1"/>
        <v>29480.328874925624</v>
      </c>
      <c r="I14" s="471">
        <f t="shared" si="1"/>
        <v>0</v>
      </c>
      <c r="J14" s="471">
        <f t="shared" si="1"/>
        <v>10239.471016671574</v>
      </c>
      <c r="K14" s="471">
        <f t="shared" si="1"/>
        <v>0</v>
      </c>
      <c r="L14" s="471">
        <f t="shared" ca="1" si="1"/>
        <v>0</v>
      </c>
      <c r="M14" s="471">
        <f t="shared" si="1"/>
        <v>9356.5515849133626</v>
      </c>
      <c r="N14" s="471">
        <f t="shared" ca="1" si="1"/>
        <v>29064.34585611946</v>
      </c>
      <c r="O14" s="471">
        <f t="shared" si="1"/>
        <v>175.09333333333333</v>
      </c>
      <c r="P14" s="472">
        <f t="shared" si="1"/>
        <v>419.46666666666664</v>
      </c>
      <c r="Q14" s="472">
        <f t="shared" ca="1" si="1"/>
        <v>1227556.8793180734</v>
      </c>
    </row>
    <row r="16" spans="1:17">
      <c r="A16" s="474" t="s">
        <v>569</v>
      </c>
      <c r="B16" s="828">
        <f ca="1">huishoudens!B10</f>
        <v>0.17435971749288576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10234.682614001698</v>
      </c>
      <c r="C21" s="461">
        <f t="shared" ref="C21:C30" ca="1" si="3">C4*$C$16</f>
        <v>0</v>
      </c>
      <c r="D21" s="461">
        <f t="shared" ref="D21:D30" si="4">D4*$D$16</f>
        <v>27335.350993800683</v>
      </c>
      <c r="E21" s="461">
        <f t="shared" ref="E21:E30" si="5">E4*$E$16</f>
        <v>2454.1163675842899</v>
      </c>
      <c r="F21" s="461">
        <f t="shared" ref="F21:F30" si="6">F4*$F$16</f>
        <v>8040.6359031078528</v>
      </c>
      <c r="G21" s="461">
        <f t="shared" ref="G21:G30" si="7">G4*$G$16</f>
        <v>0</v>
      </c>
      <c r="H21" s="461">
        <f t="shared" ref="H21:H30" si="8">H4*$H$16</f>
        <v>0</v>
      </c>
      <c r="I21" s="461">
        <f t="shared" ref="I21:I30" si="9">I4*$I$16</f>
        <v>0</v>
      </c>
      <c r="J21" s="461">
        <f t="shared" ref="J21:J30" si="10">J4*$J$16</f>
        <v>2775.3235437047374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50840.109422199268</v>
      </c>
    </row>
    <row r="22" spans="1:17">
      <c r="A22" s="460" t="s">
        <v>156</v>
      </c>
      <c r="B22" s="461">
        <f t="shared" ca="1" si="2"/>
        <v>17321.679730556192</v>
      </c>
      <c r="C22" s="461">
        <f t="shared" ca="1" si="3"/>
        <v>0</v>
      </c>
      <c r="D22" s="461">
        <f t="shared" ca="1" si="4"/>
        <v>16099.440871197236</v>
      </c>
      <c r="E22" s="461">
        <f t="shared" si="5"/>
        <v>344.37132015246692</v>
      </c>
      <c r="F22" s="461">
        <f t="shared" ca="1" si="6"/>
        <v>4111.7002280467286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37877.192149952622</v>
      </c>
    </row>
    <row r="23" spans="1:17">
      <c r="A23" s="460" t="s">
        <v>195</v>
      </c>
      <c r="B23" s="461">
        <f t="shared" ca="1" si="2"/>
        <v>561.46862891793592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561.46862891793592</v>
      </c>
    </row>
    <row r="24" spans="1:17">
      <c r="A24" s="460" t="s">
        <v>112</v>
      </c>
      <c r="B24" s="461">
        <f t="shared" ca="1" si="2"/>
        <v>1708.1869313956824</v>
      </c>
      <c r="C24" s="461">
        <f t="shared" ca="1" si="3"/>
        <v>0</v>
      </c>
      <c r="D24" s="461">
        <f t="shared" si="4"/>
        <v>1785.0154439858049</v>
      </c>
      <c r="E24" s="461">
        <f t="shared" si="5"/>
        <v>23.289153707701267</v>
      </c>
      <c r="F24" s="461">
        <f t="shared" si="6"/>
        <v>13435.040449103179</v>
      </c>
      <c r="G24" s="461">
        <f t="shared" si="7"/>
        <v>0</v>
      </c>
      <c r="H24" s="461">
        <f t="shared" si="8"/>
        <v>0</v>
      </c>
      <c r="I24" s="461">
        <f t="shared" si="9"/>
        <v>0</v>
      </c>
      <c r="J24" s="461">
        <f t="shared" si="10"/>
        <v>309.73304895991527</v>
      </c>
      <c r="K24" s="461">
        <f t="shared" si="11"/>
        <v>0</v>
      </c>
      <c r="L24" s="461">
        <f t="shared" si="12"/>
        <v>0</v>
      </c>
      <c r="M24" s="461">
        <f t="shared" si="13"/>
        <v>0</v>
      </c>
      <c r="N24" s="461">
        <f t="shared" si="14"/>
        <v>0</v>
      </c>
      <c r="O24" s="461">
        <f t="shared" si="15"/>
        <v>0</v>
      </c>
      <c r="P24" s="462">
        <f t="shared" si="16"/>
        <v>0</v>
      </c>
      <c r="Q24" s="460">
        <f t="shared" ca="1" si="17"/>
        <v>17261.265027152283</v>
      </c>
    </row>
    <row r="25" spans="1:17">
      <c r="A25" s="460" t="s">
        <v>656</v>
      </c>
      <c r="B25" s="461">
        <f t="shared" ca="1" si="2"/>
        <v>29049.503917408194</v>
      </c>
      <c r="C25" s="461">
        <f t="shared" ca="1" si="3"/>
        <v>0</v>
      </c>
      <c r="D25" s="461">
        <f t="shared" si="4"/>
        <v>47669.980968429307</v>
      </c>
      <c r="E25" s="461">
        <f t="shared" si="5"/>
        <v>321.16982439475328</v>
      </c>
      <c r="F25" s="461">
        <f t="shared" si="6"/>
        <v>8958.0580789496435</v>
      </c>
      <c r="G25" s="461">
        <f t="shared" si="7"/>
        <v>0</v>
      </c>
      <c r="H25" s="461">
        <f t="shared" si="8"/>
        <v>0</v>
      </c>
      <c r="I25" s="461">
        <f t="shared" si="9"/>
        <v>0</v>
      </c>
      <c r="J25" s="461">
        <f t="shared" si="10"/>
        <v>539.71614723708376</v>
      </c>
      <c r="K25" s="461">
        <f t="shared" si="11"/>
        <v>0</v>
      </c>
      <c r="L25" s="461">
        <f t="shared" si="12"/>
        <v>0</v>
      </c>
      <c r="M25" s="461">
        <f t="shared" si="13"/>
        <v>0</v>
      </c>
      <c r="N25" s="461">
        <f t="shared" si="14"/>
        <v>0</v>
      </c>
      <c r="O25" s="461">
        <f t="shared" si="15"/>
        <v>0</v>
      </c>
      <c r="P25" s="462">
        <f t="shared" si="16"/>
        <v>0</v>
      </c>
      <c r="Q25" s="460">
        <f t="shared" ca="1" si="17"/>
        <v>86538.428936418975</v>
      </c>
    </row>
    <row r="26" spans="1:17" s="466" customFormat="1">
      <c r="A26" s="464" t="s">
        <v>574</v>
      </c>
      <c r="B26" s="822">
        <f t="shared" ca="1" si="2"/>
        <v>0.31421768769981523</v>
      </c>
      <c r="C26" s="465">
        <f t="shared" ca="1" si="3"/>
        <v>0</v>
      </c>
      <c r="D26" s="465">
        <f t="shared" si="4"/>
        <v>1.7851881057610968</v>
      </c>
      <c r="E26" s="465">
        <f t="shared" si="5"/>
        <v>205.27223723939747</v>
      </c>
      <c r="F26" s="465">
        <f t="shared" si="6"/>
        <v>0</v>
      </c>
      <c r="G26" s="465">
        <f t="shared" si="7"/>
        <v>48366.814254023077</v>
      </c>
      <c r="H26" s="465">
        <f t="shared" si="8"/>
        <v>7340.6018898564807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55914.787786912413</v>
      </c>
    </row>
    <row r="27" spans="1:17">
      <c r="A27" s="460" t="s">
        <v>564</v>
      </c>
      <c r="B27" s="461">
        <f t="shared" ca="1" si="2"/>
        <v>0</v>
      </c>
      <c r="C27" s="461">
        <f t="shared" ca="1" si="3"/>
        <v>0</v>
      </c>
      <c r="D27" s="461">
        <f t="shared" si="4"/>
        <v>0</v>
      </c>
      <c r="E27" s="461">
        <f t="shared" si="5"/>
        <v>0</v>
      </c>
      <c r="F27" s="461">
        <f t="shared" si="6"/>
        <v>0</v>
      </c>
      <c r="G27" s="461">
        <f t="shared" si="7"/>
        <v>1066.1477809818214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1066.1477809818214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58875.836039967406</v>
      </c>
      <c r="C31" s="471">
        <f t="shared" ca="1" si="18"/>
        <v>0</v>
      </c>
      <c r="D31" s="471">
        <f t="shared" ca="1" si="18"/>
        <v>92891.573465518784</v>
      </c>
      <c r="E31" s="471">
        <f t="shared" si="18"/>
        <v>3348.2189030786085</v>
      </c>
      <c r="F31" s="471">
        <f t="shared" ca="1" si="18"/>
        <v>34545.434659207407</v>
      </c>
      <c r="G31" s="471">
        <f t="shared" si="18"/>
        <v>49432.962035004901</v>
      </c>
      <c r="H31" s="471">
        <f t="shared" si="18"/>
        <v>7340.6018898564807</v>
      </c>
      <c r="I31" s="471">
        <f t="shared" si="18"/>
        <v>0</v>
      </c>
      <c r="J31" s="471">
        <f t="shared" si="18"/>
        <v>3624.7727399017367</v>
      </c>
      <c r="K31" s="471">
        <f t="shared" si="18"/>
        <v>0</v>
      </c>
      <c r="L31" s="471">
        <f t="shared" ca="1" si="18"/>
        <v>0</v>
      </c>
      <c r="M31" s="471">
        <f t="shared" si="18"/>
        <v>0</v>
      </c>
      <c r="N31" s="471">
        <f t="shared" ca="1" si="18"/>
        <v>0</v>
      </c>
      <c r="O31" s="471">
        <f t="shared" si="18"/>
        <v>0</v>
      </c>
      <c r="P31" s="472">
        <f t="shared" si="18"/>
        <v>0</v>
      </c>
      <c r="Q31" s="472">
        <f t="shared" ca="1" si="18"/>
        <v>250059.39973253533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0.17435971749288576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0.17435971749288576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0.17435971749288576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2018-06-27T09:01:12Z</dcterms:modified>
</cp:coreProperties>
</file>