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H68"/>
  <c r="H69" s="1"/>
  <c r="D8" i="17"/>
  <c r="E22" i="14" s="1"/>
  <c r="C97" i="18"/>
  <c r="I100" s="1"/>
  <c r="H7" s="1"/>
  <c r="I67" i="14" s="1"/>
  <c r="F16" i="16"/>
  <c r="D13" i="15"/>
  <c r="O80"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E19" i="18"/>
  <c r="I19"/>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D12" i="17" l="1"/>
  <c r="E48" i="14" s="1"/>
  <c r="B100" i="18"/>
  <c r="C7" s="1"/>
  <c r="I69" i="14"/>
  <c r="J12" i="17"/>
  <c r="K48" i="14" s="1"/>
  <c r="F12" i="17"/>
  <c r="G48" i="14" s="1"/>
  <c r="F100" i="18"/>
  <c r="N5" i="17"/>
  <c r="N8" s="1"/>
  <c r="L8"/>
  <c r="L7" i="48" s="1"/>
  <c r="L24" s="1"/>
  <c r="L5" i="17"/>
  <c r="C78" i="14"/>
  <c r="J81"/>
  <c r="L29" i="48"/>
  <c r="G31" i="20"/>
  <c r="H43" i="14" s="1"/>
  <c r="E100" i="18"/>
  <c r="E7" s="1"/>
  <c r="H100"/>
  <c r="J7" s="1"/>
  <c r="F7" i="48"/>
  <c r="F24" s="1"/>
  <c r="L30"/>
  <c r="B35" i="13"/>
  <c r="J41" i="14"/>
  <c r="G13" i="48"/>
  <c r="G30" s="1"/>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N7" i="48"/>
  <c r="N24" s="1"/>
  <c r="N12" i="17"/>
  <c r="O48" i="14" s="1"/>
  <c r="M22"/>
  <c r="D67"/>
  <c r="C9" i="18"/>
  <c r="F67" i="14"/>
  <c r="F69" s="1"/>
  <c r="E9" i="18"/>
  <c r="E13" i="14"/>
  <c r="L12" i="17"/>
  <c r="M48" i="14" s="1"/>
  <c r="C14" i="48"/>
  <c r="R22" i="14"/>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D69" i="14"/>
  <c r="O67"/>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F8" i="48" l="1"/>
  <c r="F14" s="1"/>
  <c r="Q5"/>
  <c r="F22" i="16"/>
  <c r="G39" i="14" s="1"/>
  <c r="G41" s="1"/>
  <c r="N22" i="16"/>
  <c r="O39" i="14" s="1"/>
  <c r="O41" s="1"/>
  <c r="N25" i="48"/>
  <c r="N31" s="1"/>
  <c r="N14"/>
  <c r="E8"/>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<sst xmlns="http://schemas.openxmlformats.org/spreadsheetml/2006/main" count="2047" uniqueCount="906">
  <si>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</si>
  <si>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</si>
  <si>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</si>
  <si>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</si>
  <si>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</si>
  <si>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</si>
  <si>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</si>
  <si>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</si>
  <si>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</si>
  <si>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</si>
  <si>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</si>
  <si>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</si>
  <si>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</si>
  <si>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</si>
  <si>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</si>
  <si>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</si>
  <si>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</si>
  <si>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</si>
  <si>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</si>
  <si>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</si>
  <si>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</si>
  <si>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</si>
  <si>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</si>
  <si>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</si>
  <si>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</si>
  <si>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</si>
  <si>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</si>
  <si>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</si>
  <si>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</si>
  <si>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</si>
  <si>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</si>
  <si>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</si>
  <si>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</si>
  <si>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</si>
  <si>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</si>
  <si>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</si>
  <si>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</si>
  <si>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</si>
  <si>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</si>
  <si>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</si>
  <si>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</si>
  <si>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</si>
  <si>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</si>
  <si>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</si>
  <si>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</si>
  <si>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</si>
  <si>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</si>
  <si>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</si>
  <si>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</si>
  <si>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</si>
  <si>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</si>
  <si>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</si>
  <si>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</si>
  <si>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</si>
  <si>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</si>
  <si>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</si>
  <si>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</si>
  <si>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</si>
  <si>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</si>
  <si>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</si>
  <si>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</si>
  <si>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</si>
  <si>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</si>
  <si>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</si>
  <si>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</si>
  <si>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</si>
  <si>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</si>
  <si>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</si>
  <si>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</si>
  <si>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</si>
  <si>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</si>
  <si>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</si>
  <si>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</si>
  <si>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</si>
  <si>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</si>
  <si>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</si>
  <si>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</si>
  <si>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</si>
  <si>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</si>
  <si>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</si>
  <si>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</si>
  <si>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</si>
  <si>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</si>
  <si>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</si>
  <si>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</si>
  <si>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</si>
  <si>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</si>
  <si>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</si>
  <si>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</si>
  <si>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</si>
  <si>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</si>
  <si>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</si>
  <si>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</si>
  <si>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</si>
  <si>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</si>
  <si>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</si>
  <si>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</si>
  <si>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</si>
  <si>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</si>
  <si>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</si>
  <si>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</si>
  <si>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</si>
  <si>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</si>
  <si>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</si>
  <si>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</si>
  <si>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</si>
  <si>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</si>
  <si>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</si>
  <si>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</si>
  <si>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</si>
  <si>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</si>
  <si>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</si>
  <si>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</si>
  <si>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</si>
  <si>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</si>
  <si>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</si>
  <si>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</si>
  <si>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</si>
  <si>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</si>
  <si>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</si>
  <si>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</si>
  <si>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</si>
  <si>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</si>
  <si>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</si>
  <si>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</si>
  <si>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</si>
  <si>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</si>
  <si>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</si>
  <si>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</si>
  <si>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</si>
  <si>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</si>
  <si>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</si>
  <si>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</si>
  <si>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</si>
  <si>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</si>
  <si>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</si>
  <si>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</si>
  <si>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</si>
  <si>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</si>
  <si>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</si>
  <si>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</si>
  <si>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</si>
  <si>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</si>
  <si>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</si>
  <si>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</si>
  <si>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</si>
  <si>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</si>
  <si>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</si>
  <si>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</si>
  <si>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</si>
  <si>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</si>
  <si>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</si>
  <si>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</si>
  <si>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</si>
  <si>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</si>
  <si>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</si>
  <si>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</si>
  <si>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</si>
  <si>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</si>
  <si>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</si>
  <si>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</si>
  <si>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</si>
  <si>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</si>
  <si>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</si>
  <si>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</si>
  <si>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</si>
  <si>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</si>
  <si>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</si>
  <si>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</si>
  <si>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</si>
  <si>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</si>
  <si>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</si>
  <si>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</si>
  <si>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</si>
  <si>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</si>
  <si>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</si>
  <si>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</si>
  <si>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</si>
  <si>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</si>
  <si>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</si>
  <si>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</si>
  <si>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</si>
  <si>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</si>
  <si>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</si>
  <si>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</si>
  <si>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</si>
  <si>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</si>
  <si>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</si>
  <si>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</si>
  <si>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</si>
  <si>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</si>
  <si>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</si>
  <si>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</si>
  <si>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</si>
  <si>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</si>
  <si>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</si>
  <si>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</si>
  <si>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</si>
  <si>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</si>
  <si>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</si>
  <si>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</si>
  <si>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</si>
  <si>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</si>
  <si>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</si>
  <si>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</si>
  <si>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</si>
  <si>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</si>
  <si>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</si>
  <si>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</si>
  <si>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</si>
  <si>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</si>
  <si>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</si>
  <si>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</si>
  <si>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</si>
  <si>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</si>
  <si>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</si>
  <si>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</si>
  <si>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</si>
  <si>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</si>
  <si>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</si>
  <si>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</si>
  <si>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</si>
  <si>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</si>
  <si>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</si>
  <si>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</si>
  <si>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</si>
  <si>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</si>
  <si>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</si>
  <si>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</si>
  <si>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</si>
  <si>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</si>
  <si>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</si>
  <si>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</si>
  <si>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</si>
  <si>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</si>
  <si>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</si>
  <si>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</si>
  <si>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</si>
  <si>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</si>
  <si>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</si>
  <si>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</si>
  <si>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</si>
  <si>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</si>
  <si>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</si>
  <si>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</si>
  <si>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</si>
  <si>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</si>
  <si>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</si>
  <si>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</si>
  <si>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</si>
  <si>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</si>
  <si>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</si>
  <si>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</si>
  <si>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</si>
  <si>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</si>
  <si>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</si>
  <si>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</si>
  <si>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</si>
  <si>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</si>
  <si>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</si>
  <si>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</si>
  <si>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</si>
  <si>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</si>
  <si>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</si>
  <si>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</si>
  <si>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</si>
  <si>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</si>
  <si>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</si>
  <si>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</si>
  <si>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</si>
  <si>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</si>
  <si>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</si>
  <si>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</si>
  <si>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</si>
  <si>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</si>
  <si>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</si>
  <si>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</si>
  <si>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</si>
  <si>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</si>
  <si>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</si>
  <si>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</si>
  <si>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</si>
  <si>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</si>
  <si>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</si>
  <si>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</si>
  <si>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</si>
  <si>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</si>
  <si>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</si>
  <si>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</si>
  <si>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</si>
  <si>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</si>
  <si>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</si>
  <si>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</si>
  <si>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</si>
  <si>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</si>
  <si>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</si>
  <si>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</si>
  <si>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</si>
  <si>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</si>
  <si>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</si>
  <si>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</si>
  <si>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</si>
  <si>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</si>
  <si>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</si>
  <si>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</si>
  <si>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</si>
  <si>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</si>
  <si>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</si>
  <si>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</si>
  <si>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</si>
  <si>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</si>
  <si>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</si>
  <si>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</si>
  <si>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</si>
  <si>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</si>
  <si>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</si>
  <si>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</si>
  <si>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</si>
  <si>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</si>
  <si>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</si>
  <si>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</si>
  <si>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</si>
  <si>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</si>
  <si>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</si>
  <si>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</si>
  <si>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</si>
  <si>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</si>
  <si>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</si>
  <si>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</si>
  <si>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</si>
  <si>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</si>
  <si>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</si>
  <si>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</si>
  <si>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</si>
  <si>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</si>
  <si>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</si>
  <si>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</si>
  <si>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</si>
  <si>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</si>
  <si>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</si>
  <si>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</si>
  <si>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</si>
  <si>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</si>
  <si>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</si>
  <si>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</si>
  <si>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</si>
  <si>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</si>
  <si>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</si>
  <si>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</si>
  <si>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</si>
  <si>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</si>
  <si>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</si>
  <si>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</si>
  <si>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</si>
  <si>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</si>
  <si>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</si>
  <si>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</si>
  <si>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</si>
  <si>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</si>
  <si>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</si>
  <si>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</si>
  <si>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</si>
  <si>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</si>
  <si>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</si>
  <si>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</si>
  <si>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</si>
  <si>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</si>
  <si>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</si>
  <si>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</si>
  <si>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</si>
  <si>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</si>
  <si>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</si>
  <si>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</si>
  <si>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</si>
  <si>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</si>
  <si>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</si>
  <si>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</si>
  <si>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</si>
  <si>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</si>
  <si>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</si>
  <si>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</si>
  <si>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</si>
  <si>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</si>
  <si>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</si>
  <si>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</si>
  <si>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</si>
  <si>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</si>
  <si>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</si>
  <si>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</si>
  <si>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</si>
  <si>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</si>
  <si>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</si>
  <si>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</si>
  <si>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</si>
  <si>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</si>
  <si>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</si>
  <si>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</si>
  <si>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</si>
  <si>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</si>
  <si>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</si>
  <si>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</si>
  <si>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</si>
  <si>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</si>
  <si>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</si>
  <si>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</si>
  <si>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</si>
  <si>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</si>
  <si>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</si>
  <si>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</si>
  <si>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</si>
  <si>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</si>
  <si>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</si>
  <si>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</si>
  <si>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</si>
  <si>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</si>
  <si>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</si>
  <si>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</si>
  <si>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</si>
  <si>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</si>
  <si>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</si>
  <si>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</si>
  <si>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</si>
  <si>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</si>
  <si>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</si>
  <si>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</si>
  <si>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</si>
  <si>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</si>
  <si>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</si>
  <si>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</si>
  <si>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</si>
  <si>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</si>
  <si>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</si>
  <si>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</si>
  <si>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</si>
  <si>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</si>
  <si>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</si>
  <si>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</si>
  <si>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</si>
  <si>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</si>
  <si>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</si>
  <si>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</si>
  <si>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</si>
  <si>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</si>
  <si>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</si>
  <si>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</si>
  <si>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</si>
  <si>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</si>
  <si>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</si>
  <si>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</si>
  <si>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</si>
  <si>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</si>
  <si>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</si>
  <si>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</si>
  <si>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</si>
  <si>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</si>
  <si>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</si>
  <si>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</si>
  <si>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</si>
  <si>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</si>
  <si>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</si>
  <si>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</si>
  <si>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</si>
  <si>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</si>
  <si>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</si>
  <si>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</si>
  <si>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</si>
  <si>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</si>
  <si>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</si>
  <si>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</si>
  <si>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</si>
  <si>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</si>
  <si>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</si>
  <si>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</si>
  <si>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</si>
  <si>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</si>
  <si>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</si>
  <si>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</si>
  <si>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</si>
  <si>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</si>
  <si>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</si>
  <si>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</si>
  <si>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</si>
  <si>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</si>
  <si>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</si>
  <si>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</si>
  <si>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</si>
  <si>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</si>
  <si>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</si>
  <si>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</si>
  <si>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</si>
  <si>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</si>
  <si>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</si>
  <si>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</si>
  <si>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</si>
  <si>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</si>
  <si>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</si>
  <si>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</si>
  <si>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</si>
  <si>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</si>
  <si>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</si>
  <si>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</si>
  <si>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</si>
  <si>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</si>
  <si>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</si>
  <si>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</si>
  <si>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</si>
  <si>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</si>
  <si>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</si>
  <si>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</si>
  <si>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</si>
  <si>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</si>
  <si>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</si>
  <si>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</si>
  <si>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</si>
  <si>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</si>
  <si>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</si>
  <si>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</si>
  <si>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</si>
  <si>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</si>
  <si>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</si>
  <si>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</si>
  <si>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</si>
  <si>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</si>
  <si>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</si>
  <si>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</si>
  <si>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</si>
  <si>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</si>
  <si>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</si>
  <si>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</si>
  <si>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</si>
  <si>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</si>
  <si>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</si>
  <si>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</si>
  <si>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</si>
  <si>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</si>
  <si>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</si>
  <si>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</si>
  <si>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</si>
  <si>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</si>
  <si>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</si>
  <si>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</si>
  <si>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</si>
  <si>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</si>
  <si>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</si>
  <si>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</si>
  <si>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</si>
  <si>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</si>
  <si>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</si>
  <si>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</si>
  <si>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</si>
  <si>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</si>
  <si>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</si>
  <si>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</si>
  <si>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</si>
  <si>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</si>
  <si>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</si>
  <si>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</si>
  <si>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</si>
  <si>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</si>
  <si>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</si>
  <si>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</si>
  <si>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</si>
  <si>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</si>
  <si>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</si>
  <si>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</si>
  <si>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</si>
  <si>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</si>
  <si>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</si>
  <si>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</si>
  <si>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</si>
  <si>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</si>
  <si>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</si>
  <si>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</si>
  <si>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</si>
  <si>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</si>
  <si>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</si>
  <si>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</si>
  <si>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</si>
  <si>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</si>
  <si>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</si>
  <si>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</si>
  <si>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</si>
  <si>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</si>
  <si>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</si>
  <si>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</si>
  <si>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</si>
  <si>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</si>
  <si>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</si>
  <si>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</si>
  <si>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</si>
  <si>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</si>
  <si>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</si>
  <si>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</si>
  <si>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</si>
  <si>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</si>
  <si>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</si>
  <si>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</si>
  <si>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</si>
  <si>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</si>
  <si>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</si>
  <si>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</si>
  <si>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</si>
  <si>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</si>
  <si>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</si>
  <si>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</si>
  <si>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</si>
  <si>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</si>
  <si>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</si>
  <si>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</si>
  <si>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</si>
  <si>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</si>
  <si>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</si>
  <si>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</si>
  <si>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</si>
  <si>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</si>
  <si>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</si>
  <si>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</si>
  <si>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</si>
  <si>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</si>
  <si>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</si>
  <si>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</si>
  <si>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</si>
  <si>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</si>
  <si>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</si>
  <si>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</si>
  <si>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</si>
  <si>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</si>
  <si>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</si>
  <si>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</si>
  <si>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</si>
  <si>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</si>
  <si>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</si>
  <si>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</si>
  <si>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</si>
  <si>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</si>
  <si>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</si>
  <si>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</si>
  <si>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</si>
  <si>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</si>
  <si>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</si>
  <si>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</si>
  <si>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</si>
  <si>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</si>
  <si>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</si>
  <si>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</si>
  <si>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</si>
  <si>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</si>
  <si>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</si>
  <si>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</si>
  <si>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</si>
  <si>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</si>
  <si>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</si>
  <si>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</si>
  <si>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</si>
  <si>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</si>
  <si>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</si>
  <si>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</si>
  <si>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</si>
  <si>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</si>
  <si>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</si>
  <si>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</si>
  <si>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</si>
  <si>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</si>
  <si>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</si>
  <si>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</si>
  <si>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</si>
  <si>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</si>
  <si>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</si>
  <si>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</si>
  <si>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</si>
  <si>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</si>
  <si>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</si>
  <si>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</si>
  <si>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</si>
  <si>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</si>
  <si>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</si>
  <si>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</si>
  <si>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</si>
  <si>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</si>
  <si>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</si>
  <si>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</si>
  <si>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</si>
  <si>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</si>
  <si>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</si>
  <si>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</si>
  <si>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</si>
  <si>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</si>
  <si>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</si>
  <si>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</si>
  <si>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</si>
  <si>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</si>
  <si>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</si>
  <si>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</si>
  <si>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</si>
  <si>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</si>
  <si>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</si>
  <si>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</si>
  <si>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</si>
  <si>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</si>
  <si>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</si>
  <si>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</si>
  <si>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</si>
  <si>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</si>
  <si>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</si>
  <si>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</si>
  <si>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</si>
  <si>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</si>
  <si>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</si>
  <si>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</si>
  <si>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</si>
  <si>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</si>
  <si>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</si>
  <si>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</si>
  <si>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</si>
  <si>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</si>
  <si>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</si>
  <si>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</si>
  <si>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</si>
  <si>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</si>
  <si>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</si>
  <si>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</si>
  <si>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</si>
  <si>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</si>
  <si>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</si>
  <si>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</si>
  <si>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</si>
  <si>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</si>
  <si>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</si>
  <si>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</si>
  <si>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</si>
  <si>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</si>
  <si>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</si>
  <si>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</si>
  <si>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</si>
  <si>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</si>
  <si>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</si>
  <si>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</si>
  <si>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</si>
  <si>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</si>
  <si>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</si>
  <si>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</si>
  <si>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</si>
  <si>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</si>
  <si>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</si>
  <si>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</si>
  <si>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</si>
  <si>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</si>
  <si>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</si>
  <si>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</si>
  <si>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</si>
  <si>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</si>
  <si>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</si>
  <si>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</si>
  <si>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</si>
  <si>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</si>
  <si>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</si>
  <si>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</si>
  <si>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</si>
  <si>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</si>
  <si>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</si>
  <si>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</si>
  <si>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</si>
  <si>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</si>
  <si>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</si>
  <si>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</si>
  <si>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</si>
  <si>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</si>
  <si>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</si>
  <si>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</si>
  <si>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</si>
  <si>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</si>
  <si>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</si>
  <si>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</si>
  <si>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</si>
  <si>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</si>
  <si>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</si>
  <si>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</si>
  <si>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</si>
  <si>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</si>
  <si>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</si>
  <si>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</si>
  <si>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</si>
  <si>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</si>
  <si>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</si>
  <si>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</si>
  <si>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</si>
  <si>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</si>
  <si>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</si>
  <si>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</si>
  <si>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</si>
  <si>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</si>
  <si>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</si>
  <si>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</si>
  <si>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</si>
  <si>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</si>
  <si>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</si>
  <si>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</si>
  <si>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</si>
  <si>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</si>
  <si>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</si>
  <si>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</si>
  <si>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</si>
  <si>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</si>
  <si>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</si>
  <si>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</si>
  <si>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</si>
  <si>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</si>
  <si>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</si>
  <si>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</si>
  <si>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</si>
  <si>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</si>
  <si>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</si>
  <si>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</si>
  <si>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</si>
  <si>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</si>
  <si>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</si>
  <si>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</si>
  <si>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</si>
  <si>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</si>
  <si>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</si>
  <si>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</si>
  <si>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</si>
  <si>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</si>
  <si>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</si>
  <si>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</si>
  <si>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</si>
  <si>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</si>
  <si>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</si>
  <si>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</si>
  <si>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</si>
  <si>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</si>
  <si>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</si>
  <si>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</si>
  <si>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</si>
  <si>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</si>
  <si>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</si>
  <si>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</si>
  <si>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</si>
  <si>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</si>
  <si>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</si>
  <si>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</si>
  <si>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</si>
  <si>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</si>
  <si>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</si>
  <si>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</si>
  <si>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</si>
  <si>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</si>
  <si>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</si>
  <si>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</si>
  <si>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</si>
  <si>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</si>
  <si>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</si>
  <si>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</si>
  <si>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</si>
  <si>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</si>
  <si>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</si>
  <si>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</si>
  <si>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</si>
  <si>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</si>
  <si>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</si>
  <si>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</si>
  <si>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</si>
  <si>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</si>
  <si>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</si>
  <si>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</si>
  <si>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</si>
  <si>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</si>
  <si>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</si>
  <si>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</si>
  <si>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</si>
  <si>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</si>
  <si>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</si>
  <si>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</si>
  <si>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</si>
  <si>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</si>
  <si>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</si>
  <si>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</si>
  <si>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</si>
  <si>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</si>
  <si>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</si>
  <si>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</si>
  <si>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</si>
  <si>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</si>
  <si>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</si>
  <si>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</si>
  <si>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32003</t>
  </si>
  <si>
    <t>DIKSMUIDE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</si>
  <si>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</si>
  <si>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</si>
  <si>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</si>
  <si>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</si>
  <si>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</si>
  <si>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</si>
  <si>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</si>
  <si>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Filip Beuselinck</t>
  </si>
  <si>
    <t>Viconiastraat 27 , 8600 Stuivekenskerke</t>
  </si>
  <si>
    <t>BMS-0070 Filip Beuselinck</t>
  </si>
  <si>
    <t>biomassa uit land- of bosbouw</t>
  </si>
  <si>
    <t>niet WKK interne verbrandingsmotor (vloeibaar)</t>
  </si>
  <si>
    <t>Infrax West</t>
  </si>
  <si>
    <t>Ijzer Energie nv</t>
  </si>
  <si>
    <t>Zandvoortstraat C47/11, 8790 Waregem</t>
  </si>
  <si>
    <t>BGS-0060 Ijzer Energie -agr.verg</t>
  </si>
  <si>
    <t>biogas - hoofdzakelijk agrarische stromen</t>
  </si>
  <si>
    <t>niet WKK interne verbrandingsmotor (andere biomassa)</t>
  </si>
  <si>
    <t>Jagersstraat 4 A, 8600 Diksmuide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</si>
</sst>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32003</v>
      </c>
      <c r="B6" s="396"/>
      <c r="C6" s="397"/>
    </row>
    <row r="7" spans="1:7" s="394" customFormat="1" ht="15.75" customHeight="1">
      <c r="A7" s="398" t="str">
        <f>txtMunicipality</f>
        <v>DIKSMUIDE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32003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6736</v>
      </c>
      <c r="C9" s="336">
        <v>7181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12412</v>
      </c>
    </row>
    <row r="15" spans="1:6">
      <c r="A15" s="1194" t="s">
        <v>185</v>
      </c>
      <c r="B15" s="333">
        <v>191</v>
      </c>
    </row>
    <row r="16" spans="1:6">
      <c r="A16" s="1194" t="s">
        <v>6</v>
      </c>
      <c r="B16" s="333">
        <v>6044</v>
      </c>
    </row>
    <row r="17" spans="1:6">
      <c r="A17" s="1194" t="s">
        <v>7</v>
      </c>
      <c r="B17" s="333">
        <v>3558</v>
      </c>
    </row>
    <row r="18" spans="1:6">
      <c r="A18" s="1194" t="s">
        <v>8</v>
      </c>
      <c r="B18" s="333">
        <v>6039</v>
      </c>
    </row>
    <row r="19" spans="1:6">
      <c r="A19" s="1194" t="s">
        <v>9</v>
      </c>
      <c r="B19" s="333">
        <v>6060</v>
      </c>
    </row>
    <row r="20" spans="1:6">
      <c r="A20" s="1194" t="s">
        <v>10</v>
      </c>
      <c r="B20" s="333">
        <v>4363</v>
      </c>
    </row>
    <row r="21" spans="1:6">
      <c r="A21" s="1194" t="s">
        <v>11</v>
      </c>
      <c r="B21" s="333">
        <v>49701</v>
      </c>
    </row>
    <row r="22" spans="1:6">
      <c r="A22" s="1194" t="s">
        <v>12</v>
      </c>
      <c r="B22" s="333">
        <v>104598</v>
      </c>
    </row>
    <row r="23" spans="1:6">
      <c r="A23" s="1194" t="s">
        <v>13</v>
      </c>
      <c r="B23" s="333">
        <v>1905</v>
      </c>
    </row>
    <row r="24" spans="1:6">
      <c r="A24" s="1194" t="s">
        <v>14</v>
      </c>
      <c r="B24" s="333">
        <v>110</v>
      </c>
    </row>
    <row r="25" spans="1:6">
      <c r="A25" s="1194" t="s">
        <v>15</v>
      </c>
      <c r="B25" s="333">
        <v>12520</v>
      </c>
    </row>
    <row r="26" spans="1:6">
      <c r="A26" s="1194" t="s">
        <v>16</v>
      </c>
      <c r="B26" s="333">
        <v>1620</v>
      </c>
    </row>
    <row r="27" spans="1:6">
      <c r="A27" s="1194" t="s">
        <v>17</v>
      </c>
      <c r="B27" s="333">
        <v>5</v>
      </c>
    </row>
    <row r="28" spans="1:6">
      <c r="A28" s="1194" t="s">
        <v>18</v>
      </c>
      <c r="B28" s="333">
        <v>280933</v>
      </c>
    </row>
    <row r="29" spans="1:6">
      <c r="A29" s="1194" t="s">
        <v>888</v>
      </c>
      <c r="B29" s="333">
        <v>161</v>
      </c>
    </row>
    <row r="30" spans="1:6">
      <c r="A30" s="1190" t="s">
        <v>889</v>
      </c>
      <c r="B30" s="1190">
        <v>53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7</v>
      </c>
      <c r="F36" s="333">
        <v>78027</v>
      </c>
    </row>
    <row r="37" spans="1:6">
      <c r="A37" s="1194" t="s">
        <v>25</v>
      </c>
      <c r="B37" s="1194" t="s">
        <v>28</v>
      </c>
      <c r="C37" s="333">
        <v>0</v>
      </c>
      <c r="D37" s="333">
        <v>0</v>
      </c>
      <c r="E37" s="333">
        <v>0</v>
      </c>
      <c r="F37" s="333">
        <v>0</v>
      </c>
    </row>
    <row r="38" spans="1:6">
      <c r="A38" s="1194" t="s">
        <v>25</v>
      </c>
      <c r="B38" s="1194" t="s">
        <v>29</v>
      </c>
      <c r="C38" s="333">
        <v>1</v>
      </c>
      <c r="D38" s="333">
        <v>1143138</v>
      </c>
      <c r="E38" s="333">
        <v>0</v>
      </c>
      <c r="F38" s="333">
        <v>0</v>
      </c>
    </row>
    <row r="39" spans="1:6">
      <c r="A39" s="1194" t="s">
        <v>30</v>
      </c>
      <c r="B39" s="1194" t="s">
        <v>31</v>
      </c>
      <c r="C39" s="333">
        <v>4110</v>
      </c>
      <c r="D39" s="333">
        <v>67276834</v>
      </c>
      <c r="E39" s="333">
        <v>6517</v>
      </c>
      <c r="F39" s="333">
        <v>29962227.11894564</v>
      </c>
    </row>
    <row r="40" spans="1:6">
      <c r="A40" s="1194" t="s">
        <v>30</v>
      </c>
      <c r="B40" s="1194" t="s">
        <v>29</v>
      </c>
      <c r="C40" s="333">
        <v>0</v>
      </c>
      <c r="D40" s="333">
        <v>0</v>
      </c>
      <c r="E40" s="333">
        <v>0</v>
      </c>
      <c r="F40" s="333">
        <v>0</v>
      </c>
    </row>
    <row r="41" spans="1:6">
      <c r="A41" s="1194" t="s">
        <v>32</v>
      </c>
      <c r="B41" s="1194" t="s">
        <v>33</v>
      </c>
      <c r="C41" s="333">
        <v>45</v>
      </c>
      <c r="D41" s="333">
        <v>4115665</v>
      </c>
      <c r="E41" s="333">
        <v>155</v>
      </c>
      <c r="F41" s="333">
        <v>10407031</v>
      </c>
    </row>
    <row r="42" spans="1:6">
      <c r="A42" s="1194" t="s">
        <v>32</v>
      </c>
      <c r="B42" s="1194" t="s">
        <v>34</v>
      </c>
      <c r="C42" s="333">
        <v>0</v>
      </c>
      <c r="D42" s="333">
        <v>0</v>
      </c>
      <c r="E42" s="333">
        <v>3</v>
      </c>
      <c r="F42" s="333">
        <v>377203</v>
      </c>
    </row>
    <row r="43" spans="1:6">
      <c r="A43" s="1194" t="s">
        <v>32</v>
      </c>
      <c r="B43" s="1194" t="s">
        <v>35</v>
      </c>
      <c r="C43" s="333">
        <v>0</v>
      </c>
      <c r="D43" s="333">
        <v>0</v>
      </c>
      <c r="E43" s="333">
        <v>0</v>
      </c>
      <c r="F43" s="333">
        <v>0</v>
      </c>
    </row>
    <row r="44" spans="1:6">
      <c r="A44" s="1194" t="s">
        <v>32</v>
      </c>
      <c r="B44" s="1194" t="s">
        <v>36</v>
      </c>
      <c r="C44" s="333">
        <v>13</v>
      </c>
      <c r="D44" s="333">
        <v>1593157</v>
      </c>
      <c r="E44" s="333">
        <v>42</v>
      </c>
      <c r="F44" s="333">
        <v>3798956</v>
      </c>
    </row>
    <row r="45" spans="1:6">
      <c r="A45" s="1194" t="s">
        <v>32</v>
      </c>
      <c r="B45" s="1194" t="s">
        <v>37</v>
      </c>
      <c r="C45" s="333">
        <v>0</v>
      </c>
      <c r="D45" s="333">
        <v>0</v>
      </c>
      <c r="E45" s="333">
        <v>3</v>
      </c>
      <c r="F45" s="333">
        <v>286047</v>
      </c>
    </row>
    <row r="46" spans="1:6">
      <c r="A46" s="1194" t="s">
        <v>32</v>
      </c>
      <c r="B46" s="1194" t="s">
        <v>38</v>
      </c>
      <c r="C46" s="333">
        <v>0</v>
      </c>
      <c r="D46" s="333">
        <v>0</v>
      </c>
      <c r="E46" s="333">
        <v>0</v>
      </c>
      <c r="F46" s="333">
        <v>0</v>
      </c>
    </row>
    <row r="47" spans="1:6">
      <c r="A47" s="1194" t="s">
        <v>32</v>
      </c>
      <c r="B47" s="1194" t="s">
        <v>39</v>
      </c>
      <c r="C47" s="333">
        <v>0</v>
      </c>
      <c r="D47" s="333">
        <v>0</v>
      </c>
      <c r="E47" s="333">
        <v>3</v>
      </c>
      <c r="F47" s="333">
        <v>124322</v>
      </c>
    </row>
    <row r="48" spans="1:6">
      <c r="A48" s="1194" t="s">
        <v>32</v>
      </c>
      <c r="B48" s="1194" t="s">
        <v>29</v>
      </c>
      <c r="C48" s="333">
        <v>3</v>
      </c>
      <c r="D48" s="333">
        <v>240581</v>
      </c>
      <c r="E48" s="333">
        <v>0</v>
      </c>
      <c r="F48" s="333">
        <v>0</v>
      </c>
    </row>
    <row r="49" spans="1:6">
      <c r="A49" s="1194" t="s">
        <v>32</v>
      </c>
      <c r="B49" s="1194" t="s">
        <v>40</v>
      </c>
      <c r="C49" s="333">
        <v>0</v>
      </c>
      <c r="D49" s="333">
        <v>0</v>
      </c>
      <c r="E49" s="333">
        <v>0</v>
      </c>
      <c r="F49" s="333">
        <v>0</v>
      </c>
    </row>
    <row r="50" spans="1:6">
      <c r="A50" s="1194" t="s">
        <v>32</v>
      </c>
      <c r="B50" s="1194" t="s">
        <v>41</v>
      </c>
      <c r="C50" s="333">
        <v>20</v>
      </c>
      <c r="D50" s="333">
        <v>1374417</v>
      </c>
      <c r="E50" s="333">
        <v>39</v>
      </c>
      <c r="F50" s="333">
        <v>4734353</v>
      </c>
    </row>
    <row r="51" spans="1:6">
      <c r="A51" s="1194" t="s">
        <v>42</v>
      </c>
      <c r="B51" s="1194" t="s">
        <v>43</v>
      </c>
      <c r="C51" s="333">
        <v>30</v>
      </c>
      <c r="D51" s="333">
        <v>633832</v>
      </c>
      <c r="E51" s="333">
        <v>364</v>
      </c>
      <c r="F51" s="333">
        <v>9895880</v>
      </c>
    </row>
    <row r="52" spans="1:6">
      <c r="A52" s="1194" t="s">
        <v>42</v>
      </c>
      <c r="B52" s="1194" t="s">
        <v>29</v>
      </c>
      <c r="C52" s="333">
        <v>0</v>
      </c>
      <c r="D52" s="333">
        <v>0</v>
      </c>
      <c r="E52" s="333">
        <v>1</v>
      </c>
      <c r="F52" s="333">
        <v>40220.090958250403</v>
      </c>
    </row>
    <row r="53" spans="1:6">
      <c r="A53" s="1194" t="s">
        <v>44</v>
      </c>
      <c r="B53" s="1194" t="s">
        <v>45</v>
      </c>
      <c r="C53" s="333">
        <v>0</v>
      </c>
      <c r="D53" s="333">
        <v>0</v>
      </c>
      <c r="E53" s="333">
        <v>0</v>
      </c>
      <c r="F53" s="333">
        <v>0</v>
      </c>
    </row>
    <row r="54" spans="1:6">
      <c r="A54" s="1194" t="s">
        <v>46</v>
      </c>
      <c r="B54" s="1194" t="s">
        <v>47</v>
      </c>
      <c r="C54" s="333">
        <v>0</v>
      </c>
      <c r="D54" s="333">
        <v>0</v>
      </c>
      <c r="E54" s="333">
        <v>77</v>
      </c>
      <c r="F54" s="333">
        <v>1371667</v>
      </c>
    </row>
    <row r="55" spans="1:6">
      <c r="A55" s="1194" t="s">
        <v>46</v>
      </c>
      <c r="B55" s="1194" t="s">
        <v>29</v>
      </c>
      <c r="C55" s="333">
        <v>0</v>
      </c>
      <c r="D55" s="333">
        <v>0</v>
      </c>
      <c r="E55" s="333">
        <v>0</v>
      </c>
      <c r="F55" s="333">
        <v>0</v>
      </c>
    </row>
    <row r="56" spans="1:6">
      <c r="A56" s="1194" t="s">
        <v>48</v>
      </c>
      <c r="B56" s="1194" t="s">
        <v>29</v>
      </c>
      <c r="C56" s="333">
        <v>52</v>
      </c>
      <c r="D56" s="333">
        <v>1365453</v>
      </c>
      <c r="E56" s="333">
        <v>169</v>
      </c>
      <c r="F56" s="333">
        <v>2892217</v>
      </c>
    </row>
    <row r="57" spans="1:6">
      <c r="A57" s="1194" t="s">
        <v>49</v>
      </c>
      <c r="B57" s="1194" t="s">
        <v>50</v>
      </c>
      <c r="C57" s="333">
        <v>30</v>
      </c>
      <c r="D57" s="333">
        <v>1269304</v>
      </c>
      <c r="E57" s="333">
        <v>98</v>
      </c>
      <c r="F57" s="333">
        <v>7600440</v>
      </c>
    </row>
    <row r="58" spans="1:6">
      <c r="A58" s="1194" t="s">
        <v>49</v>
      </c>
      <c r="B58" s="1194" t="s">
        <v>51</v>
      </c>
      <c r="C58" s="333">
        <v>20</v>
      </c>
      <c r="D58" s="333">
        <v>1530299</v>
      </c>
      <c r="E58" s="333">
        <v>32</v>
      </c>
      <c r="F58" s="333">
        <v>752568</v>
      </c>
    </row>
    <row r="59" spans="1:6">
      <c r="A59" s="1194" t="s">
        <v>49</v>
      </c>
      <c r="B59" s="1194" t="s">
        <v>52</v>
      </c>
      <c r="C59" s="333">
        <v>127</v>
      </c>
      <c r="D59" s="333">
        <v>4982132</v>
      </c>
      <c r="E59" s="333">
        <v>300</v>
      </c>
      <c r="F59" s="333">
        <v>8530384</v>
      </c>
    </row>
    <row r="60" spans="1:6">
      <c r="A60" s="1194" t="s">
        <v>49</v>
      </c>
      <c r="B60" s="1194" t="s">
        <v>53</v>
      </c>
      <c r="C60" s="333">
        <v>57</v>
      </c>
      <c r="D60" s="333">
        <v>3024412</v>
      </c>
      <c r="E60" s="333">
        <v>91</v>
      </c>
      <c r="F60" s="333">
        <v>2376846</v>
      </c>
    </row>
    <row r="61" spans="1:6">
      <c r="A61" s="1194" t="s">
        <v>49</v>
      </c>
      <c r="B61" s="1194" t="s">
        <v>54</v>
      </c>
      <c r="C61" s="333">
        <v>123</v>
      </c>
      <c r="D61" s="333">
        <v>8293014</v>
      </c>
      <c r="E61" s="333">
        <v>350</v>
      </c>
      <c r="F61" s="333">
        <v>5585290</v>
      </c>
    </row>
    <row r="62" spans="1:6">
      <c r="A62" s="1194" t="s">
        <v>49</v>
      </c>
      <c r="B62" s="1194" t="s">
        <v>55</v>
      </c>
      <c r="C62" s="333">
        <v>12</v>
      </c>
      <c r="D62" s="333">
        <v>3076147</v>
      </c>
      <c r="E62" s="333">
        <v>23</v>
      </c>
      <c r="F62" s="333">
        <v>1145258</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80271</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16</v>
      </c>
      <c r="F68" s="333">
        <v>414552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127312443</v>
      </c>
      <c r="E73" s="333">
        <v>135485807.81049928</v>
      </c>
      <c r="F73" s="333">
        <v>126847917</v>
      </c>
    </row>
    <row r="74" spans="1:6">
      <c r="A74" s="1194" t="s">
        <v>64</v>
      </c>
      <c r="B74" s="1194" t="s">
        <v>775</v>
      </c>
      <c r="C74" s="1205" t="s">
        <v>776</v>
      </c>
      <c r="D74" s="333">
        <v>12277973.296664454</v>
      </c>
      <c r="E74" s="333">
        <v>12984598.960014697</v>
      </c>
      <c r="F74" s="333">
        <v>12380122.993560035</v>
      </c>
    </row>
    <row r="75" spans="1:6">
      <c r="A75" s="1194" t="s">
        <v>65</v>
      </c>
      <c r="B75" s="1194" t="s">
        <v>773</v>
      </c>
      <c r="C75" s="1205" t="s">
        <v>777</v>
      </c>
      <c r="D75" s="333">
        <v>22841366</v>
      </c>
      <c r="E75" s="333">
        <v>24100944.661640592</v>
      </c>
      <c r="F75" s="333">
        <v>22109080</v>
      </c>
    </row>
    <row r="76" spans="1:6">
      <c r="A76" s="1194" t="s">
        <v>65</v>
      </c>
      <c r="B76" s="1194" t="s">
        <v>775</v>
      </c>
      <c r="C76" s="1205" t="s">
        <v>778</v>
      </c>
      <c r="D76" s="333">
        <v>643321.29666445404</v>
      </c>
      <c r="E76" s="333">
        <v>665465.54947109765</v>
      </c>
      <c r="F76" s="333">
        <v>658264.99356003397</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592699.40667109203</v>
      </c>
      <c r="C83" s="333">
        <v>533993.85480109043</v>
      </c>
      <c r="D83" s="333">
        <v>529474.01287993207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2642.9898546116719</v>
      </c>
    </row>
    <row r="91" spans="1:6">
      <c r="A91" s="1194" t="s">
        <v>68</v>
      </c>
      <c r="B91" s="333">
        <v>1709.9781221776718</v>
      </c>
    </row>
    <row r="92" spans="1:6">
      <c r="A92" s="1190" t="s">
        <v>69</v>
      </c>
      <c r="B92" s="336">
        <v>2031.4464491345057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2561</v>
      </c>
    </row>
    <row r="98" spans="1:6">
      <c r="A98" s="1194" t="s">
        <v>72</v>
      </c>
      <c r="B98" s="333">
        <v>4</v>
      </c>
    </row>
    <row r="99" spans="1:6">
      <c r="A99" s="1194" t="s">
        <v>73</v>
      </c>
      <c r="B99" s="333">
        <v>213</v>
      </c>
    </row>
    <row r="100" spans="1:6">
      <c r="A100" s="1194" t="s">
        <v>74</v>
      </c>
      <c r="B100" s="333">
        <v>556</v>
      </c>
    </row>
    <row r="101" spans="1:6">
      <c r="A101" s="1194" t="s">
        <v>75</v>
      </c>
      <c r="B101" s="333">
        <v>182</v>
      </c>
    </row>
    <row r="102" spans="1:6">
      <c r="A102" s="1194" t="s">
        <v>76</v>
      </c>
      <c r="B102" s="333">
        <v>108</v>
      </c>
    </row>
    <row r="103" spans="1:6">
      <c r="A103" s="1194" t="s">
        <v>77</v>
      </c>
      <c r="B103" s="333">
        <v>282</v>
      </c>
    </row>
    <row r="104" spans="1:6">
      <c r="A104" s="1194" t="s">
        <v>78</v>
      </c>
      <c r="B104" s="333">
        <v>2006</v>
      </c>
    </row>
    <row r="105" spans="1:6">
      <c r="A105" s="1190" t="s">
        <v>79</v>
      </c>
      <c r="B105" s="1190">
        <v>12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4</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42</v>
      </c>
    </row>
    <row r="130" spans="1:6">
      <c r="A130" s="1194" t="s">
        <v>296</v>
      </c>
      <c r="B130" s="333">
        <v>0</v>
      </c>
    </row>
    <row r="131" spans="1:6">
      <c r="A131" s="1194" t="s">
        <v>297</v>
      </c>
      <c r="B131" s="333">
        <v>1</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88699.86916434452</v>
      </c>
      <c r="C3" s="43" t="s">
        <v>171</v>
      </c>
      <c r="D3" s="43"/>
      <c r="E3" s="156"/>
      <c r="F3" s="43"/>
      <c r="G3" s="43"/>
      <c r="H3" s="43"/>
      <c r="I3" s="43"/>
      <c r="J3" s="43"/>
      <c r="K3" s="96"/>
    </row>
    <row r="4" spans="1:11">
      <c r="A4" s="364" t="s">
        <v>172</v>
      </c>
      <c r="B4" s="49">
        <f>IF(ISERROR('SEAP template'!B69),0,'SEAP template'!B69)</f>
        <v>7378.9144259238492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0.20261507899061598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1371.6669999999999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1371.6669999999999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0.20261507899061598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277.92041755382121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29962.227118945641</v>
      </c>
      <c r="C5" s="17">
        <f>IF(ISERROR('Eigen informatie GS &amp; warmtenet'!B57),0,'Eigen informatie GS &amp; warmtenet'!B57)</f>
        <v>0</v>
      </c>
      <c r="D5" s="30">
        <f>(SUM(HH_hh_gas_kWh,HH_rest_gas_kWh)/1000)*0.902</f>
        <v>60683.704268000001</v>
      </c>
      <c r="E5" s="17">
        <f>B46*B57</f>
        <v>8661.3283450111248</v>
      </c>
      <c r="F5" s="17">
        <f>B51*B62</f>
        <v>13952.608576123075</v>
      </c>
      <c r="G5" s="18"/>
      <c r="H5" s="17"/>
      <c r="I5" s="17"/>
      <c r="J5" s="17">
        <f>B50*B61+C50*C61</f>
        <v>3645.9967462430536</v>
      </c>
      <c r="K5" s="17"/>
      <c r="L5" s="17"/>
      <c r="M5" s="17"/>
      <c r="N5" s="17">
        <f>B48*B59+C48*C59</f>
        <v>21412.934482416516</v>
      </c>
      <c r="O5" s="17">
        <f>B69*B70*B71</f>
        <v>73.476666666666674</v>
      </c>
      <c r="P5" s="17">
        <f>B77*B78*B79/1000-B77*B78*B79/1000/B80</f>
        <v>133.46666666666667</v>
      </c>
    </row>
    <row r="6" spans="1:16">
      <c r="A6" s="16" t="s">
        <v>633</v>
      </c>
      <c r="B6" s="830">
        <f>kWh_PV_kleiner_dan_10kW</f>
        <v>1709.9781221776718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31672.205241123313</v>
      </c>
      <c r="C8" s="21">
        <f>C5</f>
        <v>0</v>
      </c>
      <c r="D8" s="21">
        <f>D5</f>
        <v>60683.704268000001</v>
      </c>
      <c r="E8" s="21">
        <f>E5</f>
        <v>8661.3283450111248</v>
      </c>
      <c r="F8" s="21">
        <f>F5</f>
        <v>13952.608576123075</v>
      </c>
      <c r="G8" s="21"/>
      <c r="H8" s="21"/>
      <c r="I8" s="21"/>
      <c r="J8" s="21">
        <f>J5</f>
        <v>3645.9967462430536</v>
      </c>
      <c r="K8" s="21"/>
      <c r="L8" s="21">
        <f>L5</f>
        <v>0</v>
      </c>
      <c r="M8" s="21">
        <f>M5</f>
        <v>0</v>
      </c>
      <c r="N8" s="21">
        <f>N5</f>
        <v>21412.934482416516</v>
      </c>
      <c r="O8" s="21">
        <f>O5</f>
        <v>73.476666666666674</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0.20261507899061598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6417.2663667372017</v>
      </c>
      <c r="C12" s="23">
        <f ca="1">C10*C8</f>
        <v>0</v>
      </c>
      <c r="D12" s="23">
        <f>D8*D10</f>
        <v>12258.108262136002</v>
      </c>
      <c r="E12" s="23">
        <f>E10*E8</f>
        <v>1966.1215343175254</v>
      </c>
      <c r="F12" s="23">
        <f>F10*F8</f>
        <v>3725.3464898248612</v>
      </c>
      <c r="G12" s="23"/>
      <c r="H12" s="23"/>
      <c r="I12" s="23"/>
      <c r="J12" s="23">
        <f>J10*J8</f>
        <v>1290.6828481700409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2561</v>
      </c>
      <c r="C18" s="167" t="s">
        <v>111</v>
      </c>
      <c r="D18" s="229"/>
      <c r="E18" s="15"/>
    </row>
    <row r="19" spans="1:7">
      <c r="A19" s="172" t="s">
        <v>72</v>
      </c>
      <c r="B19" s="37">
        <f>aantalw2001_ander</f>
        <v>4</v>
      </c>
      <c r="C19" s="167" t="s">
        <v>111</v>
      </c>
      <c r="D19" s="230"/>
      <c r="E19" s="15"/>
    </row>
    <row r="20" spans="1:7">
      <c r="A20" s="172" t="s">
        <v>73</v>
      </c>
      <c r="B20" s="37">
        <f>aantalw2001_propaan</f>
        <v>213</v>
      </c>
      <c r="C20" s="168">
        <f>IF(ISERROR(B20/SUM($B$20,$B$21,$B$22)*100),0,B20/SUM($B$20,$B$21,$B$22)*100)</f>
        <v>22.397476340694006</v>
      </c>
      <c r="D20" s="230"/>
      <c r="E20" s="15"/>
    </row>
    <row r="21" spans="1:7">
      <c r="A21" s="172" t="s">
        <v>74</v>
      </c>
      <c r="B21" s="37">
        <f>aantalw2001_elektriciteit</f>
        <v>556</v>
      </c>
      <c r="C21" s="168">
        <f>IF(ISERROR(B21/SUM($B$20,$B$21,$B$22)*100),0,B21/SUM($B$20,$B$21,$B$22)*100)</f>
        <v>58.464773922187177</v>
      </c>
      <c r="D21" s="230"/>
      <c r="E21" s="15"/>
    </row>
    <row r="22" spans="1:7">
      <c r="A22" s="172" t="s">
        <v>75</v>
      </c>
      <c r="B22" s="37">
        <f>aantalw2001_hout</f>
        <v>182</v>
      </c>
      <c r="C22" s="168">
        <f>IF(ISERROR(B22/SUM($B$20,$B$21,$B$22)*100),0,B22/SUM($B$20,$B$21,$B$22)*100)</f>
        <v>19.137749737118824</v>
      </c>
      <c r="D22" s="230"/>
      <c r="E22" s="15"/>
    </row>
    <row r="23" spans="1:7">
      <c r="A23" s="172" t="s">
        <v>76</v>
      </c>
      <c r="B23" s="37">
        <f>aantalw2001_niet_gespec</f>
        <v>108</v>
      </c>
      <c r="C23" s="167" t="s">
        <v>111</v>
      </c>
      <c r="D23" s="229"/>
      <c r="E23" s="15"/>
    </row>
    <row r="24" spans="1:7">
      <c r="A24" s="172" t="s">
        <v>77</v>
      </c>
      <c r="B24" s="37">
        <f>aantalw2001_steenkool</f>
        <v>282</v>
      </c>
      <c r="C24" s="167" t="s">
        <v>111</v>
      </c>
      <c r="D24" s="230"/>
      <c r="E24" s="15"/>
    </row>
    <row r="25" spans="1:7">
      <c r="A25" s="172" t="s">
        <v>78</v>
      </c>
      <c r="B25" s="37">
        <f>aantalw2001_stookolie</f>
        <v>2006</v>
      </c>
      <c r="C25" s="167" t="s">
        <v>111</v>
      </c>
      <c r="D25" s="229"/>
      <c r="E25" s="52"/>
    </row>
    <row r="26" spans="1:7">
      <c r="A26" s="172" t="s">
        <v>79</v>
      </c>
      <c r="B26" s="37">
        <f>aantalw2001_WP</f>
        <v>12</v>
      </c>
      <c r="C26" s="167" t="s">
        <v>111</v>
      </c>
      <c r="D26" s="229"/>
      <c r="E26" s="15"/>
    </row>
    <row r="27" spans="1:7" s="15" customFormat="1">
      <c r="A27" s="172"/>
      <c r="B27" s="29"/>
      <c r="C27" s="36"/>
      <c r="D27" s="229"/>
    </row>
    <row r="28" spans="1:7" s="15" customFormat="1">
      <c r="A28" s="231" t="s">
        <v>713</v>
      </c>
      <c r="B28" s="37">
        <f>aantalHuishoudens2011</f>
        <v>6736</v>
      </c>
      <c r="C28" s="36"/>
      <c r="D28" s="229"/>
    </row>
    <row r="29" spans="1:7" s="15" customFormat="1">
      <c r="A29" s="231" t="s">
        <v>714</v>
      </c>
      <c r="B29" s="37">
        <f>SUM(HH_hh_gas_aantal,HH_rest_gas_aantal)</f>
        <v>4110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4110</v>
      </c>
      <c r="C32" s="168">
        <f>IF(ISERROR(B32/SUM($B$32,$B$34,$B$35,$B$36,$B$38,$B$39)*100),0,B32/SUM($B$32,$B$34,$B$35,$B$36,$B$38,$B$39)*100)</f>
        <v>61.078912171199285</v>
      </c>
      <c r="D32" s="234"/>
      <c r="G32" s="15"/>
    </row>
    <row r="33" spans="1:7">
      <c r="A33" s="172" t="s">
        <v>72</v>
      </c>
      <c r="B33" s="34" t="s">
        <v>111</v>
      </c>
      <c r="C33" s="168"/>
      <c r="D33" s="234"/>
      <c r="G33" s="15"/>
    </row>
    <row r="34" spans="1:7">
      <c r="A34" s="172" t="s">
        <v>73</v>
      </c>
      <c r="B34" s="33">
        <f>IF((($B$28-$B$32-$B$39-$B$77-$B$38)*C20/100)&lt;0,0,($B$28-$B$32-$B$39-$B$77-$B$38)*C20/100)</f>
        <v>421.07255520504737</v>
      </c>
      <c r="C34" s="168">
        <f>IF(ISERROR(B34/SUM($B$32,$B$34,$B$35,$B$36,$B$38,$B$39)*100),0,B34/SUM($B$32,$B$34,$B$35,$B$36,$B$38,$B$39)*100)</f>
        <v>6.2575799554918614</v>
      </c>
      <c r="D34" s="234"/>
      <c r="G34" s="15"/>
    </row>
    <row r="35" spans="1:7">
      <c r="A35" s="172" t="s">
        <v>74</v>
      </c>
      <c r="B35" s="33">
        <f>IF((($B$28-$B$32-$B$39-$B$77-$B$38)*C21/100)&lt;0,0,($B$28-$B$32-$B$39-$B$77-$B$38)*C21/100)</f>
        <v>1099.1377497371191</v>
      </c>
      <c r="C35" s="168">
        <f>IF(ISERROR(B35/SUM($B$32,$B$34,$B$35,$B$36,$B$38,$B$39)*100),0,B35/SUM($B$32,$B$34,$B$35,$B$36,$B$38,$B$39)*100)</f>
        <v>16.334340165509271</v>
      </c>
      <c r="D35" s="234"/>
      <c r="G35" s="15"/>
    </row>
    <row r="36" spans="1:7">
      <c r="A36" s="172" t="s">
        <v>75</v>
      </c>
      <c r="B36" s="33">
        <f>IF((($B$28-$B$32-$B$39-$B$77-$B$38)*C22/100)&lt;0,0,($B$28-$B$32-$B$39-$B$77-$B$38)*C22/100)</f>
        <v>359.78969505783397</v>
      </c>
      <c r="C36" s="168">
        <f>IF(ISERROR(B36/SUM($B$32,$B$34,$B$35,$B$36,$B$38,$B$39)*100),0,B36/SUM($B$32,$B$34,$B$35,$B$36,$B$38,$B$39)*100)</f>
        <v>5.3468523563357699</v>
      </c>
      <c r="D36" s="234"/>
      <c r="G36" s="15"/>
    </row>
    <row r="37" spans="1:7">
      <c r="A37" s="172" t="s">
        <v>76</v>
      </c>
      <c r="B37" s="34" t="s">
        <v>111</v>
      </c>
      <c r="C37" s="168"/>
      <c r="D37" s="174"/>
      <c r="G37" s="15"/>
    </row>
    <row r="38" spans="1:7">
      <c r="A38" s="172" t="s">
        <v>77</v>
      </c>
      <c r="B38" s="33">
        <f>IF((B24-(B29-B18)*0.1)&lt;0,0,B24-(B29-B18)*0.1)</f>
        <v>127.1</v>
      </c>
      <c r="C38" s="168">
        <f>IF(ISERROR(B38/SUM($B$32,$B$34,$B$35,$B$36,$B$38,$B$39)*100),0,B38/SUM($B$32,$B$34,$B$35,$B$36,$B$38,$B$39)*100)</f>
        <v>1.8888393520582554</v>
      </c>
      <c r="D38" s="235"/>
      <c r="G38" s="15"/>
    </row>
    <row r="39" spans="1:7">
      <c r="A39" s="172" t="s">
        <v>78</v>
      </c>
      <c r="B39" s="33">
        <f>IF((B25-(B29-B18))&lt;0,0,B25-(B29-B18)*0.9)</f>
        <v>611.89999999999986</v>
      </c>
      <c r="C39" s="168">
        <f>IF(ISERROR(B39/SUM($B$32,$B$34,$B$35,$B$36,$B$38,$B$39)*100),0,B39/SUM($B$32,$B$34,$B$35,$B$36,$B$38,$B$39)*100)</f>
        <v>9.0934759994055572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4110</v>
      </c>
      <c r="C44" s="34" t="s">
        <v>111</v>
      </c>
      <c r="D44" s="175"/>
    </row>
    <row r="45" spans="1:7">
      <c r="A45" s="172" t="s">
        <v>72</v>
      </c>
      <c r="B45" s="33" t="str">
        <f t="shared" si="0"/>
        <v>-</v>
      </c>
      <c r="C45" s="34" t="s">
        <v>111</v>
      </c>
      <c r="D45" s="175"/>
    </row>
    <row r="46" spans="1:7">
      <c r="A46" s="172" t="s">
        <v>73</v>
      </c>
      <c r="B46" s="33">
        <f t="shared" si="0"/>
        <v>421.07255520504737</v>
      </c>
      <c r="C46" s="34" t="s">
        <v>111</v>
      </c>
      <c r="D46" s="175"/>
    </row>
    <row r="47" spans="1:7">
      <c r="A47" s="172" t="s">
        <v>74</v>
      </c>
      <c r="B47" s="33">
        <f t="shared" si="0"/>
        <v>1099.1377497371191</v>
      </c>
      <c r="C47" s="34" t="s">
        <v>111</v>
      </c>
      <c r="D47" s="175"/>
    </row>
    <row r="48" spans="1:7">
      <c r="A48" s="172" t="s">
        <v>75</v>
      </c>
      <c r="B48" s="33">
        <f t="shared" si="0"/>
        <v>359.78969505783397</v>
      </c>
      <c r="C48" s="33">
        <f>B48*10</f>
        <v>3597.8969505783398</v>
      </c>
      <c r="D48" s="235"/>
    </row>
    <row r="49" spans="1:6">
      <c r="A49" s="172" t="s">
        <v>76</v>
      </c>
      <c r="B49" s="33" t="str">
        <f t="shared" si="0"/>
        <v>-</v>
      </c>
      <c r="C49" s="34" t="s">
        <v>111</v>
      </c>
      <c r="D49" s="235"/>
    </row>
    <row r="50" spans="1:6">
      <c r="A50" s="172" t="s">
        <v>77</v>
      </c>
      <c r="B50" s="33">
        <f t="shared" si="0"/>
        <v>127.1</v>
      </c>
      <c r="C50" s="33">
        <f>B50*2</f>
        <v>254.2</v>
      </c>
      <c r="D50" s="235"/>
    </row>
    <row r="51" spans="1:6">
      <c r="A51" s="172" t="s">
        <v>78</v>
      </c>
      <c r="B51" s="33">
        <f t="shared" si="0"/>
        <v>611.89999999999986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25990.786</v>
      </c>
      <c r="C5" s="17">
        <f>IF(ISERROR('Eigen informatie GS &amp; warmtenet'!B58),0,'Eigen informatie GS &amp; warmtenet'!B58)</f>
        <v>0</v>
      </c>
      <c r="D5" s="30">
        <f>SUM(D6:D12)</f>
        <v>20002.127815999997</v>
      </c>
      <c r="E5" s="17">
        <f>SUM(E6:E12)</f>
        <v>420.90411472210849</v>
      </c>
      <c r="F5" s="17">
        <f>SUM(F6:F12)</f>
        <v>5605.2619255751824</v>
      </c>
      <c r="G5" s="18"/>
      <c r="H5" s="17"/>
      <c r="I5" s="17"/>
      <c r="J5" s="17">
        <f>SUM(J6:J12)</f>
        <v>0</v>
      </c>
      <c r="K5" s="17"/>
      <c r="L5" s="17"/>
      <c r="M5" s="17"/>
      <c r="N5" s="17">
        <f>SUM(N6:N12)</f>
        <v>1808.778894114</v>
      </c>
      <c r="O5" s="17">
        <f>B38*B39*B40</f>
        <v>0</v>
      </c>
      <c r="P5" s="17">
        <f>B46*B47*B48/1000-B46*B47*B48/1000/B49</f>
        <v>19.066666666666666</v>
      </c>
      <c r="R5" s="32"/>
    </row>
    <row r="6" spans="1:18">
      <c r="A6" s="32" t="s">
        <v>54</v>
      </c>
      <c r="B6" s="37">
        <f>B26</f>
        <v>5585.29</v>
      </c>
      <c r="C6" s="33"/>
      <c r="D6" s="37">
        <f>IF(ISERROR(TER_kantoor_gas_kWh/1000),0,TER_kantoor_gas_kWh/1000)*0.902</f>
        <v>7480.2986279999996</v>
      </c>
      <c r="E6" s="33">
        <f>$C$26*'E Balans VL '!I12/100/3.6*1000000</f>
        <v>195.50712111574438</v>
      </c>
      <c r="F6" s="33">
        <f>$C$26*('E Balans VL '!L12+'E Balans VL '!N12)/100/3.6*1000000</f>
        <v>846.84987900124077</v>
      </c>
      <c r="G6" s="34"/>
      <c r="H6" s="33"/>
      <c r="I6" s="33"/>
      <c r="J6" s="33">
        <f>$C$26*('E Balans VL '!D12+'E Balans VL '!E12)/100/3.6*1000000</f>
        <v>0</v>
      </c>
      <c r="K6" s="33"/>
      <c r="L6" s="33"/>
      <c r="M6" s="33"/>
      <c r="N6" s="33">
        <f>$C$26*'E Balans VL '!Y12/100/3.6*1000000</f>
        <v>43.172543552341189</v>
      </c>
      <c r="O6" s="33"/>
      <c r="P6" s="33"/>
      <c r="R6" s="32"/>
    </row>
    <row r="7" spans="1:18">
      <c r="A7" s="32" t="s">
        <v>53</v>
      </c>
      <c r="B7" s="37">
        <f t="shared" ref="B7:B12" si="0">B27</f>
        <v>2376.846</v>
      </c>
      <c r="C7" s="33"/>
      <c r="D7" s="37">
        <f>IF(ISERROR(TER_horeca_gas_kWh/1000),0,TER_horeca_gas_kWh/1000)*0.902</f>
        <v>2728.019624</v>
      </c>
      <c r="E7" s="33">
        <f>$C$27*'E Balans VL '!I9/100/3.6*1000000</f>
        <v>134.08571875483537</v>
      </c>
      <c r="F7" s="33">
        <f>$C$27*('E Balans VL '!L9+'E Balans VL '!N9)/100/3.6*1000000</f>
        <v>414.05972683464859</v>
      </c>
      <c r="G7" s="34"/>
      <c r="H7" s="33"/>
      <c r="I7" s="33"/>
      <c r="J7" s="33">
        <f>$C$27*('E Balans VL '!D9+'E Balans VL '!E9)/100/3.6*1000000</f>
        <v>0</v>
      </c>
      <c r="K7" s="33"/>
      <c r="L7" s="33"/>
      <c r="M7" s="33"/>
      <c r="N7" s="33">
        <f>$C$27*'E Balans VL '!Y9/100/3.6*1000000</f>
        <v>0</v>
      </c>
      <c r="O7" s="33"/>
      <c r="P7" s="33"/>
      <c r="R7" s="32"/>
    </row>
    <row r="8" spans="1:18">
      <c r="A8" s="6" t="s">
        <v>52</v>
      </c>
      <c r="B8" s="37">
        <f t="shared" si="0"/>
        <v>8530.384</v>
      </c>
      <c r="C8" s="33"/>
      <c r="D8" s="37">
        <f>IF(ISERROR(TER_handel_gas_kWh/1000),0,TER_handel_gas_kWh/1000)*0.902</f>
        <v>4493.8830639999996</v>
      </c>
      <c r="E8" s="33">
        <f>$C$28*'E Balans VL '!I13/100/3.6*1000000</f>
        <v>43.794124781555304</v>
      </c>
      <c r="F8" s="33">
        <f>$C$28*('E Balans VL '!L13+'E Balans VL '!N13)/100/3.6*1000000</f>
        <v>1315.2534048365217</v>
      </c>
      <c r="G8" s="34"/>
      <c r="H8" s="33"/>
      <c r="I8" s="33"/>
      <c r="J8" s="33">
        <f>$C$28*('E Balans VL '!D13+'E Balans VL '!E13)/100/3.6*1000000</f>
        <v>0</v>
      </c>
      <c r="K8" s="33"/>
      <c r="L8" s="33"/>
      <c r="M8" s="33"/>
      <c r="N8" s="33">
        <f>$C$28*'E Balans VL '!Y13/100/3.6*1000000</f>
        <v>3.9897647241526522</v>
      </c>
      <c r="O8" s="33"/>
      <c r="P8" s="33"/>
      <c r="R8" s="32"/>
    </row>
    <row r="9" spans="1:18">
      <c r="A9" s="32" t="s">
        <v>51</v>
      </c>
      <c r="B9" s="37">
        <f t="shared" si="0"/>
        <v>752.56799999999998</v>
      </c>
      <c r="C9" s="33"/>
      <c r="D9" s="37">
        <f>IF(ISERROR(TER_gezond_gas_kWh/1000),0,TER_gezond_gas_kWh/1000)*0.902</f>
        <v>1380.329698</v>
      </c>
      <c r="E9" s="33">
        <f>$C$29*'E Balans VL '!I10/100/3.6*1000000</f>
        <v>0.31193407640279081</v>
      </c>
      <c r="F9" s="33">
        <f>$C$29*('E Balans VL '!L10+'E Balans VL '!N10)/100/3.6*1000000</f>
        <v>185.34670513513916</v>
      </c>
      <c r="G9" s="34"/>
      <c r="H9" s="33"/>
      <c r="I9" s="33"/>
      <c r="J9" s="33">
        <f>$C$29*('E Balans VL '!D10+'E Balans VL '!E10)/100/3.6*1000000</f>
        <v>0</v>
      </c>
      <c r="K9" s="33"/>
      <c r="L9" s="33"/>
      <c r="M9" s="33"/>
      <c r="N9" s="33">
        <f>$C$29*'E Balans VL '!Y10/100/3.6*1000000</f>
        <v>6.5040502199596864</v>
      </c>
      <c r="O9" s="33"/>
      <c r="P9" s="33"/>
      <c r="R9" s="32"/>
    </row>
    <row r="10" spans="1:18">
      <c r="A10" s="32" t="s">
        <v>50</v>
      </c>
      <c r="B10" s="37">
        <f t="shared" si="0"/>
        <v>7600.44</v>
      </c>
      <c r="C10" s="33"/>
      <c r="D10" s="37">
        <f>IF(ISERROR(TER_ander_gas_kWh/1000),0,TER_ander_gas_kWh/1000)*0.902</f>
        <v>1144.9122080000002</v>
      </c>
      <c r="E10" s="33">
        <f>$C$30*'E Balans VL '!I14/100/3.6*1000000</f>
        <v>46.332469763356613</v>
      </c>
      <c r="F10" s="33">
        <f>$C$30*('E Balans VL '!L14+'E Balans VL '!N14)/100/3.6*1000000</f>
        <v>2014.9807582178109</v>
      </c>
      <c r="G10" s="34"/>
      <c r="H10" s="33"/>
      <c r="I10" s="33"/>
      <c r="J10" s="33">
        <f>$C$30*('E Balans VL '!D14+'E Balans VL '!E14)/100/3.6*1000000</f>
        <v>0</v>
      </c>
      <c r="K10" s="33"/>
      <c r="L10" s="33"/>
      <c r="M10" s="33"/>
      <c r="N10" s="33">
        <f>$C$30*'E Balans VL '!Y14/100/3.6*1000000</f>
        <v>1751.7371865798721</v>
      </c>
      <c r="O10" s="33"/>
      <c r="P10" s="33"/>
      <c r="R10" s="32"/>
    </row>
    <row r="11" spans="1:18">
      <c r="A11" s="32" t="s">
        <v>55</v>
      </c>
      <c r="B11" s="37">
        <f t="shared" si="0"/>
        <v>1145.258</v>
      </c>
      <c r="C11" s="33"/>
      <c r="D11" s="37">
        <f>IF(ISERROR(TER_onderwijs_gas_kWh/1000),0,TER_onderwijs_gas_kWh/1000)*0.902</f>
        <v>2774.6845939999998</v>
      </c>
      <c r="E11" s="33">
        <f>$C$31*'E Balans VL '!I11/100/3.6*1000000</f>
        <v>0.87274623021405617</v>
      </c>
      <c r="F11" s="33">
        <f>$C$31*('E Balans VL '!L11+'E Balans VL '!N11)/100/3.6*1000000</f>
        <v>828.77145154982179</v>
      </c>
      <c r="G11" s="34"/>
      <c r="H11" s="33"/>
      <c r="I11" s="33"/>
      <c r="J11" s="33">
        <f>$C$31*('E Balans VL '!D11+'E Balans VL '!E11)/100/3.6*1000000</f>
        <v>0</v>
      </c>
      <c r="K11" s="33"/>
      <c r="L11" s="33"/>
      <c r="M11" s="33"/>
      <c r="N11" s="33">
        <f>$C$31*'E Balans VL '!Y11/100/3.6*1000000</f>
        <v>3.3753490376744359</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25990.786</v>
      </c>
      <c r="C16" s="21">
        <f ca="1">C5+C13+C14</f>
        <v>0</v>
      </c>
      <c r="D16" s="21">
        <f t="shared" ref="D16:N16" ca="1" si="1">MAX((D5+D13+D14),0)</f>
        <v>20002.127815999997</v>
      </c>
      <c r="E16" s="21">
        <f t="shared" si="1"/>
        <v>420.90411472210849</v>
      </c>
      <c r="F16" s="21">
        <f t="shared" ca="1" si="1"/>
        <v>5605.2619255751824</v>
      </c>
      <c r="G16" s="21">
        <f t="shared" si="1"/>
        <v>0</v>
      </c>
      <c r="H16" s="21">
        <f t="shared" si="1"/>
        <v>0</v>
      </c>
      <c r="I16" s="21">
        <f t="shared" si="1"/>
        <v>0</v>
      </c>
      <c r="J16" s="21">
        <f t="shared" si="1"/>
        <v>0</v>
      </c>
      <c r="K16" s="21">
        <f t="shared" si="1"/>
        <v>0</v>
      </c>
      <c r="L16" s="21">
        <f t="shared" ca="1" si="1"/>
        <v>0</v>
      </c>
      <c r="M16" s="21">
        <f t="shared" si="1"/>
        <v>0</v>
      </c>
      <c r="N16" s="21">
        <f t="shared" ca="1" si="1"/>
        <v>1808.778894114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0.20261507899061598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5266.1251584181964</v>
      </c>
      <c r="C20" s="23">
        <f t="shared" ref="C20:P20" ca="1" si="2">C16*C18</f>
        <v>0</v>
      </c>
      <c r="D20" s="23">
        <f t="shared" ca="1" si="2"/>
        <v>4040.4298188319995</v>
      </c>
      <c r="E20" s="23">
        <f t="shared" si="2"/>
        <v>95.545234041918633</v>
      </c>
      <c r="F20" s="23">
        <f t="shared" ca="1" si="2"/>
        <v>1496.6049341285739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5585.29</v>
      </c>
      <c r="C26" s="39">
        <f>IF(ISERROR(B26*3.6/1000000/'E Balans VL '!Z12*100),0,B26*3.6/1000000/'E Balans VL '!Z12*100)</f>
        <v>0.11753316554374622</v>
      </c>
      <c r="D26" s="238" t="s">
        <v>720</v>
      </c>
      <c r="F26" s="6"/>
    </row>
    <row r="27" spans="1:18">
      <c r="A27" s="232" t="s">
        <v>53</v>
      </c>
      <c r="B27" s="33">
        <f>IF(ISERROR(TER_horeca_ele_kWh/1000),0,TER_horeca_ele_kWh/1000)</f>
        <v>2376.846</v>
      </c>
      <c r="C27" s="39">
        <f>IF(ISERROR(B27*3.6/1000000/'E Balans VL '!Z9*100),0,B27*3.6/1000000/'E Balans VL '!Z9*100)</f>
        <v>0.20124087194459053</v>
      </c>
      <c r="D27" s="238" t="s">
        <v>720</v>
      </c>
      <c r="F27" s="6"/>
    </row>
    <row r="28" spans="1:18">
      <c r="A28" s="172" t="s">
        <v>52</v>
      </c>
      <c r="B28" s="33">
        <f>IF(ISERROR(TER_handel_ele_kWh/1000),0,TER_handel_ele_kWh/1000)</f>
        <v>8530.384</v>
      </c>
      <c r="C28" s="39">
        <f>IF(ISERROR(B28*3.6/1000000/'E Balans VL '!Z13*100),0,B28*3.6/1000000/'E Balans VL '!Z13*100)</f>
        <v>0.23616250146664097</v>
      </c>
      <c r="D28" s="238" t="s">
        <v>720</v>
      </c>
      <c r="F28" s="6"/>
    </row>
    <row r="29" spans="1:18">
      <c r="A29" s="232" t="s">
        <v>51</v>
      </c>
      <c r="B29" s="33">
        <f>IF(ISERROR(TER_gezond_ele_kWh/1000),0,TER_gezond_ele_kWh/1000)</f>
        <v>752.56799999999998</v>
      </c>
      <c r="C29" s="39">
        <f>IF(ISERROR(B29*3.6/1000000/'E Balans VL '!Z10*100),0,B29*3.6/1000000/'E Balans VL '!Z10*100)</f>
        <v>9.782549681098994E-2</v>
      </c>
      <c r="D29" s="238" t="s">
        <v>720</v>
      </c>
      <c r="F29" s="6"/>
    </row>
    <row r="30" spans="1:18">
      <c r="A30" s="232" t="s">
        <v>50</v>
      </c>
      <c r="B30" s="33">
        <f>IF(ISERROR(TER_ander_ele_kWh/1000),0,TER_ander_ele_kWh/1000)</f>
        <v>7600.44</v>
      </c>
      <c r="C30" s="39">
        <f>IF(ISERROR(B30*3.6/1000000/'E Balans VL '!Z14*100),0,B30*3.6/1000000/'E Balans VL '!Z14*100)</f>
        <v>0.5891038013593578</v>
      </c>
      <c r="D30" s="238" t="s">
        <v>720</v>
      </c>
      <c r="F30" s="6"/>
    </row>
    <row r="31" spans="1:18">
      <c r="A31" s="232" t="s">
        <v>55</v>
      </c>
      <c r="B31" s="33">
        <f>IF(ISERROR(TER_onderwijs_ele_kWh/1000),0,TER_onderwijs_ele_kWh/1000)</f>
        <v>1145.258</v>
      </c>
      <c r="C31" s="39">
        <f>IF(ISERROR(B31*3.6/1000000/'E Balans VL '!Z11*100),0,B31*3.6/1000000/'E Balans VL '!Z11*100)</f>
        <v>0.21910737018334542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19727.912</v>
      </c>
      <c r="C5" s="17">
        <f>IF(ISERROR('Eigen informatie GS &amp; warmtenet'!B59),0,'Eigen informatie GS &amp; warmtenet'!B59)</f>
        <v>0</v>
      </c>
      <c r="D5" s="30">
        <f>SUM(D6:D15)</f>
        <v>6606.0856400000002</v>
      </c>
      <c r="E5" s="17">
        <f>SUM(E6:E15)</f>
        <v>256.88646670307139</v>
      </c>
      <c r="F5" s="17">
        <f>SUM(F6:F15)</f>
        <v>9374.5301329524173</v>
      </c>
      <c r="G5" s="18"/>
      <c r="H5" s="17"/>
      <c r="I5" s="17"/>
      <c r="J5" s="17">
        <f>SUM(J6:J15)</f>
        <v>100.44335729548112</v>
      </c>
      <c r="K5" s="17"/>
      <c r="L5" s="17"/>
      <c r="M5" s="17"/>
      <c r="N5" s="17">
        <f>SUM(N6:N15)</f>
        <v>856.59027415372543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3798.9560000000001</v>
      </c>
      <c r="C8" s="33"/>
      <c r="D8" s="37">
        <f>IF( ISERROR(IND_metaal_Gas_kWH/1000),0,IND_metaal_Gas_kWH/1000)*0.902</f>
        <v>1437.0276139999999</v>
      </c>
      <c r="E8" s="33">
        <f>C30*'E Balans VL '!I18/100/3.6*1000000</f>
        <v>26.694425610379646</v>
      </c>
      <c r="F8" s="33">
        <f>C30*'E Balans VL '!L18/100/3.6*1000000+C30*'E Balans VL '!N18/100/3.6*1000000</f>
        <v>417.10314271971936</v>
      </c>
      <c r="G8" s="34"/>
      <c r="H8" s="33"/>
      <c r="I8" s="33"/>
      <c r="J8" s="40">
        <f>C30*'E Balans VL '!D18/100/3.6*1000000+C30*'E Balans VL '!E18/100/3.6*1000000</f>
        <v>78.380650518506144</v>
      </c>
      <c r="K8" s="33"/>
      <c r="L8" s="33"/>
      <c r="M8" s="33"/>
      <c r="N8" s="33">
        <f>C30*'E Balans VL '!Y18/100/3.6*1000000</f>
        <v>14.238760688517653</v>
      </c>
      <c r="O8" s="33"/>
      <c r="P8" s="33"/>
      <c r="R8" s="32"/>
    </row>
    <row r="9" spans="1:18">
      <c r="A9" s="6" t="s">
        <v>33</v>
      </c>
      <c r="B9" s="37">
        <f t="shared" si="0"/>
        <v>10407.031000000001</v>
      </c>
      <c r="C9" s="33"/>
      <c r="D9" s="37">
        <f>IF( ISERROR(IND_andere_gas_kWh/1000),0,IND_andere_gas_kWh/1000)*0.902</f>
        <v>3712.3298300000001</v>
      </c>
      <c r="E9" s="33">
        <f>C31*'E Balans VL '!I19/100/3.6*1000000</f>
        <v>174.79883466502858</v>
      </c>
      <c r="F9" s="33">
        <f>C31*'E Balans VL '!L19/100/3.6*1000000+C31*'E Balans VL '!N19/100/3.6*1000000</f>
        <v>8135.6240955727153</v>
      </c>
      <c r="G9" s="34"/>
      <c r="H9" s="33"/>
      <c r="I9" s="33"/>
      <c r="J9" s="40">
        <f>C31*'E Balans VL '!D19/100/3.6*1000000+C31*'E Balans VL '!E19/100/3.6*1000000</f>
        <v>0.93862232933155409</v>
      </c>
      <c r="K9" s="33"/>
      <c r="L9" s="33"/>
      <c r="M9" s="33"/>
      <c r="N9" s="33">
        <f>C31*'E Balans VL '!Y19/100/3.6*1000000</f>
        <v>771.3279632131547</v>
      </c>
      <c r="O9" s="33"/>
      <c r="P9" s="33"/>
      <c r="R9" s="32"/>
    </row>
    <row r="10" spans="1:18">
      <c r="A10" s="6" t="s">
        <v>41</v>
      </c>
      <c r="B10" s="37">
        <f t="shared" si="0"/>
        <v>4734.3530000000001</v>
      </c>
      <c r="C10" s="33"/>
      <c r="D10" s="37">
        <f>IF( ISERROR(IND_voed_gas_kWh/1000),0,IND_voed_gas_kWh/1000)*0.902</f>
        <v>1239.724134</v>
      </c>
      <c r="E10" s="33">
        <f>C32*'E Balans VL '!I20/100/3.6*1000000</f>
        <v>43.194269411705434</v>
      </c>
      <c r="F10" s="33">
        <f>C32*'E Balans VL '!L20/100/3.6*1000000+C32*'E Balans VL '!N20/100/3.6*1000000</f>
        <v>763.79922079578591</v>
      </c>
      <c r="G10" s="34"/>
      <c r="H10" s="33"/>
      <c r="I10" s="33"/>
      <c r="J10" s="40">
        <f>C32*'E Balans VL '!D20/100/3.6*1000000+C32*'E Balans VL '!E20/100/3.6*1000000</f>
        <v>19.499169646075785</v>
      </c>
      <c r="K10" s="33"/>
      <c r="L10" s="33"/>
      <c r="M10" s="33"/>
      <c r="N10" s="33">
        <f>C32*'E Balans VL '!Y20/100/3.6*1000000</f>
        <v>69.259851247884882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286.04700000000003</v>
      </c>
      <c r="C12" s="33"/>
      <c r="D12" s="37">
        <f>IF( ISERROR(IND_min_gas_kWh/1000),0,IND_min_gas_kWh/1000)*0.902</f>
        <v>0</v>
      </c>
      <c r="E12" s="33">
        <f>C34*'E Balans VL '!I22/100/3.6*1000000</f>
        <v>7.094895552617638</v>
      </c>
      <c r="F12" s="33">
        <f>C34*'E Balans VL '!L22/100/3.6*1000000+C34*'E Balans VL '!N22/100/3.6*1000000</f>
        <v>30.395232648955279</v>
      </c>
      <c r="G12" s="34"/>
      <c r="H12" s="33"/>
      <c r="I12" s="33"/>
      <c r="J12" s="40">
        <f>C34*'E Balans VL '!D22/100/3.6*1000000+C34*'E Balans VL '!E22/100/3.6*1000000</f>
        <v>1.6249148015676371</v>
      </c>
      <c r="K12" s="33"/>
      <c r="L12" s="33"/>
      <c r="M12" s="33"/>
      <c r="N12" s="33">
        <f>C34*'E Balans VL '!Y22/100/3.6*1000000</f>
        <v>0</v>
      </c>
      <c r="O12" s="33"/>
      <c r="P12" s="33"/>
      <c r="R12" s="32"/>
    </row>
    <row r="13" spans="1:18">
      <c r="A13" s="6" t="s">
        <v>39</v>
      </c>
      <c r="B13" s="37">
        <f t="shared" si="0"/>
        <v>124.322</v>
      </c>
      <c r="C13" s="33"/>
      <c r="D13" s="37">
        <f>IF( ISERROR(IND_papier_gas_kWh/1000),0,IND_papier_gas_kWh/1000)*0.902</f>
        <v>0</v>
      </c>
      <c r="E13" s="33">
        <f>C35*'E Balans VL '!I23/100/3.6*1000000</f>
        <v>3.8250634884764652</v>
      </c>
      <c r="F13" s="33">
        <f>C35*'E Balans VL '!L23/100/3.6*1000000+C35*'E Balans VL '!N23/100/3.6*1000000</f>
        <v>26.397905397199008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377.20299999999997</v>
      </c>
      <c r="C14" s="33"/>
      <c r="D14" s="37">
        <f>IF( ISERROR(IND_chemie_gas_kWh/1000),0,IND_chemie_gas_kWh/1000)*0.902</f>
        <v>0</v>
      </c>
      <c r="E14" s="33">
        <f>C36*'E Balans VL '!I24/100/3.6*1000000</f>
        <v>1.2789779748635961</v>
      </c>
      <c r="F14" s="33">
        <f>C36*'E Balans VL '!L24/100/3.6*1000000+C36*'E Balans VL '!N24/100/3.6*1000000</f>
        <v>1.210535818039679</v>
      </c>
      <c r="G14" s="34"/>
      <c r="H14" s="33"/>
      <c r="I14" s="33"/>
      <c r="J14" s="40">
        <f>C36*'E Balans VL '!D24/100/3.6*1000000+C36*'E Balans VL '!E24/100/3.6*1000000</f>
        <v>0</v>
      </c>
      <c r="K14" s="33"/>
      <c r="L14" s="33"/>
      <c r="M14" s="33"/>
      <c r="N14" s="33">
        <f>C36*'E Balans VL '!Y24/100/3.6*1000000</f>
        <v>1.7636990041681617</v>
      </c>
      <c r="O14" s="33"/>
      <c r="P14" s="33"/>
      <c r="R14" s="32"/>
    </row>
    <row r="15" spans="1:18">
      <c r="A15" s="6" t="s">
        <v>271</v>
      </c>
      <c r="B15" s="37">
        <f t="shared" si="0"/>
        <v>0</v>
      </c>
      <c r="C15" s="33"/>
      <c r="D15" s="37">
        <f>IF( ISERROR(IND_rest_gas_kWh/1000),0,IND_rest_gas_kWh/1000)*0.902</f>
        <v>217.004062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19727.912</v>
      </c>
      <c r="C18" s="21">
        <f>C5+C16</f>
        <v>0</v>
      </c>
      <c r="D18" s="21">
        <f>MAX((D5+D16),0)</f>
        <v>6606.0856400000002</v>
      </c>
      <c r="E18" s="21">
        <f>MAX((E5+E16),0)</f>
        <v>256.88646670307139</v>
      </c>
      <c r="F18" s="21">
        <f>MAX((F5+F16),0)</f>
        <v>9374.5301329524173</v>
      </c>
      <c r="G18" s="21"/>
      <c r="H18" s="21"/>
      <c r="I18" s="21"/>
      <c r="J18" s="21">
        <f>MAX((J5+J16),0)</f>
        <v>100.44335729548112</v>
      </c>
      <c r="K18" s="21"/>
      <c r="L18" s="21">
        <f>MAX((L5+L16),0)</f>
        <v>0</v>
      </c>
      <c r="M18" s="21"/>
      <c r="N18" s="21">
        <f>MAX((N5+N16),0)</f>
        <v>856.59027415372543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0.20261507899061598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3997.1724481999208</v>
      </c>
      <c r="C22" s="23">
        <f ca="1">C18*C20</f>
        <v>0</v>
      </c>
      <c r="D22" s="23">
        <f>D18*D20</f>
        <v>1334.4292992800001</v>
      </c>
      <c r="E22" s="23">
        <f>E18*E20</f>
        <v>58.313227941597205</v>
      </c>
      <c r="F22" s="23">
        <f>F18*F20</f>
        <v>2502.9995454982954</v>
      </c>
      <c r="G22" s="23"/>
      <c r="H22" s="23"/>
      <c r="I22" s="23"/>
      <c r="J22" s="23">
        <f>J18*J20</f>
        <v>35.556948482600312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3798.9560000000001</v>
      </c>
      <c r="C30" s="39">
        <f>IF(ISERROR(B30*3.6/1000000/'E Balans VL '!Z18*100),0,B30*3.6/1000000/'E Balans VL '!Z18*100)</f>
        <v>0.25289882075693182</v>
      </c>
      <c r="D30" s="238" t="s">
        <v>720</v>
      </c>
    </row>
    <row r="31" spans="1:18">
      <c r="A31" s="6" t="s">
        <v>33</v>
      </c>
      <c r="B31" s="37">
        <f>IF( ISERROR(IND_ander_ele_kWh/1000),0,IND_ander_ele_kWh/1000)</f>
        <v>10407.031000000001</v>
      </c>
      <c r="C31" s="39">
        <f>IF(ISERROR(B31*3.6/1000000/'E Balans VL '!Z19*100),0,B31*3.6/1000000/'E Balans VL '!Z19*100)</f>
        <v>0.4613024417192621</v>
      </c>
      <c r="D31" s="238" t="s">
        <v>720</v>
      </c>
    </row>
    <row r="32" spans="1:18">
      <c r="A32" s="172" t="s">
        <v>41</v>
      </c>
      <c r="B32" s="37">
        <f>IF( ISERROR(IND_voed_ele_kWh/1000),0,IND_voed_ele_kWh/1000)</f>
        <v>4734.3530000000001</v>
      </c>
      <c r="C32" s="39">
        <f>IF(ISERROR(B32*3.6/1000000/'E Balans VL '!Z20*100),0,B32*3.6/1000000/'E Balans VL '!Z20*100)</f>
        <v>0.15814097130101901</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286.04700000000003</v>
      </c>
      <c r="C34" s="39">
        <f>IF(ISERROR(B34*3.6/1000000/'E Balans VL '!Z22*100),0,B34*3.6/1000000/'E Balans VL '!Z22*100)</f>
        <v>5.5632999452309789E-2</v>
      </c>
      <c r="D34" s="238" t="s">
        <v>720</v>
      </c>
    </row>
    <row r="35" spans="1:5">
      <c r="A35" s="172" t="s">
        <v>39</v>
      </c>
      <c r="B35" s="37">
        <f>IF( ISERROR(IND_papier_ele_kWh/1000),0,IND_papier_ele_kWh/1000)</f>
        <v>124.322</v>
      </c>
      <c r="C35" s="39">
        <f>IF(ISERROR(B35*3.6/1000000/'E Balans VL '!Z22*100),0,B35*3.6/1000000/'E Balans VL '!Z22*100)</f>
        <v>2.4179263400455377E-2</v>
      </c>
      <c r="D35" s="238" t="s">
        <v>720</v>
      </c>
    </row>
    <row r="36" spans="1:5">
      <c r="A36" s="172" t="s">
        <v>34</v>
      </c>
      <c r="B36" s="37">
        <f>IF( ISERROR(IND_chemie_ele_kWh/1000),0,IND_chemie_ele_kWh/1000)</f>
        <v>377.20299999999997</v>
      </c>
      <c r="C36" s="39">
        <f>IF(ISERROR(B36*3.6/1000000/'E Balans VL '!Z24*100),0,B36*3.6/1000000/'E Balans VL '!Z24*100)</f>
        <v>8.8577423979544663E-3</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9936.1000909582508</v>
      </c>
      <c r="C5" s="17">
        <f>'Eigen informatie GS &amp; warmtenet'!B60</f>
        <v>0</v>
      </c>
      <c r="D5" s="30">
        <f>IF(ISERROR(SUM(LB_lb_gas_kWh,LB_rest_gas_kWh,onbekend_gas_kWh)/1000),0,SUM(LB_lb_gas_kWh,LB_rest_gas_kWh,onbekend_gas_kWh)/1000)*0.902</f>
        <v>571.71646399999997</v>
      </c>
      <c r="E5" s="17">
        <f>B17*'E Balans VL '!I25/3.6*1000000/100</f>
        <v>104.05299123046403</v>
      </c>
      <c r="F5" s="17">
        <f>B17*('E Balans VL '!L25/3.6*1000000+'E Balans VL '!N25/3.6*1000000)/100</f>
        <v>51033.392135420385</v>
      </c>
      <c r="G5" s="18"/>
      <c r="H5" s="17"/>
      <c r="I5" s="17"/>
      <c r="J5" s="17">
        <f>('E Balans VL '!D25+'E Balans VL '!E25)/3.6*1000000*landbouw!B17/100</f>
        <v>887.3827969069996</v>
      </c>
      <c r="K5" s="17"/>
      <c r="L5" s="17">
        <f>L6*(-1)</f>
        <v>360</v>
      </c>
      <c r="M5" s="17"/>
      <c r="N5" s="17">
        <f>N6*(-1)</f>
        <v>2126.25</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-360</v>
      </c>
      <c r="M6" s="249"/>
      <c r="N6" s="311">
        <f>('lokale energieproductie'!V60+'lokale energieproductie'!R60+'lokale energieproductie'!Q60+'lokale energieproductie'!Q91+'lokale energieproductie'!R91+'lokale energieproductie'!V91)*(-1)</f>
        <v>-2126.25</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9936.1000909582508</v>
      </c>
      <c r="C8" s="21">
        <f>C5+C6</f>
        <v>0</v>
      </c>
      <c r="D8" s="21">
        <f>MAX((D5+D6),0)</f>
        <v>571.71646399999997</v>
      </c>
      <c r="E8" s="21">
        <f>MAX((E5+E6),0)</f>
        <v>104.05299123046403</v>
      </c>
      <c r="F8" s="21">
        <f>MAX((F5+F6),0)</f>
        <v>51033.392135420385</v>
      </c>
      <c r="G8" s="21"/>
      <c r="H8" s="21"/>
      <c r="I8" s="21"/>
      <c r="J8" s="21">
        <f>MAX((J5+J6),0)</f>
        <v>887.3827969069996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0.20261507899061598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2013.2037047881727</v>
      </c>
      <c r="C12" s="23">
        <f ca="1">C8*C10</f>
        <v>0</v>
      </c>
      <c r="D12" s="23">
        <f>D8*D10</f>
        <v>115.486725728</v>
      </c>
      <c r="E12" s="23">
        <f>E8*E10</f>
        <v>23.620029009315335</v>
      </c>
      <c r="F12" s="23">
        <f>F8*F10</f>
        <v>13625.915700157244</v>
      </c>
      <c r="G12" s="23"/>
      <c r="H12" s="23"/>
      <c r="I12" s="23"/>
      <c r="J12" s="23">
        <f>J8*J10</f>
        <v>314.13351010507785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1.5293576061749727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2191.6229392946261</v>
      </c>
      <c r="C26" s="248">
        <f>B26*'GWP N2O_CH4'!B5</f>
        <v>46024.081725187149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1068.8490364279642</v>
      </c>
      <c r="C27" s="248">
        <f>B27*'GWP N2O_CH4'!B5</f>
        <v>22445.829764987247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29.86163825296055</v>
      </c>
      <c r="C28" s="248">
        <f>B28*'GWP N2O_CH4'!B4</f>
        <v>9257.1078584177703</v>
      </c>
      <c r="D28" s="50"/>
    </row>
    <row r="29" spans="1:4">
      <c r="A29" s="41" t="s">
        <v>278</v>
      </c>
      <c r="B29" s="248">
        <f>B34*'ha_N2O bodem landbouw'!B4</f>
        <v>111.67153808441924</v>
      </c>
      <c r="C29" s="248">
        <f>B29*'GWP N2O_CH4'!B4</f>
        <v>34618.176806169962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1.8455188328565394E-2</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4.315796146638637E-6</v>
      </c>
      <c r="C5" s="446" t="s">
        <v>212</v>
      </c>
      <c r="D5" s="431">
        <f>SUM(D6:D11)</f>
        <v>2.0852121668485101E-5</v>
      </c>
      <c r="E5" s="431">
        <f>SUM(E6:E11)</f>
        <v>2.1236148133208293E-3</v>
      </c>
      <c r="F5" s="444" t="s">
        <v>212</v>
      </c>
      <c r="G5" s="431">
        <f>SUM(G6:G11)</f>
        <v>0.38133332037577067</v>
      </c>
      <c r="H5" s="431">
        <f>SUM(H6:H11)</f>
        <v>6.9523022879686369E-2</v>
      </c>
      <c r="I5" s="446" t="s">
        <v>212</v>
      </c>
      <c r="J5" s="446" t="s">
        <v>212</v>
      </c>
      <c r="K5" s="446" t="s">
        <v>212</v>
      </c>
      <c r="L5" s="446" t="s">
        <v>212</v>
      </c>
      <c r="M5" s="431">
        <f>SUM(M6:M11)</f>
        <v>1.9683338290584811E-2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3.6592781400473908E-6</v>
      </c>
      <c r="C6" s="432"/>
      <c r="D6" s="432">
        <f>vkm_2011_GW_PW*SUMIFS(TableVerdeelsleutelVkm[CNG],TableVerdeelsleutelVkm[Voertuigtype],"Lichte voertuigen")*SUMIFS(TableECFTransport[EnergieConsumptieFactor (PJ per km)],TableECFTransport[Index],CONCATENATE($A6,"_CNG_CNG"))</f>
        <v>1.5774722707722939E-5</v>
      </c>
      <c r="E6" s="434">
        <f>vkm_2011_GW_PW*SUMIFS(TableVerdeelsleutelVkm[LPG],TableVerdeelsleutelVkm[Voertuigtype],"Lichte voertuigen")*SUMIFS(TableECFTransport[EnergieConsumptieFactor (PJ per km)],TableECFTransport[Index],CONCATENATE($A6,"_LPG_LPG"))</f>
        <v>1.641263106071512E-3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0.20187986777174832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5.3150785623749364E-2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1.1176665895598212E-2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0.11482009792545653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3.93702204422235E-5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4.9600130948230133E-3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6.5651800659124654E-7</v>
      </c>
      <c r="C8" s="432"/>
      <c r="D8" s="434">
        <f>vkm_2011_NGW_PW*SUMIFS(TableVerdeelsleutelVkm[CNG],TableVerdeelsleutelVkm[Voertuigtype],"Lichte voertuigen")*SUMIFS(TableECFTransport[EnergieConsumptieFactor (PJ per km)],TableECFTransport[Index],CONCATENATE($A8,"_CNG_CNG"))</f>
        <v>5.0773989607621606E-6</v>
      </c>
      <c r="E8" s="434">
        <f>vkm_2011_NGW_PW*SUMIFS(TableVerdeelsleutelVkm[LPG],TableVerdeelsleutelVkm[Voertuigtype],"Lichte voertuigen")*SUMIFS(TableECFTransport[EnergieConsumptieFactor (PJ per km)],TableECFTransport[Index],CONCATENATE($A8,"_LPG_LPG"))</f>
        <v>4.8235170724931711E-4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5.627370816411334E-2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1.6330376916415059E-2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3.1855556430672753E-3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8.359646514452453E-3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2.4901190797221036E-6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3.6110365709631046E-4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1.1988322629551769</v>
      </c>
      <c r="C14" s="21"/>
      <c r="D14" s="21">
        <f t="shared" ref="D14:M14" si="0">((D5)*10^9/3600)+D12</f>
        <v>5.7922560190236396</v>
      </c>
      <c r="E14" s="21">
        <f t="shared" si="0"/>
        <v>589.89300370023045</v>
      </c>
      <c r="F14" s="21"/>
      <c r="G14" s="21">
        <f t="shared" si="0"/>
        <v>105925.92232660297</v>
      </c>
      <c r="H14" s="21">
        <f t="shared" si="0"/>
        <v>19311.95079991288</v>
      </c>
      <c r="I14" s="21"/>
      <c r="J14" s="21"/>
      <c r="K14" s="21"/>
      <c r="L14" s="21"/>
      <c r="M14" s="21">
        <f t="shared" si="0"/>
        <v>5467.5939696068917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0.20261507899061598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0.24290149365516206</v>
      </c>
      <c r="C18" s="23"/>
      <c r="D18" s="23">
        <f t="shared" ref="D18:M18" si="1">D14*D16</f>
        <v>1.1700357158427752</v>
      </c>
      <c r="E18" s="23">
        <f t="shared" si="1"/>
        <v>133.90571183995232</v>
      </c>
      <c r="F18" s="23"/>
      <c r="G18" s="23">
        <f t="shared" si="1"/>
        <v>28282.221261202994</v>
      </c>
      <c r="H18" s="23">
        <f t="shared" si="1"/>
        <v>4808.6757491783073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7.7823713164782904E-3</v>
      </c>
      <c r="H50" s="322">
        <f t="shared" si="2"/>
        <v>0</v>
      </c>
      <c r="I50" s="322">
        <f t="shared" si="2"/>
        <v>0</v>
      </c>
      <c r="J50" s="322">
        <f t="shared" si="2"/>
        <v>0</v>
      </c>
      <c r="K50" s="322">
        <f t="shared" si="2"/>
        <v>0</v>
      </c>
      <c r="L50" s="322">
        <f t="shared" si="2"/>
        <v>0</v>
      </c>
      <c r="M50" s="322">
        <f t="shared" si="2"/>
        <v>3.3172867889165095E-4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7.7823713164782904E-3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3.3172867889165095E-4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2161.7698101328583</v>
      </c>
      <c r="H54" s="21">
        <f t="shared" si="3"/>
        <v>0</v>
      </c>
      <c r="I54" s="21">
        <f t="shared" si="3"/>
        <v>0</v>
      </c>
      <c r="J54" s="21">
        <f t="shared" si="3"/>
        <v>0</v>
      </c>
      <c r="K54" s="21">
        <f t="shared" si="3"/>
        <v>0</v>
      </c>
      <c r="L54" s="21">
        <f t="shared" si="3"/>
        <v>0</v>
      </c>
      <c r="M54" s="21">
        <f t="shared" si="3"/>
        <v>92.146855247680818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0.20261507899061598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577.19253930547325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4"/>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2642.9898546116719</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3741.4245713121772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994.5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360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2126.25</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7378.9144259238492</v>
      </c>
      <c r="C9" s="578">
        <f t="shared" ref="C9:L9" si="0">SUM(C7:C8)</f>
        <v>0</v>
      </c>
      <c r="D9" s="578">
        <f t="shared" si="0"/>
        <v>0</v>
      </c>
      <c r="E9" s="578">
        <f t="shared" si="0"/>
        <v>0</v>
      </c>
      <c r="F9" s="578">
        <f t="shared" si="0"/>
        <v>0</v>
      </c>
      <c r="G9" s="578">
        <f t="shared" si="0"/>
        <v>0</v>
      </c>
      <c r="H9" s="578">
        <f t="shared" si="0"/>
        <v>0</v>
      </c>
      <c r="I9" s="578">
        <f t="shared" si="0"/>
        <v>360</v>
      </c>
      <c r="J9" s="578">
        <f t="shared" si="0"/>
        <v>2126.25</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32003</v>
      </c>
      <c r="C63" s="839">
        <v>8600</v>
      </c>
      <c r="D63" s="658" t="s">
        <v>894</v>
      </c>
      <c r="E63" s="658" t="s">
        <v>895</v>
      </c>
      <c r="F63" s="658" t="s">
        <v>896</v>
      </c>
      <c r="G63" s="658" t="s">
        <v>897</v>
      </c>
      <c r="H63" s="658" t="s">
        <v>898</v>
      </c>
      <c r="I63" s="658" t="s">
        <v>895</v>
      </c>
      <c r="J63" s="838">
        <v>40274</v>
      </c>
      <c r="K63" s="838">
        <v>40274</v>
      </c>
      <c r="L63" s="658" t="s">
        <v>899</v>
      </c>
      <c r="M63" s="658">
        <v>32</v>
      </c>
      <c r="N63" s="658">
        <v>144</v>
      </c>
      <c r="O63" s="658">
        <v>0</v>
      </c>
      <c r="P63" s="658">
        <v>0</v>
      </c>
      <c r="Q63" s="658">
        <v>0</v>
      </c>
      <c r="R63" s="658">
        <v>0</v>
      </c>
      <c r="S63" s="658">
        <v>0</v>
      </c>
      <c r="T63" s="658">
        <v>0</v>
      </c>
      <c r="U63" s="658">
        <v>360</v>
      </c>
      <c r="V63" s="658">
        <v>0</v>
      </c>
      <c r="W63" s="658">
        <v>0</v>
      </c>
      <c r="X63" s="658">
        <v>10</v>
      </c>
      <c r="Y63" s="658" t="s">
        <v>112</v>
      </c>
      <c r="Z63" s="659" t="s">
        <v>112</v>
      </c>
    </row>
    <row r="64" spans="1:26" s="624" customFormat="1" ht="38.25">
      <c r="A64" s="610"/>
      <c r="B64" s="839">
        <v>32003</v>
      </c>
      <c r="C64" s="839">
        <v>8600</v>
      </c>
      <c r="D64" s="658" t="s">
        <v>900</v>
      </c>
      <c r="E64" s="658" t="s">
        <v>901</v>
      </c>
      <c r="F64" s="658" t="s">
        <v>902</v>
      </c>
      <c r="G64" s="658" t="s">
        <v>903</v>
      </c>
      <c r="H64" s="658" t="s">
        <v>904</v>
      </c>
      <c r="I64" s="658" t="s">
        <v>905</v>
      </c>
      <c r="J64" s="838">
        <v>39340</v>
      </c>
      <c r="K64" s="838">
        <v>40704</v>
      </c>
      <c r="L64" s="658" t="s">
        <v>899</v>
      </c>
      <c r="M64" s="658">
        <v>378</v>
      </c>
      <c r="N64" s="658">
        <v>850.5</v>
      </c>
      <c r="O64" s="658">
        <v>0</v>
      </c>
      <c r="P64" s="658">
        <v>0</v>
      </c>
      <c r="Q64" s="658">
        <v>0</v>
      </c>
      <c r="R64" s="658">
        <v>0</v>
      </c>
      <c r="S64" s="658">
        <v>0</v>
      </c>
      <c r="T64" s="658">
        <v>0</v>
      </c>
      <c r="U64" s="658">
        <v>0</v>
      </c>
      <c r="V64" s="658">
        <v>2126.25</v>
      </c>
      <c r="W64" s="658">
        <v>0</v>
      </c>
      <c r="X64" s="658">
        <v>10</v>
      </c>
      <c r="Y64" s="658" t="s">
        <v>112</v>
      </c>
      <c r="Z64" s="659" t="s">
        <v>112</v>
      </c>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410</v>
      </c>
      <c r="N88" s="613">
        <f t="shared" ref="N88:W88" si="5">SUM(N63:N87)</f>
        <v>994.5</v>
      </c>
      <c r="O88" s="613">
        <f t="shared" si="5"/>
        <v>0</v>
      </c>
      <c r="P88" s="613">
        <f t="shared" si="5"/>
        <v>0</v>
      </c>
      <c r="Q88" s="613">
        <f t="shared" si="5"/>
        <v>0</v>
      </c>
      <c r="R88" s="613">
        <f t="shared" si="5"/>
        <v>0</v>
      </c>
      <c r="S88" s="613">
        <f t="shared" si="5"/>
        <v>0</v>
      </c>
      <c r="T88" s="613">
        <f t="shared" si="5"/>
        <v>0</v>
      </c>
      <c r="U88" s="613">
        <f t="shared" si="5"/>
        <v>360</v>
      </c>
      <c r="V88" s="613">
        <f t="shared" si="5"/>
        <v>2126.25</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410</v>
      </c>
      <c r="N91" s="618">
        <f t="shared" si="8"/>
        <v>994.5</v>
      </c>
      <c r="O91" s="618">
        <f t="shared" si="8"/>
        <v>0</v>
      </c>
      <c r="P91" s="618">
        <f t="shared" si="8"/>
        <v>0</v>
      </c>
      <c r="Q91" s="618">
        <f t="shared" si="8"/>
        <v>0</v>
      </c>
      <c r="R91" s="618">
        <f t="shared" si="8"/>
        <v>0</v>
      </c>
      <c r="S91" s="618">
        <f t="shared" si="8"/>
        <v>0</v>
      </c>
      <c r="T91" s="618">
        <f t="shared" si="8"/>
        <v>0</v>
      </c>
      <c r="U91" s="618">
        <f t="shared" si="8"/>
        <v>360</v>
      </c>
      <c r="V91" s="618">
        <f t="shared" si="8"/>
        <v>2126.25</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27362.453000000001</v>
      </c>
      <c r="D10" s="702">
        <f ca="1">tertiair!C16</f>
        <v>0</v>
      </c>
      <c r="E10" s="702">
        <f ca="1">tertiair!D16</f>
        <v>20002.127815999997</v>
      </c>
      <c r="F10" s="702">
        <f>tertiair!E16</f>
        <v>420.90411472210849</v>
      </c>
      <c r="G10" s="702">
        <f ca="1">tertiair!F16</f>
        <v>5605.2619255751824</v>
      </c>
      <c r="H10" s="702">
        <f>tertiair!G16</f>
        <v>0</v>
      </c>
      <c r="I10" s="702">
        <f>tertiair!H16</f>
        <v>0</v>
      </c>
      <c r="J10" s="702">
        <f>tertiair!I16</f>
        <v>0</v>
      </c>
      <c r="K10" s="702">
        <f>tertiair!J16</f>
        <v>0</v>
      </c>
      <c r="L10" s="702">
        <f>tertiair!K16</f>
        <v>0</v>
      </c>
      <c r="M10" s="702">
        <f ca="1">tertiair!L16</f>
        <v>0</v>
      </c>
      <c r="N10" s="702">
        <f>tertiair!M16</f>
        <v>0</v>
      </c>
      <c r="O10" s="702">
        <f ca="1">tertiair!N16</f>
        <v>1808.778894114</v>
      </c>
      <c r="P10" s="702">
        <f>tertiair!O16</f>
        <v>0</v>
      </c>
      <c r="Q10" s="703">
        <f>tertiair!P16</f>
        <v>19.066666666666666</v>
      </c>
      <c r="R10" s="705">
        <f ca="1">SUM(C10:Q10)</f>
        <v>55218.592417077962</v>
      </c>
      <c r="S10" s="67"/>
    </row>
    <row r="11" spans="1:19" s="457" customFormat="1">
      <c r="A11" s="858" t="s">
        <v>226</v>
      </c>
      <c r="B11" s="863"/>
      <c r="C11" s="702">
        <f>huishoudens!B8</f>
        <v>31672.205241123313</v>
      </c>
      <c r="D11" s="702">
        <f>huishoudens!C8</f>
        <v>0</v>
      </c>
      <c r="E11" s="702">
        <f>huishoudens!D8</f>
        <v>60683.704268000001</v>
      </c>
      <c r="F11" s="702">
        <f>huishoudens!E8</f>
        <v>8661.3283450111248</v>
      </c>
      <c r="G11" s="702">
        <f>huishoudens!F8</f>
        <v>13952.608576123075</v>
      </c>
      <c r="H11" s="702">
        <f>huishoudens!G8</f>
        <v>0</v>
      </c>
      <c r="I11" s="702">
        <f>huishoudens!H8</f>
        <v>0</v>
      </c>
      <c r="J11" s="702">
        <f>huishoudens!I8</f>
        <v>0</v>
      </c>
      <c r="K11" s="702">
        <f>huishoudens!J8</f>
        <v>3645.9967462430536</v>
      </c>
      <c r="L11" s="702">
        <f>huishoudens!K8</f>
        <v>0</v>
      </c>
      <c r="M11" s="702">
        <f>huishoudens!L8</f>
        <v>0</v>
      </c>
      <c r="N11" s="702">
        <f>huishoudens!M8</f>
        <v>0</v>
      </c>
      <c r="O11" s="702">
        <f>huishoudens!N8</f>
        <v>21412.934482416516</v>
      </c>
      <c r="P11" s="702">
        <f>huishoudens!O8</f>
        <v>73.476666666666674</v>
      </c>
      <c r="Q11" s="703">
        <f>huishoudens!P8</f>
        <v>133.46666666666667</v>
      </c>
      <c r="R11" s="705">
        <f>SUM(C11:Q11)</f>
        <v>140235.7209922504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19727.912</v>
      </c>
      <c r="D13" s="702">
        <f>industrie!C18</f>
        <v>0</v>
      </c>
      <c r="E13" s="702">
        <f>industrie!D18</f>
        <v>6606.0856400000002</v>
      </c>
      <c r="F13" s="702">
        <f>industrie!E18</f>
        <v>256.88646670307139</v>
      </c>
      <c r="G13" s="702">
        <f>industrie!F18</f>
        <v>9374.5301329524173</v>
      </c>
      <c r="H13" s="702">
        <f>industrie!G18</f>
        <v>0</v>
      </c>
      <c r="I13" s="702">
        <f>industrie!H18</f>
        <v>0</v>
      </c>
      <c r="J13" s="702">
        <f>industrie!I18</f>
        <v>0</v>
      </c>
      <c r="K13" s="702">
        <f>industrie!J18</f>
        <v>100.44335729548112</v>
      </c>
      <c r="L13" s="702">
        <f>industrie!K18</f>
        <v>0</v>
      </c>
      <c r="M13" s="702">
        <f>industrie!L18</f>
        <v>0</v>
      </c>
      <c r="N13" s="702">
        <f>industrie!M18</f>
        <v>0</v>
      </c>
      <c r="O13" s="702">
        <f>industrie!N18</f>
        <v>856.59027415372543</v>
      </c>
      <c r="P13" s="702">
        <f>industrie!O18</f>
        <v>0</v>
      </c>
      <c r="Q13" s="703">
        <f>industrie!P18</f>
        <v>0</v>
      </c>
      <c r="R13" s="705">
        <f>SUM(C13:Q13)</f>
        <v>36922.447871104698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78762.570241123307</v>
      </c>
      <c r="D15" s="707">
        <f t="shared" ref="D15:Q15" ca="1" si="0">SUM(D9:D14)</f>
        <v>0</v>
      </c>
      <c r="E15" s="707">
        <f t="shared" ca="1" si="0"/>
        <v>87291.917723999999</v>
      </c>
      <c r="F15" s="707">
        <f t="shared" si="0"/>
        <v>9339.1189264363056</v>
      </c>
      <c r="G15" s="707">
        <f t="shared" ca="1" si="0"/>
        <v>28932.400634650672</v>
      </c>
      <c r="H15" s="707">
        <f t="shared" si="0"/>
        <v>0</v>
      </c>
      <c r="I15" s="707">
        <f t="shared" si="0"/>
        <v>0</v>
      </c>
      <c r="J15" s="707">
        <f t="shared" si="0"/>
        <v>0</v>
      </c>
      <c r="K15" s="707">
        <f t="shared" si="0"/>
        <v>3746.4401035385349</v>
      </c>
      <c r="L15" s="707">
        <f t="shared" si="0"/>
        <v>0</v>
      </c>
      <c r="M15" s="707">
        <f t="shared" ca="1" si="0"/>
        <v>0</v>
      </c>
      <c r="N15" s="707">
        <f t="shared" si="0"/>
        <v>0</v>
      </c>
      <c r="O15" s="707">
        <f t="shared" ca="1" si="0"/>
        <v>24078.30365068424</v>
      </c>
      <c r="P15" s="707">
        <f t="shared" si="0"/>
        <v>73.476666666666674</v>
      </c>
      <c r="Q15" s="708">
        <f t="shared" si="0"/>
        <v>152.53333333333333</v>
      </c>
      <c r="R15" s="709">
        <f ca="1">SUM(R9:R14)</f>
        <v>232376.76128043304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2161.7698101328583</v>
      </c>
      <c r="I18" s="702">
        <f>transport!H54</f>
        <v>0</v>
      </c>
      <c r="J18" s="702">
        <f>transport!I54</f>
        <v>0</v>
      </c>
      <c r="K18" s="702">
        <f>transport!J54</f>
        <v>0</v>
      </c>
      <c r="L18" s="702">
        <f>transport!K54</f>
        <v>0</v>
      </c>
      <c r="M18" s="702">
        <f>transport!L54</f>
        <v>0</v>
      </c>
      <c r="N18" s="702">
        <f>transport!M54</f>
        <v>92.146855247680818</v>
      </c>
      <c r="O18" s="702">
        <f>transport!N54</f>
        <v>0</v>
      </c>
      <c r="P18" s="702">
        <f>transport!O54</f>
        <v>0</v>
      </c>
      <c r="Q18" s="703">
        <f>transport!P54</f>
        <v>0</v>
      </c>
      <c r="R18" s="705">
        <f>SUM(C18:Q18)</f>
        <v>2253.9166653805391</v>
      </c>
      <c r="S18" s="67"/>
    </row>
    <row r="19" spans="1:19" s="457" customFormat="1" ht="15" thickBot="1">
      <c r="A19" s="858" t="s">
        <v>308</v>
      </c>
      <c r="B19" s="863"/>
      <c r="C19" s="711">
        <f>transport!B14</f>
        <v>1.1988322629551769</v>
      </c>
      <c r="D19" s="711">
        <f>transport!C14</f>
        <v>0</v>
      </c>
      <c r="E19" s="711">
        <f>transport!D14</f>
        <v>5.7922560190236396</v>
      </c>
      <c r="F19" s="711">
        <f>transport!E14</f>
        <v>589.89300370023045</v>
      </c>
      <c r="G19" s="711">
        <f>transport!F14</f>
        <v>0</v>
      </c>
      <c r="H19" s="711">
        <f>transport!G14</f>
        <v>105925.92232660297</v>
      </c>
      <c r="I19" s="711">
        <f>transport!H14</f>
        <v>19311.95079991288</v>
      </c>
      <c r="J19" s="711">
        <f>transport!I14</f>
        <v>0</v>
      </c>
      <c r="K19" s="711">
        <f>transport!J14</f>
        <v>0</v>
      </c>
      <c r="L19" s="711">
        <f>transport!K14</f>
        <v>0</v>
      </c>
      <c r="M19" s="711">
        <f>transport!L14</f>
        <v>0</v>
      </c>
      <c r="N19" s="711">
        <f>transport!M14</f>
        <v>5467.5939696068917</v>
      </c>
      <c r="O19" s="711">
        <f>transport!N14</f>
        <v>0</v>
      </c>
      <c r="P19" s="711">
        <f>transport!O14</f>
        <v>0</v>
      </c>
      <c r="Q19" s="712">
        <f>transport!P14</f>
        <v>0</v>
      </c>
      <c r="R19" s="713">
        <f>SUM(C19:Q19)</f>
        <v>131302.35118810495</v>
      </c>
      <c r="S19" s="67"/>
    </row>
    <row r="20" spans="1:19" s="457" customFormat="1" ht="15.75" thickBot="1">
      <c r="A20" s="714" t="s">
        <v>231</v>
      </c>
      <c r="B20" s="866"/>
      <c r="C20" s="861">
        <f>SUM(C17:C19)</f>
        <v>1.1988322629551769</v>
      </c>
      <c r="D20" s="715">
        <f t="shared" ref="D20:R20" si="1">SUM(D17:D19)</f>
        <v>0</v>
      </c>
      <c r="E20" s="715">
        <f t="shared" si="1"/>
        <v>5.7922560190236396</v>
      </c>
      <c r="F20" s="715">
        <f t="shared" si="1"/>
        <v>589.89300370023045</v>
      </c>
      <c r="G20" s="715">
        <f t="shared" si="1"/>
        <v>0</v>
      </c>
      <c r="H20" s="715">
        <f t="shared" si="1"/>
        <v>108087.69213673583</v>
      </c>
      <c r="I20" s="715">
        <f t="shared" si="1"/>
        <v>19311.95079991288</v>
      </c>
      <c r="J20" s="715">
        <f t="shared" si="1"/>
        <v>0</v>
      </c>
      <c r="K20" s="715">
        <f t="shared" si="1"/>
        <v>0</v>
      </c>
      <c r="L20" s="715">
        <f t="shared" si="1"/>
        <v>0</v>
      </c>
      <c r="M20" s="715">
        <f t="shared" si="1"/>
        <v>0</v>
      </c>
      <c r="N20" s="715">
        <f t="shared" si="1"/>
        <v>5559.7408248545726</v>
      </c>
      <c r="O20" s="715">
        <f t="shared" si="1"/>
        <v>0</v>
      </c>
      <c r="P20" s="715">
        <f t="shared" si="1"/>
        <v>0</v>
      </c>
      <c r="Q20" s="716">
        <f t="shared" si="1"/>
        <v>0</v>
      </c>
      <c r="R20" s="717">
        <f t="shared" si="1"/>
        <v>133556.26785348548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9936.1000909582508</v>
      </c>
      <c r="D22" s="711">
        <f>+landbouw!C8</f>
        <v>0</v>
      </c>
      <c r="E22" s="711">
        <f>+landbouw!D8</f>
        <v>571.71646399999997</v>
      </c>
      <c r="F22" s="711">
        <f>+landbouw!E8</f>
        <v>104.05299123046403</v>
      </c>
      <c r="G22" s="711">
        <f>+landbouw!F8</f>
        <v>51033.392135420385</v>
      </c>
      <c r="H22" s="711">
        <f>+landbouw!G8</f>
        <v>0</v>
      </c>
      <c r="I22" s="711">
        <f>+landbouw!H8</f>
        <v>0</v>
      </c>
      <c r="J22" s="711">
        <f>+landbouw!I8</f>
        <v>0</v>
      </c>
      <c r="K22" s="711">
        <f>+landbouw!J8</f>
        <v>887.3827969069996</v>
      </c>
      <c r="L22" s="711">
        <f>+landbouw!K8</f>
        <v>0</v>
      </c>
      <c r="M22" s="711">
        <f>+landbouw!L8</f>
        <v>0</v>
      </c>
      <c r="N22" s="711">
        <f>+landbouw!M8</f>
        <v>0</v>
      </c>
      <c r="O22" s="711">
        <f>+landbouw!N8</f>
        <v>0</v>
      </c>
      <c r="P22" s="711">
        <f>+landbouw!O8</f>
        <v>0</v>
      </c>
      <c r="Q22" s="712">
        <f>+landbouw!P8</f>
        <v>0</v>
      </c>
      <c r="R22" s="713">
        <f>SUM(C22:Q22)</f>
        <v>62532.6444785161</v>
      </c>
      <c r="S22" s="67"/>
    </row>
    <row r="23" spans="1:19" s="457" customFormat="1" ht="17.25" thickTop="1" thickBot="1">
      <c r="A23" s="718" t="s">
        <v>116</v>
      </c>
      <c r="B23" s="852"/>
      <c r="C23" s="719">
        <f ca="1">C20+C15+C22</f>
        <v>88699.86916434452</v>
      </c>
      <c r="D23" s="719">
        <f t="shared" ref="D23:Q23" ca="1" si="2">D20+D15+D22</f>
        <v>0</v>
      </c>
      <c r="E23" s="719">
        <f t="shared" ca="1" si="2"/>
        <v>87869.426444019016</v>
      </c>
      <c r="F23" s="719">
        <f t="shared" si="2"/>
        <v>10033.064921367</v>
      </c>
      <c r="G23" s="719">
        <f t="shared" ca="1" si="2"/>
        <v>79965.792770071057</v>
      </c>
      <c r="H23" s="719">
        <f t="shared" si="2"/>
        <v>108087.69213673583</v>
      </c>
      <c r="I23" s="719">
        <f t="shared" si="2"/>
        <v>19311.95079991288</v>
      </c>
      <c r="J23" s="719">
        <f t="shared" si="2"/>
        <v>0</v>
      </c>
      <c r="K23" s="719">
        <f t="shared" si="2"/>
        <v>4633.8229004455343</v>
      </c>
      <c r="L23" s="719">
        <f t="shared" si="2"/>
        <v>0</v>
      </c>
      <c r="M23" s="719">
        <f t="shared" ca="1" si="2"/>
        <v>0</v>
      </c>
      <c r="N23" s="719">
        <f t="shared" si="2"/>
        <v>5559.7408248545726</v>
      </c>
      <c r="O23" s="719">
        <f t="shared" ca="1" si="2"/>
        <v>24078.30365068424</v>
      </c>
      <c r="P23" s="719">
        <f t="shared" si="2"/>
        <v>73.476666666666674</v>
      </c>
      <c r="Q23" s="720">
        <f t="shared" si="2"/>
        <v>152.53333333333333</v>
      </c>
      <c r="R23" s="721">
        <f ca="1">R20+R15+R22</f>
        <v>428465.67361243465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5544.045575972018</v>
      </c>
      <c r="D36" s="702">
        <f ca="1">tertiair!C20</f>
        <v>0</v>
      </c>
      <c r="E36" s="702">
        <f ca="1">tertiair!D20</f>
        <v>4040.4298188319995</v>
      </c>
      <c r="F36" s="702">
        <f>tertiair!E20</f>
        <v>95.545234041918633</v>
      </c>
      <c r="G36" s="702">
        <f ca="1">tertiair!F20</f>
        <v>1496.6049341285739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11176.62556297451</v>
      </c>
    </row>
    <row r="37" spans="1:18">
      <c r="A37" s="873" t="s">
        <v>226</v>
      </c>
      <c r="B37" s="880"/>
      <c r="C37" s="702">
        <f ca="1">huishoudens!B12</f>
        <v>6417.2663667372017</v>
      </c>
      <c r="D37" s="702">
        <f ca="1">huishoudens!C12</f>
        <v>0</v>
      </c>
      <c r="E37" s="702">
        <f>huishoudens!D12</f>
        <v>12258.108262136002</v>
      </c>
      <c r="F37" s="702">
        <f>huishoudens!E12</f>
        <v>1966.1215343175254</v>
      </c>
      <c r="G37" s="702">
        <f>huishoudens!F12</f>
        <v>3725.3464898248612</v>
      </c>
      <c r="H37" s="702">
        <f>huishoudens!G12</f>
        <v>0</v>
      </c>
      <c r="I37" s="702">
        <f>huishoudens!H12</f>
        <v>0</v>
      </c>
      <c r="J37" s="702">
        <f>huishoudens!I12</f>
        <v>0</v>
      </c>
      <c r="K37" s="702">
        <f>huishoudens!J12</f>
        <v>1290.6828481700409</v>
      </c>
      <c r="L37" s="702">
        <f>huishoudens!K12</f>
        <v>0</v>
      </c>
      <c r="M37" s="702">
        <f>huishoudens!L12</f>
        <v>0</v>
      </c>
      <c r="N37" s="702">
        <f>huishoudens!M12</f>
        <v>0</v>
      </c>
      <c r="O37" s="702">
        <f>huishoudens!N12</f>
        <v>0</v>
      </c>
      <c r="P37" s="702">
        <f>huishoudens!O12</f>
        <v>0</v>
      </c>
      <c r="Q37" s="812">
        <f>huishoudens!P12</f>
        <v>0</v>
      </c>
      <c r="R37" s="905">
        <f ca="1">SUM(C37:Q37)</f>
        <v>25657.525501185628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3997.1724481999208</v>
      </c>
      <c r="D39" s="702">
        <f ca="1">industrie!C22</f>
        <v>0</v>
      </c>
      <c r="E39" s="702">
        <f>industrie!D22</f>
        <v>1334.4292992800001</v>
      </c>
      <c r="F39" s="702">
        <f>industrie!E22</f>
        <v>58.313227941597205</v>
      </c>
      <c r="G39" s="702">
        <f>industrie!F22</f>
        <v>2502.9995454982954</v>
      </c>
      <c r="H39" s="702">
        <f>industrie!G22</f>
        <v>0</v>
      </c>
      <c r="I39" s="702">
        <f>industrie!H22</f>
        <v>0</v>
      </c>
      <c r="J39" s="702">
        <f>industrie!I22</f>
        <v>0</v>
      </c>
      <c r="K39" s="702">
        <f>industrie!J22</f>
        <v>35.556948482600312</v>
      </c>
      <c r="L39" s="702">
        <f>industrie!K22</f>
        <v>0</v>
      </c>
      <c r="M39" s="702">
        <f>industrie!L22</f>
        <v>0</v>
      </c>
      <c r="N39" s="702">
        <f>industrie!M22</f>
        <v>0</v>
      </c>
      <c r="O39" s="702">
        <f>industrie!N22</f>
        <v>0</v>
      </c>
      <c r="P39" s="702">
        <f>industrie!O22</f>
        <v>0</v>
      </c>
      <c r="Q39" s="812">
        <f>industrie!P22</f>
        <v>0</v>
      </c>
      <c r="R39" s="906">
        <f ca="1">SUM(C39:Q39)</f>
        <v>7928.4714694024133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15958.484390909141</v>
      </c>
      <c r="D41" s="747">
        <f t="shared" ref="D41:R41" ca="1" si="4">SUM(D35:D40)</f>
        <v>0</v>
      </c>
      <c r="E41" s="747">
        <f t="shared" ca="1" si="4"/>
        <v>17632.967380248003</v>
      </c>
      <c r="F41" s="747">
        <f t="shared" si="4"/>
        <v>2119.9799963010414</v>
      </c>
      <c r="G41" s="747">
        <f t="shared" ca="1" si="4"/>
        <v>7724.9509694517301</v>
      </c>
      <c r="H41" s="747">
        <f t="shared" si="4"/>
        <v>0</v>
      </c>
      <c r="I41" s="747">
        <f t="shared" si="4"/>
        <v>0</v>
      </c>
      <c r="J41" s="747">
        <f t="shared" si="4"/>
        <v>0</v>
      </c>
      <c r="K41" s="747">
        <f t="shared" si="4"/>
        <v>1326.2397966526412</v>
      </c>
      <c r="L41" s="747">
        <f t="shared" si="4"/>
        <v>0</v>
      </c>
      <c r="M41" s="747">
        <f t="shared" ca="1" si="4"/>
        <v>0</v>
      </c>
      <c r="N41" s="747">
        <f t="shared" si="4"/>
        <v>0</v>
      </c>
      <c r="O41" s="747">
        <f t="shared" ca="1" si="4"/>
        <v>0</v>
      </c>
      <c r="P41" s="747">
        <f t="shared" si="4"/>
        <v>0</v>
      </c>
      <c r="Q41" s="748">
        <f t="shared" si="4"/>
        <v>0</v>
      </c>
      <c r="R41" s="749">
        <f t="shared" ca="1" si="4"/>
        <v>44762.62253356255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577.19253930547325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577.19253930547325</v>
      </c>
    </row>
    <row r="45" spans="1:18" ht="15" thickBot="1">
      <c r="A45" s="876" t="s">
        <v>308</v>
      </c>
      <c r="B45" s="886"/>
      <c r="C45" s="711">
        <f ca="1">transport!B18</f>
        <v>0.24290149365516206</v>
      </c>
      <c r="D45" s="711">
        <f>transport!C18</f>
        <v>0</v>
      </c>
      <c r="E45" s="711">
        <f>transport!D18</f>
        <v>1.1700357158427752</v>
      </c>
      <c r="F45" s="711">
        <f>transport!E18</f>
        <v>133.90571183995232</v>
      </c>
      <c r="G45" s="711">
        <f>transport!F18</f>
        <v>0</v>
      </c>
      <c r="H45" s="711">
        <f>transport!G18</f>
        <v>28282.221261202994</v>
      </c>
      <c r="I45" s="711">
        <f>transport!H18</f>
        <v>4808.6757491783073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33226.215659430753</v>
      </c>
    </row>
    <row r="46" spans="1:18" ht="15.75" thickBot="1">
      <c r="A46" s="874" t="s">
        <v>231</v>
      </c>
      <c r="B46" s="887"/>
      <c r="C46" s="747">
        <f t="shared" ref="C46:R46" ca="1" si="5">SUM(C43:C45)</f>
        <v>0.24290149365516206</v>
      </c>
      <c r="D46" s="747">
        <f t="shared" ca="1" si="5"/>
        <v>0</v>
      </c>
      <c r="E46" s="747">
        <f t="shared" si="5"/>
        <v>1.1700357158427752</v>
      </c>
      <c r="F46" s="747">
        <f t="shared" si="5"/>
        <v>133.90571183995232</v>
      </c>
      <c r="G46" s="747">
        <f t="shared" si="5"/>
        <v>0</v>
      </c>
      <c r="H46" s="747">
        <f t="shared" si="5"/>
        <v>28859.413800508468</v>
      </c>
      <c r="I46" s="747">
        <f t="shared" si="5"/>
        <v>4808.6757491783073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33803.408198736222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2013.2037047881727</v>
      </c>
      <c r="D48" s="702">
        <f ca="1">+landbouw!C12</f>
        <v>0</v>
      </c>
      <c r="E48" s="702">
        <f>+landbouw!D12</f>
        <v>115.486725728</v>
      </c>
      <c r="F48" s="702">
        <f>+landbouw!E12</f>
        <v>23.620029009315335</v>
      </c>
      <c r="G48" s="702">
        <f>+landbouw!F12</f>
        <v>13625.915700157244</v>
      </c>
      <c r="H48" s="702">
        <f>+landbouw!G12</f>
        <v>0</v>
      </c>
      <c r="I48" s="702">
        <f>+landbouw!H12</f>
        <v>0</v>
      </c>
      <c r="J48" s="702">
        <f>+landbouw!I12</f>
        <v>0</v>
      </c>
      <c r="K48" s="702">
        <f>+landbouw!J12</f>
        <v>314.13351010507785</v>
      </c>
      <c r="L48" s="702">
        <f>+landbouw!K12</f>
        <v>0</v>
      </c>
      <c r="M48" s="702">
        <f>+landbouw!L12</f>
        <v>0</v>
      </c>
      <c r="N48" s="702">
        <f>+landbouw!M12</f>
        <v>0</v>
      </c>
      <c r="O48" s="702">
        <f>+landbouw!N12</f>
        <v>0</v>
      </c>
      <c r="P48" s="702">
        <f>+landbouw!O12</f>
        <v>0</v>
      </c>
      <c r="Q48" s="703">
        <f>+landbouw!P12</f>
        <v>0</v>
      </c>
      <c r="R48" s="745">
        <f ca="1">SUM(C48:Q48)</f>
        <v>16092.359669787809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17971.930997190968</v>
      </c>
      <c r="D53" s="757">
        <f t="shared" ref="D53:Q53" ca="1" si="6">D41+D46+D48</f>
        <v>0</v>
      </c>
      <c r="E53" s="757">
        <f t="shared" ca="1" si="6"/>
        <v>17749.624141691846</v>
      </c>
      <c r="F53" s="757">
        <f t="shared" si="6"/>
        <v>2277.505737150309</v>
      </c>
      <c r="G53" s="757">
        <f t="shared" ca="1" si="6"/>
        <v>21350.866669608975</v>
      </c>
      <c r="H53" s="757">
        <f t="shared" si="6"/>
        <v>28859.413800508468</v>
      </c>
      <c r="I53" s="757">
        <f t="shared" si="6"/>
        <v>4808.6757491783073</v>
      </c>
      <c r="J53" s="757">
        <f t="shared" si="6"/>
        <v>0</v>
      </c>
      <c r="K53" s="757">
        <f t="shared" si="6"/>
        <v>1640.3733067577191</v>
      </c>
      <c r="L53" s="757">
        <f t="shared" si="6"/>
        <v>0</v>
      </c>
      <c r="M53" s="757">
        <f t="shared" ca="1" si="6"/>
        <v>0</v>
      </c>
      <c r="N53" s="757">
        <f t="shared" si="6"/>
        <v>0</v>
      </c>
      <c r="O53" s="757">
        <f t="shared" ca="1" si="6"/>
        <v>0</v>
      </c>
      <c r="P53" s="757">
        <f>P41+P46+P48</f>
        <v>0</v>
      </c>
      <c r="Q53" s="758">
        <f t="shared" si="6"/>
        <v>0</v>
      </c>
      <c r="R53" s="759">
        <f ca="1">R41+R46+R48</f>
        <v>94658.390402086574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0.20261507899061598</v>
      </c>
      <c r="D55" s="823">
        <f t="shared" ca="1" si="7"/>
        <v>0</v>
      </c>
      <c r="E55" s="823">
        <f t="shared" ca="1" si="7"/>
        <v>0.20200000000000004</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2642.9898546116719</v>
      </c>
      <c r="C64" s="779">
        <f>'lokale energieproductie'!B4</f>
        <v>2642.9898546116719</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3741.4245713121772</v>
      </c>
      <c r="C66" s="779">
        <f>'lokale energieproductie'!B6</f>
        <v>3741.4245713121772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994.5</v>
      </c>
      <c r="C68" s="778">
        <f>B68*IFERROR(SUM(J68:L68)/SUM(D68:M68),0)</f>
        <v>994.5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360</v>
      </c>
      <c r="K68" s="814">
        <f>'lokale energieproductie'!J8</f>
        <v>2126.25</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7378.9144259238492</v>
      </c>
      <c r="C69" s="787">
        <f>SUM(C64:C68)</f>
        <v>7378.9144259238492</v>
      </c>
      <c r="D69" s="788">
        <f t="shared" ref="D69:M69" si="8">SUM(D67:D68)</f>
        <v>0</v>
      </c>
      <c r="E69" s="788">
        <f t="shared" si="8"/>
        <v>0</v>
      </c>
      <c r="F69" s="788">
        <f t="shared" si="8"/>
        <v>0</v>
      </c>
      <c r="G69" s="788">
        <f t="shared" si="8"/>
        <v>0</v>
      </c>
      <c r="H69" s="788">
        <f t="shared" si="8"/>
        <v>0</v>
      </c>
      <c r="I69" s="788">
        <f t="shared" si="8"/>
        <v>0</v>
      </c>
      <c r="J69" s="788">
        <f t="shared" si="8"/>
        <v>360</v>
      </c>
      <c r="K69" s="788">
        <f t="shared" si="8"/>
        <v>2126.25</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31672.205241123313</v>
      </c>
      <c r="C4" s="461">
        <f>huishoudens!C8</f>
        <v>0</v>
      </c>
      <c r="D4" s="461">
        <f>huishoudens!D8</f>
        <v>60683.704268000001</v>
      </c>
      <c r="E4" s="461">
        <f>huishoudens!E8</f>
        <v>8661.3283450111248</v>
      </c>
      <c r="F4" s="461">
        <f>huishoudens!F8</f>
        <v>13952.608576123075</v>
      </c>
      <c r="G4" s="461">
        <f>huishoudens!G8</f>
        <v>0</v>
      </c>
      <c r="H4" s="461">
        <f>huishoudens!H8</f>
        <v>0</v>
      </c>
      <c r="I4" s="461">
        <f>huishoudens!I8</f>
        <v>0</v>
      </c>
      <c r="J4" s="461">
        <f>huishoudens!J8</f>
        <v>3645.9967462430536</v>
      </c>
      <c r="K4" s="461">
        <f>huishoudens!K8</f>
        <v>0</v>
      </c>
      <c r="L4" s="461">
        <f>huishoudens!L8</f>
        <v>0</v>
      </c>
      <c r="M4" s="461">
        <f>huishoudens!M8</f>
        <v>0</v>
      </c>
      <c r="N4" s="461">
        <f>huishoudens!N8</f>
        <v>21412.934482416516</v>
      </c>
      <c r="O4" s="461">
        <f>huishoudens!O8</f>
        <v>73.476666666666674</v>
      </c>
      <c r="P4" s="462">
        <f>huishoudens!P8</f>
        <v>133.46666666666667</v>
      </c>
      <c r="Q4" s="463">
        <f>SUM(B4:P4)</f>
        <v>140235.7209922504</v>
      </c>
    </row>
    <row r="5" spans="1:17">
      <c r="A5" s="460" t="s">
        <v>156</v>
      </c>
      <c r="B5" s="461">
        <f ca="1">tertiair!B16</f>
        <v>25990.786</v>
      </c>
      <c r="C5" s="461">
        <f ca="1">tertiair!C16</f>
        <v>0</v>
      </c>
      <c r="D5" s="461">
        <f ca="1">tertiair!D16</f>
        <v>20002.127815999997</v>
      </c>
      <c r="E5" s="461">
        <f>tertiair!E16</f>
        <v>420.90411472210849</v>
      </c>
      <c r="F5" s="461">
        <f ca="1">tertiair!F16</f>
        <v>5605.2619255751824</v>
      </c>
      <c r="G5" s="461">
        <f>tertiair!G16</f>
        <v>0</v>
      </c>
      <c r="H5" s="461">
        <f>tertiair!H16</f>
        <v>0</v>
      </c>
      <c r="I5" s="461">
        <f>tertiair!I16</f>
        <v>0</v>
      </c>
      <c r="J5" s="461">
        <f>tertiair!J16</f>
        <v>0</v>
      </c>
      <c r="K5" s="461">
        <f>tertiair!K16</f>
        <v>0</v>
      </c>
      <c r="L5" s="461">
        <f ca="1">tertiair!L16</f>
        <v>0</v>
      </c>
      <c r="M5" s="461">
        <f>tertiair!M16</f>
        <v>0</v>
      </c>
      <c r="N5" s="461">
        <f ca="1">tertiair!N16</f>
        <v>1808.778894114</v>
      </c>
      <c r="O5" s="461">
        <f>tertiair!O16</f>
        <v>0</v>
      </c>
      <c r="P5" s="462">
        <f>tertiair!P16</f>
        <v>19.066666666666666</v>
      </c>
      <c r="Q5" s="460">
        <f t="shared" ref="Q5:Q13" ca="1" si="0">SUM(B5:P5)</f>
        <v>53846.92541707796</v>
      </c>
    </row>
    <row r="6" spans="1:17">
      <c r="A6" s="460" t="s">
        <v>195</v>
      </c>
      <c r="B6" s="461">
        <f>'openbare verlichting'!B8</f>
        <v>1371.6669999999999</v>
      </c>
      <c r="C6" s="461"/>
      <c r="D6" s="461"/>
      <c r="E6" s="461"/>
      <c r="F6" s="461"/>
      <c r="G6" s="461"/>
      <c r="H6" s="461"/>
      <c r="I6" s="461"/>
      <c r="J6" s="461"/>
      <c r="K6" s="461"/>
      <c r="L6" s="461"/>
      <c r="M6" s="461"/>
      <c r="N6" s="461"/>
      <c r="O6" s="461"/>
      <c r="P6" s="462"/>
      <c r="Q6" s="460">
        <f t="shared" si="0"/>
        <v>1371.6669999999999</v>
      </c>
    </row>
    <row r="7" spans="1:17">
      <c r="A7" s="460" t="s">
        <v>112</v>
      </c>
      <c r="B7" s="461">
        <f>landbouw!B8</f>
        <v>9936.1000909582508</v>
      </c>
      <c r="C7" s="461">
        <f>landbouw!C8</f>
        <v>0</v>
      </c>
      <c r="D7" s="461">
        <f>landbouw!D8</f>
        <v>571.71646399999997</v>
      </c>
      <c r="E7" s="461">
        <f>landbouw!E8</f>
        <v>104.05299123046403</v>
      </c>
      <c r="F7" s="461">
        <f>landbouw!F8</f>
        <v>51033.392135420385</v>
      </c>
      <c r="G7" s="461">
        <f>landbouw!G8</f>
        <v>0</v>
      </c>
      <c r="H7" s="461">
        <f>landbouw!H8</f>
        <v>0</v>
      </c>
      <c r="I7" s="461">
        <f>landbouw!I8</f>
        <v>0</v>
      </c>
      <c r="J7" s="461">
        <f>landbouw!J8</f>
        <v>887.3827969069996</v>
      </c>
      <c r="K7" s="461">
        <f>landbouw!K8</f>
        <v>0</v>
      </c>
      <c r="L7" s="461">
        <f>landbouw!L8</f>
        <v>0</v>
      </c>
      <c r="M7" s="461">
        <f>landbouw!M8</f>
        <v>0</v>
      </c>
      <c r="N7" s="461">
        <f>landbouw!N8</f>
        <v>0</v>
      </c>
      <c r="O7" s="461">
        <f>landbouw!O8</f>
        <v>0</v>
      </c>
      <c r="P7" s="462">
        <f>landbouw!P8</f>
        <v>0</v>
      </c>
      <c r="Q7" s="460">
        <f t="shared" si="0"/>
        <v>62532.6444785161</v>
      </c>
    </row>
    <row r="8" spans="1:17">
      <c r="A8" s="460" t="s">
        <v>656</v>
      </c>
      <c r="B8" s="461">
        <f>industrie!B18</f>
        <v>19727.912</v>
      </c>
      <c r="C8" s="461">
        <f>industrie!C18</f>
        <v>0</v>
      </c>
      <c r="D8" s="461">
        <f>industrie!D18</f>
        <v>6606.0856400000002</v>
      </c>
      <c r="E8" s="461">
        <f>industrie!E18</f>
        <v>256.88646670307139</v>
      </c>
      <c r="F8" s="461">
        <f>industrie!F18</f>
        <v>9374.5301329524173</v>
      </c>
      <c r="G8" s="461">
        <f>industrie!G18</f>
        <v>0</v>
      </c>
      <c r="H8" s="461">
        <f>industrie!H18</f>
        <v>0</v>
      </c>
      <c r="I8" s="461">
        <f>industrie!I18</f>
        <v>0</v>
      </c>
      <c r="J8" s="461">
        <f>industrie!J18</f>
        <v>100.44335729548112</v>
      </c>
      <c r="K8" s="461">
        <f>industrie!K18</f>
        <v>0</v>
      </c>
      <c r="L8" s="461">
        <f>industrie!L18</f>
        <v>0</v>
      </c>
      <c r="M8" s="461">
        <f>industrie!M18</f>
        <v>0</v>
      </c>
      <c r="N8" s="461">
        <f>industrie!N18</f>
        <v>856.59027415372543</v>
      </c>
      <c r="O8" s="461">
        <f>industrie!O18</f>
        <v>0</v>
      </c>
      <c r="P8" s="462">
        <f>industrie!P18</f>
        <v>0</v>
      </c>
      <c r="Q8" s="460">
        <f t="shared" si="0"/>
        <v>36922.447871104698</v>
      </c>
    </row>
    <row r="9" spans="1:17" s="466" customFormat="1">
      <c r="A9" s="464" t="s">
        <v>574</v>
      </c>
      <c r="B9" s="465">
        <f>transport!B14</f>
        <v>1.1988322629551769</v>
      </c>
      <c r="C9" s="465">
        <f>transport!C14</f>
        <v>0</v>
      </c>
      <c r="D9" s="465">
        <f>transport!D14</f>
        <v>5.7922560190236396</v>
      </c>
      <c r="E9" s="465">
        <f>transport!E14</f>
        <v>589.89300370023045</v>
      </c>
      <c r="F9" s="465">
        <f>transport!F14</f>
        <v>0</v>
      </c>
      <c r="G9" s="465">
        <f>transport!G14</f>
        <v>105925.92232660297</v>
      </c>
      <c r="H9" s="465">
        <f>transport!H14</f>
        <v>19311.95079991288</v>
      </c>
      <c r="I9" s="465">
        <f>transport!I14</f>
        <v>0</v>
      </c>
      <c r="J9" s="465">
        <f>transport!J14</f>
        <v>0</v>
      </c>
      <c r="K9" s="465">
        <f>transport!K14</f>
        <v>0</v>
      </c>
      <c r="L9" s="465">
        <f>transport!L14</f>
        <v>0</v>
      </c>
      <c r="M9" s="465">
        <f>transport!M14</f>
        <v>5467.5939696068917</v>
      </c>
      <c r="N9" s="465">
        <f>transport!N14</f>
        <v>0</v>
      </c>
      <c r="O9" s="465">
        <f>transport!O14</f>
        <v>0</v>
      </c>
      <c r="P9" s="465">
        <f>transport!P14</f>
        <v>0</v>
      </c>
      <c r="Q9" s="464">
        <f>SUM(B9:P9)</f>
        <v>131302.35118810495</v>
      </c>
    </row>
    <row r="10" spans="1:17">
      <c r="A10" s="460" t="s">
        <v>564</v>
      </c>
      <c r="B10" s="461">
        <f>transport!B54</f>
        <v>0</v>
      </c>
      <c r="C10" s="461">
        <f>transport!C54</f>
        <v>0</v>
      </c>
      <c r="D10" s="461">
        <f>transport!D54</f>
        <v>0</v>
      </c>
      <c r="E10" s="461">
        <f>transport!E54</f>
        <v>0</v>
      </c>
      <c r="F10" s="461">
        <f>transport!F54</f>
        <v>0</v>
      </c>
      <c r="G10" s="461">
        <f>transport!G54</f>
        <v>2161.7698101328583</v>
      </c>
      <c r="H10" s="461">
        <f>transport!H54</f>
        <v>0</v>
      </c>
      <c r="I10" s="461">
        <f>transport!I54</f>
        <v>0</v>
      </c>
      <c r="J10" s="461">
        <f>transport!J54</f>
        <v>0</v>
      </c>
      <c r="K10" s="461">
        <f>transport!K54</f>
        <v>0</v>
      </c>
      <c r="L10" s="461">
        <f>transport!L54</f>
        <v>0</v>
      </c>
      <c r="M10" s="461">
        <f>transport!M54</f>
        <v>92.146855247680818</v>
      </c>
      <c r="N10" s="461">
        <f>transport!N54</f>
        <v>0</v>
      </c>
      <c r="O10" s="461">
        <f>transport!O54</f>
        <v>0</v>
      </c>
      <c r="P10" s="462">
        <f>transport!P54</f>
        <v>0</v>
      </c>
      <c r="Q10" s="460">
        <f t="shared" si="0"/>
        <v>2253.9166653805391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88699.86916434452</v>
      </c>
      <c r="C14" s="471">
        <f t="shared" ref="C14:Q14" ca="1" si="1">SUM(C4:C13)</f>
        <v>0</v>
      </c>
      <c r="D14" s="471">
        <f t="shared" ca="1" si="1"/>
        <v>87869.426444019016</v>
      </c>
      <c r="E14" s="471">
        <f t="shared" si="1"/>
        <v>10033.064921367</v>
      </c>
      <c r="F14" s="471">
        <f t="shared" ca="1" si="1"/>
        <v>79965.792770071057</v>
      </c>
      <c r="G14" s="471">
        <f t="shared" si="1"/>
        <v>108087.69213673583</v>
      </c>
      <c r="H14" s="471">
        <f t="shared" si="1"/>
        <v>19311.95079991288</v>
      </c>
      <c r="I14" s="471">
        <f t="shared" si="1"/>
        <v>0</v>
      </c>
      <c r="J14" s="471">
        <f t="shared" si="1"/>
        <v>4633.8229004455343</v>
      </c>
      <c r="K14" s="471">
        <f t="shared" si="1"/>
        <v>0</v>
      </c>
      <c r="L14" s="471">
        <f t="shared" ca="1" si="1"/>
        <v>0</v>
      </c>
      <c r="M14" s="471">
        <f t="shared" si="1"/>
        <v>5559.7408248545726</v>
      </c>
      <c r="N14" s="471">
        <f t="shared" ca="1" si="1"/>
        <v>24078.30365068424</v>
      </c>
      <c r="O14" s="471">
        <f t="shared" si="1"/>
        <v>73.476666666666674</v>
      </c>
      <c r="P14" s="472">
        <f t="shared" si="1"/>
        <v>152.53333333333333</v>
      </c>
      <c r="Q14" s="472">
        <f t="shared" ca="1" si="1"/>
        <v>428465.67361243459</v>
      </c>
    </row>
    <row r="16" spans="1:17">
      <c r="A16" s="474" t="s">
        <v>569</v>
      </c>
      <c r="B16" s="828">
        <f ca="1">huishoudens!B10</f>
        <v>0.20261507899061598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6417.2663667372017</v>
      </c>
      <c r="C21" s="461">
        <f t="shared" ref="C21:C30" ca="1" si="3">C4*$C$16</f>
        <v>0</v>
      </c>
      <c r="D21" s="461">
        <f t="shared" ref="D21:D30" si="4">D4*$D$16</f>
        <v>12258.108262136002</v>
      </c>
      <c r="E21" s="461">
        <f t="shared" ref="E21:E30" si="5">E4*$E$16</f>
        <v>1966.1215343175254</v>
      </c>
      <c r="F21" s="461">
        <f t="shared" ref="F21:F30" si="6">F4*$F$16</f>
        <v>3725.3464898248612</v>
      </c>
      <c r="G21" s="461">
        <f t="shared" ref="G21:G30" si="7">G4*$G$16</f>
        <v>0</v>
      </c>
      <c r="H21" s="461">
        <f t="shared" ref="H21:H30" si="8">H4*$H$16</f>
        <v>0</v>
      </c>
      <c r="I21" s="461">
        <f t="shared" ref="I21:I30" si="9">I4*$I$16</f>
        <v>0</v>
      </c>
      <c r="J21" s="461">
        <f t="shared" ref="J21:J30" si="10">J4*$J$16</f>
        <v>1290.6828481700409</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25657.525501185628</v>
      </c>
    </row>
    <row r="22" spans="1:17">
      <c r="A22" s="460" t="s">
        <v>156</v>
      </c>
      <c r="B22" s="461">
        <f t="shared" ca="1" si="2"/>
        <v>5266.1251584181964</v>
      </c>
      <c r="C22" s="461">
        <f t="shared" ca="1" si="3"/>
        <v>0</v>
      </c>
      <c r="D22" s="461">
        <f t="shared" ca="1" si="4"/>
        <v>4040.4298188319995</v>
      </c>
      <c r="E22" s="461">
        <f t="shared" si="5"/>
        <v>95.545234041918633</v>
      </c>
      <c r="F22" s="461">
        <f t="shared" ca="1" si="6"/>
        <v>1496.6049341285739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10898.705145420688</v>
      </c>
    </row>
    <row r="23" spans="1:17">
      <c r="A23" s="460" t="s">
        <v>195</v>
      </c>
      <c r="B23" s="461">
        <f t="shared" ca="1" si="2"/>
        <v>277.92041755382121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277.92041755382121</v>
      </c>
    </row>
    <row r="24" spans="1:17">
      <c r="A24" s="460" t="s">
        <v>112</v>
      </c>
      <c r="B24" s="461">
        <f t="shared" ca="1" si="2"/>
        <v>2013.2037047881727</v>
      </c>
      <c r="C24" s="461">
        <f t="shared" ca="1" si="3"/>
        <v>0</v>
      </c>
      <c r="D24" s="461">
        <f t="shared" si="4"/>
        <v>115.486725728</v>
      </c>
      <c r="E24" s="461">
        <f t="shared" si="5"/>
        <v>23.620029009315335</v>
      </c>
      <c r="F24" s="461">
        <f t="shared" si="6"/>
        <v>13625.915700157244</v>
      </c>
      <c r="G24" s="461">
        <f t="shared" si="7"/>
        <v>0</v>
      </c>
      <c r="H24" s="461">
        <f t="shared" si="8"/>
        <v>0</v>
      </c>
      <c r="I24" s="461">
        <f t="shared" si="9"/>
        <v>0</v>
      </c>
      <c r="J24" s="461">
        <f t="shared" si="10"/>
        <v>314.13351010507785</v>
      </c>
      <c r="K24" s="461">
        <f t="shared" si="11"/>
        <v>0</v>
      </c>
      <c r="L24" s="461">
        <f t="shared" si="12"/>
        <v>0</v>
      </c>
      <c r="M24" s="461">
        <f t="shared" si="13"/>
        <v>0</v>
      </c>
      <c r="N24" s="461">
        <f t="shared" si="14"/>
        <v>0</v>
      </c>
      <c r="O24" s="461">
        <f t="shared" si="15"/>
        <v>0</v>
      </c>
      <c r="P24" s="462">
        <f t="shared" si="16"/>
        <v>0</v>
      </c>
      <c r="Q24" s="460">
        <f t="shared" ca="1" si="17"/>
        <v>16092.359669787809</v>
      </c>
    </row>
    <row r="25" spans="1:17">
      <c r="A25" s="460" t="s">
        <v>656</v>
      </c>
      <c r="B25" s="461">
        <f t="shared" ca="1" si="2"/>
        <v>3997.1724481999208</v>
      </c>
      <c r="C25" s="461">
        <f t="shared" ca="1" si="3"/>
        <v>0</v>
      </c>
      <c r="D25" s="461">
        <f t="shared" si="4"/>
        <v>1334.4292992800001</v>
      </c>
      <c r="E25" s="461">
        <f t="shared" si="5"/>
        <v>58.313227941597205</v>
      </c>
      <c r="F25" s="461">
        <f t="shared" si="6"/>
        <v>2502.9995454982954</v>
      </c>
      <c r="G25" s="461">
        <f t="shared" si="7"/>
        <v>0</v>
      </c>
      <c r="H25" s="461">
        <f t="shared" si="8"/>
        <v>0</v>
      </c>
      <c r="I25" s="461">
        <f t="shared" si="9"/>
        <v>0</v>
      </c>
      <c r="J25" s="461">
        <f t="shared" si="10"/>
        <v>35.556948482600312</v>
      </c>
      <c r="K25" s="461">
        <f t="shared" si="11"/>
        <v>0</v>
      </c>
      <c r="L25" s="461">
        <f t="shared" si="12"/>
        <v>0</v>
      </c>
      <c r="M25" s="461">
        <f t="shared" si="13"/>
        <v>0</v>
      </c>
      <c r="N25" s="461">
        <f t="shared" si="14"/>
        <v>0</v>
      </c>
      <c r="O25" s="461">
        <f t="shared" si="15"/>
        <v>0</v>
      </c>
      <c r="P25" s="462">
        <f t="shared" si="16"/>
        <v>0</v>
      </c>
      <c r="Q25" s="460">
        <f t="shared" ca="1" si="17"/>
        <v>7928.4714694024133</v>
      </c>
    </row>
    <row r="26" spans="1:17" s="466" customFormat="1">
      <c r="A26" s="464" t="s">
        <v>574</v>
      </c>
      <c r="B26" s="822">
        <f t="shared" ca="1" si="2"/>
        <v>0.24290149365516206</v>
      </c>
      <c r="C26" s="465">
        <f t="shared" ca="1" si="3"/>
        <v>0</v>
      </c>
      <c r="D26" s="465">
        <f t="shared" si="4"/>
        <v>1.1700357158427752</v>
      </c>
      <c r="E26" s="465">
        <f t="shared" si="5"/>
        <v>133.90571183995232</v>
      </c>
      <c r="F26" s="465">
        <f t="shared" si="6"/>
        <v>0</v>
      </c>
      <c r="G26" s="465">
        <f t="shared" si="7"/>
        <v>28282.221261202994</v>
      </c>
      <c r="H26" s="465">
        <f t="shared" si="8"/>
        <v>4808.6757491783073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33226.215659430753</v>
      </c>
    </row>
    <row r="27" spans="1:17">
      <c r="A27" s="460" t="s">
        <v>564</v>
      </c>
      <c r="B27" s="461">
        <f t="shared" ca="1" si="2"/>
        <v>0</v>
      </c>
      <c r="C27" s="461">
        <f t="shared" ca="1" si="3"/>
        <v>0</v>
      </c>
      <c r="D27" s="461">
        <f t="shared" si="4"/>
        <v>0</v>
      </c>
      <c r="E27" s="461">
        <f t="shared" si="5"/>
        <v>0</v>
      </c>
      <c r="F27" s="461">
        <f t="shared" si="6"/>
        <v>0</v>
      </c>
      <c r="G27" s="461">
        <f t="shared" si="7"/>
        <v>577.19253930547325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577.19253930547325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17971.930997190972</v>
      </c>
      <c r="C31" s="471">
        <f t="shared" ca="1" si="18"/>
        <v>0</v>
      </c>
      <c r="D31" s="471">
        <f t="shared" ca="1" si="18"/>
        <v>17749.624141691846</v>
      </c>
      <c r="E31" s="471">
        <f t="shared" si="18"/>
        <v>2277.505737150309</v>
      </c>
      <c r="F31" s="471">
        <f t="shared" ca="1" si="18"/>
        <v>21350.866669608975</v>
      </c>
      <c r="G31" s="471">
        <f t="shared" si="18"/>
        <v>28859.413800508468</v>
      </c>
      <c r="H31" s="471">
        <f t="shared" si="18"/>
        <v>4808.6757491783073</v>
      </c>
      <c r="I31" s="471">
        <f t="shared" si="18"/>
        <v>0</v>
      </c>
      <c r="J31" s="471">
        <f t="shared" si="18"/>
        <v>1640.3733067577191</v>
      </c>
      <c r="K31" s="471">
        <f t="shared" si="18"/>
        <v>0</v>
      </c>
      <c r="L31" s="471">
        <f t="shared" ca="1" si="18"/>
        <v>0</v>
      </c>
      <c r="M31" s="471">
        <f t="shared" si="18"/>
        <v>0</v>
      </c>
      <c r="N31" s="471">
        <f t="shared" ca="1" si="18"/>
        <v>0</v>
      </c>
      <c r="O31" s="471">
        <f t="shared" si="18"/>
        <v>0</v>
      </c>
      <c r="P31" s="472">
        <f t="shared" si="18"/>
        <v>0</v>
      </c>
      <c r="Q31" s="472">
        <f t="shared" ca="1" si="18"/>
        <v>94658.390402086588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0.20261507899061598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0.20261507899061598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0.20261507899061598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2018-06-27T09:01:08Z</dcterms:modified>
</cp:coreProperties>
</file>