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I16"/>
  <c r="F81" i="14"/>
  <c r="D16" i="15"/>
  <c r="L29" i="48"/>
  <c r="G31" i="20"/>
  <c r="H43" i="14" s="1"/>
  <c r="O78"/>
  <c r="M8" i="18"/>
  <c r="K14" i="48"/>
  <c r="F7"/>
  <c r="F24" s="1"/>
  <c r="L30"/>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L7" l="1"/>
  <c r="L24" s="1"/>
  <c r="M22" i="14"/>
  <c r="R22" s="1"/>
  <c r="L12" i="17"/>
  <c r="M48" i="14" s="1"/>
  <c r="J78"/>
  <c r="I19" i="18"/>
  <c r="O22" i="14"/>
  <c r="N12" i="17"/>
  <c r="O48" i="14" s="1"/>
  <c r="N7" i="48"/>
  <c r="N24" s="1"/>
  <c r="C14"/>
  <c r="M16" i="18"/>
  <c r="M19" s="1"/>
  <c r="E7" i="48"/>
  <c r="E24"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J20" i="15"/>
  <c r="K36" i="14" s="1"/>
  <c r="M18" i="22"/>
  <c r="N45" i="14" s="1"/>
  <c r="N46" s="1"/>
  <c r="N5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Q9"/>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<sst xmlns="http://schemas.openxmlformats.org/spreadsheetml/2006/main" count="2029" uniqueCount="894">
  <si>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</si>
  <si>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</si>
  <si>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</si>
  <si>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</si>
  <si>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</si>
  <si>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</si>
  <si>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</si>
  <si>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</si>
  <si>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</si>
  <si>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</si>
  <si>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</si>
  <si>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</si>
  <si>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</si>
  <si>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</si>
  <si>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</si>
  <si>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</si>
  <si>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</si>
  <si>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</si>
  <si>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</si>
  <si>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</si>
  <si>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</si>
  <si>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</si>
  <si>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</si>
  <si>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</si>
  <si>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</si>
  <si>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</si>
  <si>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</si>
  <si>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</si>
  <si>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</si>
  <si>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</si>
  <si>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</si>
  <si>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</si>
  <si>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</si>
  <si>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</si>
  <si>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</si>
  <si>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</si>
  <si>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</si>
  <si>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</si>
  <si>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</si>
  <si>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</si>
  <si>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</si>
  <si>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</si>
  <si>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</si>
  <si>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</si>
  <si>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</si>
  <si>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</si>
  <si>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</si>
  <si>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</si>
  <si>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</si>
  <si>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</si>
  <si>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</si>
  <si>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</si>
  <si>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</si>
  <si>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</si>
  <si>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</si>
  <si>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</si>
  <si>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</si>
  <si>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</si>
  <si>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</si>
  <si>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</si>
  <si>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</si>
  <si>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</si>
  <si>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</si>
  <si>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</si>
  <si>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</si>
  <si>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</si>
  <si>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</si>
  <si>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</si>
  <si>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</si>
  <si>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</si>
  <si>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</si>
  <si>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</si>
  <si>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</si>
  <si>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</si>
  <si>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</si>
  <si>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</si>
  <si>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</si>
  <si>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</si>
  <si>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</si>
  <si>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</si>
  <si>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</si>
  <si>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</si>
  <si>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</si>
  <si>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</si>
  <si>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</si>
  <si>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</si>
  <si>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</si>
  <si>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</si>
  <si>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</si>
  <si>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</si>
  <si>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</si>
  <si>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</si>
  <si>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</si>
  <si>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</si>
  <si>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</si>
  <si>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</si>
  <si>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</si>
  <si>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</si>
  <si>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</si>
  <si>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</si>
  <si>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</si>
  <si>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</si>
  <si>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</si>
  <si>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</si>
  <si>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</si>
  <si>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</si>
  <si>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</si>
  <si>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</si>
  <si>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</si>
  <si>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</si>
  <si>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</si>
  <si>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</si>
  <si>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</si>
  <si>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</si>
  <si>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</si>
  <si>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</si>
  <si>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</si>
  <si>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</si>
  <si>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</si>
  <si>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</si>
  <si>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</si>
  <si>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</si>
  <si>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</si>
  <si>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</si>
  <si>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</si>
  <si>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</si>
  <si>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</si>
  <si>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</si>
  <si>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</si>
  <si>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</si>
  <si>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</si>
  <si>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</si>
  <si>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</si>
  <si>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</si>
  <si>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</si>
  <si>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</si>
  <si>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</si>
  <si>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</si>
  <si>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</si>
  <si>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</si>
  <si>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</si>
  <si>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</si>
  <si>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</si>
  <si>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</si>
  <si>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</si>
  <si>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</si>
  <si>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</si>
  <si>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</si>
  <si>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</si>
  <si>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</si>
  <si>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</si>
  <si>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</si>
  <si>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</si>
  <si>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</si>
  <si>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</si>
  <si>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</si>
  <si>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</si>
  <si>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</si>
  <si>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</si>
  <si>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</si>
  <si>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</si>
  <si>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</si>
  <si>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</si>
  <si>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</si>
  <si>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</si>
  <si>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</si>
  <si>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</si>
  <si>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</si>
  <si>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</si>
  <si>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</si>
  <si>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</si>
  <si>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</si>
  <si>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</si>
  <si>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</si>
  <si>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</si>
  <si>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</si>
  <si>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</si>
  <si>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</si>
  <si>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</si>
  <si>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</si>
  <si>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</si>
  <si>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</si>
  <si>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</si>
  <si>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</si>
  <si>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</si>
  <si>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</si>
  <si>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</si>
  <si>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</si>
  <si>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</si>
  <si>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</si>
  <si>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</si>
  <si>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</si>
  <si>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</si>
  <si>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</si>
  <si>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</si>
  <si>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</si>
  <si>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</si>
  <si>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</si>
  <si>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</si>
  <si>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</si>
  <si>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</si>
  <si>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</si>
  <si>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</si>
  <si>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</si>
  <si>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</si>
  <si>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</si>
  <si>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</si>
  <si>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</si>
  <si>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</si>
  <si>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</si>
  <si>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</si>
  <si>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</si>
  <si>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</si>
  <si>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</si>
  <si>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</si>
  <si>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</si>
  <si>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</si>
  <si>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</si>
  <si>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</si>
  <si>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</si>
  <si>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</si>
  <si>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</si>
  <si>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</si>
  <si>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</si>
  <si>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</si>
  <si>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</si>
  <si>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</si>
  <si>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</si>
  <si>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</si>
  <si>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</si>
  <si>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</si>
  <si>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</si>
  <si>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</si>
  <si>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</si>
  <si>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</si>
  <si>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</si>
  <si>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</si>
  <si>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</si>
  <si>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</si>
  <si>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</si>
  <si>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</si>
  <si>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</si>
  <si>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</si>
  <si>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</si>
  <si>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</si>
  <si>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</si>
  <si>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</si>
  <si>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</si>
  <si>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</si>
  <si>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</si>
  <si>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</si>
  <si>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</si>
  <si>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</si>
  <si>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</si>
  <si>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</si>
  <si>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</si>
  <si>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</si>
  <si>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</si>
  <si>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</si>
  <si>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</si>
  <si>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</si>
  <si>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</si>
  <si>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</si>
  <si>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</si>
  <si>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</si>
  <si>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</si>
  <si>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</si>
  <si>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</si>
  <si>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</si>
  <si>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</si>
  <si>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</si>
  <si>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</si>
  <si>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</si>
  <si>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</si>
  <si>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</si>
  <si>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</si>
  <si>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</si>
  <si>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</si>
  <si>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</si>
  <si>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</si>
  <si>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</si>
  <si>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</si>
  <si>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</si>
  <si>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</si>
  <si>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</si>
  <si>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</si>
  <si>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</si>
  <si>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</si>
  <si>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</si>
  <si>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</si>
  <si>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</si>
  <si>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</si>
  <si>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</si>
  <si>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</si>
  <si>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</si>
  <si>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</si>
  <si>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</si>
  <si>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</si>
  <si>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</si>
  <si>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</si>
  <si>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</si>
  <si>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</si>
  <si>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</si>
  <si>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</si>
  <si>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</si>
  <si>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</si>
  <si>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</si>
  <si>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</si>
  <si>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</si>
  <si>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</si>
  <si>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</si>
  <si>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</si>
  <si>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</si>
  <si>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</si>
  <si>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</si>
  <si>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</si>
  <si>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</si>
  <si>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</si>
  <si>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</si>
  <si>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</si>
  <si>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</si>
  <si>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</si>
  <si>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</si>
  <si>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</si>
  <si>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</si>
  <si>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</si>
  <si>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</si>
  <si>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</si>
  <si>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</si>
  <si>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</si>
  <si>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</si>
  <si>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</si>
  <si>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</si>
  <si>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</si>
  <si>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</si>
  <si>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</si>
  <si>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</si>
  <si>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</si>
  <si>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</si>
  <si>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</si>
  <si>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</si>
  <si>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</si>
  <si>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</si>
  <si>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</si>
  <si>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</si>
  <si>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</si>
  <si>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</si>
  <si>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</si>
  <si>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</si>
  <si>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</si>
  <si>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</si>
  <si>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</si>
  <si>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</si>
  <si>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</si>
  <si>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</si>
  <si>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</si>
  <si>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</si>
  <si>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</si>
  <si>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</si>
  <si>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</si>
  <si>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</si>
  <si>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</si>
  <si>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</si>
  <si>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</si>
  <si>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</si>
  <si>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</si>
  <si>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</si>
  <si>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</si>
  <si>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</si>
  <si>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</si>
  <si>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</si>
  <si>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</si>
  <si>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</si>
  <si>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</si>
  <si>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</si>
  <si>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</si>
  <si>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</si>
  <si>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</si>
  <si>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</si>
  <si>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</si>
  <si>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</si>
  <si>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</si>
  <si>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</si>
  <si>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</si>
  <si>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</si>
  <si>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</si>
  <si>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</si>
  <si>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</si>
  <si>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</si>
  <si>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</si>
  <si>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</si>
  <si>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</si>
  <si>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</si>
  <si>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</si>
  <si>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</si>
  <si>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</si>
  <si>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</si>
  <si>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</si>
  <si>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</si>
  <si>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</si>
  <si>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</si>
  <si>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</si>
  <si>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</si>
  <si>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</si>
  <si>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</si>
  <si>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</si>
  <si>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</si>
  <si>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</si>
  <si>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</si>
  <si>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</si>
  <si>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</si>
  <si>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</si>
  <si>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</si>
  <si>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</si>
  <si>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</si>
  <si>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</si>
  <si>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</si>
  <si>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</si>
  <si>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</si>
  <si>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</si>
  <si>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</si>
  <si>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</si>
  <si>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</si>
  <si>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</si>
  <si>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</si>
  <si>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</si>
  <si>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</si>
  <si>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</si>
  <si>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</si>
  <si>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</si>
  <si>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</si>
  <si>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</si>
  <si>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</si>
  <si>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</si>
  <si>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</si>
  <si>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</si>
  <si>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</si>
  <si>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</si>
  <si>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</si>
  <si>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</si>
  <si>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</si>
  <si>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</si>
  <si>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</si>
  <si>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</si>
  <si>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</si>
  <si>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</si>
  <si>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</si>
  <si>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</si>
  <si>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</si>
  <si>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</si>
  <si>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</si>
  <si>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</si>
  <si>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</si>
  <si>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</si>
  <si>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</si>
  <si>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</si>
  <si>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</si>
  <si>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</si>
  <si>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</si>
  <si>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</si>
  <si>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</si>
  <si>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</si>
  <si>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</si>
  <si>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</si>
  <si>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</si>
  <si>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</si>
  <si>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</si>
  <si>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</si>
  <si>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</si>
  <si>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</si>
  <si>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</si>
  <si>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</si>
  <si>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</si>
  <si>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</si>
  <si>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</si>
  <si>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</si>
  <si>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</si>
  <si>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</si>
  <si>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</si>
  <si>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</si>
  <si>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</si>
  <si>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</si>
  <si>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</si>
  <si>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</si>
  <si>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</si>
  <si>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</si>
  <si>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</si>
  <si>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</si>
  <si>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</si>
  <si>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</si>
  <si>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</si>
  <si>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</si>
  <si>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</si>
  <si>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</si>
  <si>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</si>
  <si>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</si>
  <si>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</si>
  <si>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</si>
  <si>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</si>
  <si>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</si>
  <si>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</si>
  <si>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</si>
  <si>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</si>
  <si>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</si>
  <si>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</si>
  <si>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</si>
  <si>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</si>
  <si>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</si>
  <si>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</si>
  <si>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</si>
  <si>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</si>
  <si>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</si>
  <si>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</si>
  <si>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</si>
  <si>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</si>
  <si>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</si>
  <si>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</si>
  <si>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</si>
  <si>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</si>
  <si>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</si>
  <si>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</si>
  <si>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</si>
  <si>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</si>
  <si>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</si>
  <si>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</si>
  <si>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</si>
  <si>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</si>
  <si>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</si>
  <si>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</si>
  <si>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</si>
  <si>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</si>
  <si>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</si>
  <si>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</si>
  <si>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</si>
  <si>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</si>
  <si>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</si>
  <si>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</si>
  <si>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</si>
  <si>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</si>
  <si>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</si>
  <si>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</si>
  <si>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</si>
  <si>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</si>
  <si>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</si>
  <si>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</si>
  <si>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</si>
  <si>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</si>
  <si>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</si>
  <si>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</si>
  <si>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</si>
  <si>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</si>
  <si>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</si>
  <si>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</si>
  <si>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</si>
  <si>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</si>
  <si>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</si>
  <si>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</si>
  <si>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</si>
  <si>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</si>
  <si>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</si>
  <si>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</si>
  <si>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</si>
  <si>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</si>
  <si>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</si>
  <si>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</si>
  <si>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</si>
  <si>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</si>
  <si>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</si>
  <si>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</si>
  <si>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</si>
  <si>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</si>
  <si>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</si>
  <si>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</si>
  <si>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</si>
  <si>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</si>
  <si>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</si>
  <si>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</si>
  <si>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</si>
  <si>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</si>
  <si>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</si>
  <si>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</si>
  <si>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</si>
  <si>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</si>
  <si>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</si>
  <si>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</si>
  <si>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</si>
  <si>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</si>
  <si>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</si>
  <si>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</si>
  <si>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</si>
  <si>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</si>
  <si>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</si>
  <si>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</si>
  <si>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</si>
  <si>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</si>
  <si>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</si>
  <si>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</si>
  <si>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</si>
  <si>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</si>
  <si>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</si>
  <si>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</si>
  <si>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</si>
  <si>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</si>
  <si>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</si>
  <si>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</si>
  <si>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</si>
  <si>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</si>
  <si>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</si>
  <si>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</si>
  <si>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</si>
  <si>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</si>
  <si>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</si>
  <si>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</si>
  <si>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</si>
  <si>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</si>
  <si>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</si>
  <si>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</si>
  <si>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</si>
  <si>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</si>
  <si>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</si>
  <si>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</si>
  <si>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</si>
  <si>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</si>
  <si>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</si>
  <si>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</si>
  <si>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</si>
  <si>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</si>
  <si>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</si>
  <si>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</si>
  <si>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</si>
  <si>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</si>
  <si>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</si>
  <si>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</si>
  <si>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</si>
  <si>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</si>
  <si>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</si>
  <si>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</si>
  <si>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</si>
  <si>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</si>
  <si>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</si>
  <si>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</si>
  <si>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</si>
  <si>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</si>
  <si>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</si>
  <si>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</si>
  <si>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</si>
  <si>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</si>
  <si>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</si>
  <si>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</si>
  <si>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</si>
  <si>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</si>
  <si>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</si>
  <si>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</si>
  <si>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</si>
  <si>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</si>
  <si>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</si>
  <si>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</si>
  <si>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</si>
  <si>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</si>
  <si>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</si>
  <si>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</si>
  <si>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</si>
  <si>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</si>
  <si>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</si>
  <si>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</si>
  <si>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</si>
  <si>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</si>
  <si>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</si>
  <si>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</si>
  <si>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</si>
  <si>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</si>
  <si>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</si>
  <si>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</si>
  <si>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</si>
  <si>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</si>
  <si>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</si>
  <si>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</si>
  <si>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</si>
  <si>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</si>
  <si>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</si>
  <si>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</si>
  <si>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</si>
  <si>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</si>
  <si>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</si>
  <si>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</si>
  <si>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</si>
  <si>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</si>
  <si>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</si>
  <si>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</si>
  <si>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</si>
  <si>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</si>
  <si>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</si>
  <si>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</si>
  <si>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</si>
  <si>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</si>
  <si>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</si>
  <si>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</si>
  <si>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</si>
  <si>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</si>
  <si>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</si>
  <si>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</si>
  <si>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</si>
  <si>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</si>
  <si>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</si>
  <si>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</si>
  <si>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</si>
  <si>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</si>
  <si>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</si>
  <si>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</si>
  <si>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</si>
  <si>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</si>
  <si>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</si>
  <si>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</si>
  <si>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</si>
  <si>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</si>
  <si>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</si>
  <si>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</si>
  <si>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</si>
  <si>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</si>
  <si>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</si>
  <si>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</si>
  <si>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</si>
  <si>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</si>
  <si>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</si>
  <si>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</si>
  <si>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</si>
  <si>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</si>
  <si>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</si>
  <si>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</si>
  <si>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</si>
  <si>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</si>
  <si>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</si>
  <si>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</si>
  <si>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</si>
  <si>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</si>
  <si>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</si>
  <si>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</si>
  <si>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</si>
  <si>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</si>
  <si>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</si>
  <si>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</si>
  <si>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</si>
  <si>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</si>
  <si>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</si>
  <si>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</si>
  <si>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</si>
  <si>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</si>
  <si>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</si>
  <si>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</si>
  <si>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</si>
  <si>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</si>
  <si>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</si>
  <si>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</si>
  <si>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</si>
  <si>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</si>
  <si>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</si>
  <si>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</si>
  <si>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</si>
  <si>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</si>
  <si>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</si>
  <si>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</si>
  <si>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</si>
  <si>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</si>
  <si>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</si>
  <si>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</si>
  <si>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</si>
  <si>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</si>
  <si>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</si>
  <si>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</si>
  <si>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</si>
  <si>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</si>
  <si>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</si>
  <si>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</si>
  <si>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</si>
  <si>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</si>
  <si>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</si>
  <si>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</si>
  <si>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</si>
  <si>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</si>
  <si>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</si>
  <si>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</si>
  <si>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</si>
  <si>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</si>
  <si>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</si>
  <si>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</si>
  <si>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</si>
  <si>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</si>
  <si>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</si>
  <si>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</si>
  <si>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</si>
  <si>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</si>
  <si>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</si>
  <si>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</si>
  <si>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</si>
  <si>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</si>
  <si>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</si>
  <si>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</si>
  <si>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</si>
  <si>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</si>
  <si>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</si>
  <si>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</si>
  <si>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</si>
  <si>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</si>
  <si>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</si>
  <si>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</si>
  <si>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</si>
  <si>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</si>
  <si>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</si>
  <si>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</si>
  <si>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</si>
  <si>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</si>
  <si>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</si>
  <si>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</si>
  <si>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</si>
  <si>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</si>
  <si>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</si>
  <si>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</si>
  <si>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</si>
  <si>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</si>
  <si>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</si>
  <si>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</si>
  <si>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</si>
  <si>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</si>
  <si>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</si>
  <si>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</si>
  <si>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</si>
  <si>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</si>
  <si>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</si>
  <si>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</si>
  <si>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</si>
  <si>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</si>
  <si>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</si>
  <si>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</si>
  <si>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</si>
  <si>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</si>
  <si>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</si>
  <si>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</si>
  <si>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</si>
  <si>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</si>
  <si>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</si>
  <si>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</si>
  <si>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</si>
  <si>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</si>
  <si>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</si>
  <si>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</si>
  <si>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</si>
  <si>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</si>
  <si>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</si>
  <si>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</si>
  <si>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</si>
  <si>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</si>
  <si>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</si>
  <si>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</si>
  <si>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</si>
  <si>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</si>
  <si>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</si>
  <si>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</si>
  <si>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</si>
  <si>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</si>
  <si>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</si>
  <si>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</si>
  <si>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</si>
  <si>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</si>
  <si>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</si>
  <si>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</si>
  <si>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</si>
  <si>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</si>
  <si>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</si>
  <si>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</si>
  <si>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</si>
  <si>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</si>
  <si>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</si>
  <si>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</si>
  <si>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</si>
  <si>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</si>
  <si>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</si>
  <si>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</si>
  <si>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</si>
  <si>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</si>
  <si>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</si>
  <si>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</si>
  <si>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</si>
  <si>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</si>
  <si>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</si>
  <si>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</si>
  <si>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31043</t>
  </si>
  <si>
    <t>KNOKKE-HEIST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</si>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</sst>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31043</v>
      </c>
      <c r="B6" s="396"/>
      <c r="C6" s="397"/>
    </row>
    <row r="7" spans="1:7" s="394" customFormat="1" ht="15.75" customHeight="1">
      <c r="A7" s="398" t="str">
        <f>txtMunicipality</f>
        <v>KNOKKE-HEIST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16712</v>
      </c>
      <c r="C9" s="336">
        <v>17564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3464</v>
      </c>
    </row>
    <row r="15" spans="1:6">
      <c r="A15" s="1194" t="s">
        <v>185</v>
      </c>
      <c r="B15" s="333">
        <v>18</v>
      </c>
    </row>
    <row r="16" spans="1:6">
      <c r="A16" s="1194" t="s">
        <v>6</v>
      </c>
      <c r="B16" s="333">
        <v>511</v>
      </c>
    </row>
    <row r="17" spans="1:6">
      <c r="A17" s="1194" t="s">
        <v>7</v>
      </c>
      <c r="B17" s="333">
        <v>1144</v>
      </c>
    </row>
    <row r="18" spans="1:6">
      <c r="A18" s="1194" t="s">
        <v>8</v>
      </c>
      <c r="B18" s="333">
        <v>1509</v>
      </c>
    </row>
    <row r="19" spans="1:6">
      <c r="A19" s="1194" t="s">
        <v>9</v>
      </c>
      <c r="B19" s="333">
        <v>1363</v>
      </c>
    </row>
    <row r="20" spans="1:6">
      <c r="A20" s="1194" t="s">
        <v>10</v>
      </c>
      <c r="B20" s="333">
        <v>901</v>
      </c>
    </row>
    <row r="21" spans="1:6">
      <c r="A21" s="1194" t="s">
        <v>11</v>
      </c>
      <c r="B21" s="333">
        <v>1508</v>
      </c>
    </row>
    <row r="22" spans="1:6">
      <c r="A22" s="1194" t="s">
        <v>12</v>
      </c>
      <c r="B22" s="333">
        <v>4291</v>
      </c>
    </row>
    <row r="23" spans="1:6">
      <c r="A23" s="1194" t="s">
        <v>13</v>
      </c>
      <c r="B23" s="333">
        <v>49</v>
      </c>
    </row>
    <row r="24" spans="1:6">
      <c r="A24" s="1194" t="s">
        <v>14</v>
      </c>
      <c r="B24" s="333">
        <v>7</v>
      </c>
    </row>
    <row r="25" spans="1:6">
      <c r="A25" s="1194" t="s">
        <v>15</v>
      </c>
      <c r="B25" s="333">
        <v>439</v>
      </c>
    </row>
    <row r="26" spans="1:6">
      <c r="A26" s="1194" t="s">
        <v>16</v>
      </c>
      <c r="B26" s="333">
        <v>307</v>
      </c>
    </row>
    <row r="27" spans="1:6">
      <c r="A27" s="1194" t="s">
        <v>17</v>
      </c>
      <c r="B27" s="333">
        <v>1</v>
      </c>
    </row>
    <row r="28" spans="1:6">
      <c r="A28" s="1194" t="s">
        <v>18</v>
      </c>
      <c r="B28" s="333">
        <v>27525</v>
      </c>
    </row>
    <row r="29" spans="1:6">
      <c r="A29" s="1194" t="s">
        <v>888</v>
      </c>
      <c r="B29" s="333">
        <v>359</v>
      </c>
    </row>
    <row r="30" spans="1:6">
      <c r="A30" s="1190" t="s">
        <v>889</v>
      </c>
      <c r="B30" s="1190">
        <v>87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781456.32737795601</v>
      </c>
      <c r="E36" s="333">
        <v>6</v>
      </c>
      <c r="F36" s="333">
        <v>44955.017902735402</v>
      </c>
    </row>
    <row r="37" spans="1:6">
      <c r="A37" s="1194" t="s">
        <v>25</v>
      </c>
      <c r="B37" s="1194" t="s">
        <v>28</v>
      </c>
      <c r="C37" s="333">
        <v>0</v>
      </c>
      <c r="D37" s="333">
        <v>0</v>
      </c>
      <c r="E37" s="333">
        <v>0</v>
      </c>
      <c r="F37" s="333">
        <v>0</v>
      </c>
    </row>
    <row r="38" spans="1:6">
      <c r="A38" s="1194" t="s">
        <v>25</v>
      </c>
      <c r="B38" s="1194" t="s">
        <v>29</v>
      </c>
      <c r="C38" s="333">
        <v>1</v>
      </c>
      <c r="D38" s="333">
        <v>19458.622543613699</v>
      </c>
      <c r="E38" s="333">
        <v>1</v>
      </c>
      <c r="F38" s="333">
        <v>100</v>
      </c>
    </row>
    <row r="39" spans="1:6">
      <c r="A39" s="1194" t="s">
        <v>30</v>
      </c>
      <c r="B39" s="1194" t="s">
        <v>31</v>
      </c>
      <c r="C39" s="333">
        <v>22598</v>
      </c>
      <c r="D39" s="333">
        <v>261537518.96953499</v>
      </c>
      <c r="E39" s="333">
        <v>32165</v>
      </c>
      <c r="F39" s="333">
        <v>83911285.798678994</v>
      </c>
    </row>
    <row r="40" spans="1:6">
      <c r="A40" s="1194" t="s">
        <v>30</v>
      </c>
      <c r="B40" s="1194" t="s">
        <v>29</v>
      </c>
      <c r="C40" s="333">
        <v>1</v>
      </c>
      <c r="D40" s="333">
        <v>6082.3786973539</v>
      </c>
      <c r="E40" s="333">
        <v>1</v>
      </c>
      <c r="F40" s="333">
        <v>803</v>
      </c>
    </row>
    <row r="41" spans="1:6">
      <c r="A41" s="1194" t="s">
        <v>32</v>
      </c>
      <c r="B41" s="1194" t="s">
        <v>33</v>
      </c>
      <c r="C41" s="333">
        <v>349</v>
      </c>
      <c r="D41" s="333">
        <v>5724100.2717344202</v>
      </c>
      <c r="E41" s="333">
        <v>744</v>
      </c>
      <c r="F41" s="333">
        <v>3989374.81324095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8</v>
      </c>
      <c r="D44" s="333">
        <v>92557.279557381495</v>
      </c>
      <c r="E44" s="333">
        <v>16</v>
      </c>
      <c r="F44" s="333">
        <v>55851.089443005701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6</v>
      </c>
      <c r="D47" s="333">
        <v>171053.79626932499</v>
      </c>
      <c r="E47" s="333">
        <v>7</v>
      </c>
      <c r="F47" s="333">
        <v>62067.192446462199</v>
      </c>
    </row>
    <row r="48" spans="1:6">
      <c r="A48" s="1194" t="s">
        <v>32</v>
      </c>
      <c r="B48" s="1194" t="s">
        <v>29</v>
      </c>
      <c r="C48" s="333">
        <v>56</v>
      </c>
      <c r="D48" s="333">
        <v>1554922.9187407501</v>
      </c>
      <c r="E48" s="333">
        <v>84</v>
      </c>
      <c r="F48" s="333">
        <v>4216031.03179901</v>
      </c>
    </row>
    <row r="49" spans="1:6">
      <c r="A49" s="1194" t="s">
        <v>32</v>
      </c>
      <c r="B49" s="1194" t="s">
        <v>40</v>
      </c>
      <c r="C49" s="333">
        <v>4</v>
      </c>
      <c r="D49" s="333">
        <v>63194.334195239899</v>
      </c>
      <c r="E49" s="333">
        <v>8</v>
      </c>
      <c r="F49" s="333">
        <v>144220.79033853801</v>
      </c>
    </row>
    <row r="50" spans="1:6">
      <c r="A50" s="1194" t="s">
        <v>32</v>
      </c>
      <c r="B50" s="1194" t="s">
        <v>41</v>
      </c>
      <c r="C50" s="333">
        <v>39</v>
      </c>
      <c r="D50" s="333">
        <v>2275235.90429101</v>
      </c>
      <c r="E50" s="333">
        <v>53</v>
      </c>
      <c r="F50" s="333">
        <v>1916371.16244168</v>
      </c>
    </row>
    <row r="51" spans="1:6">
      <c r="A51" s="1194" t="s">
        <v>42</v>
      </c>
      <c r="B51" s="1194" t="s">
        <v>43</v>
      </c>
      <c r="C51" s="333">
        <v>22</v>
      </c>
      <c r="D51" s="333">
        <v>407428.82921955799</v>
      </c>
      <c r="E51" s="333">
        <v>109</v>
      </c>
      <c r="F51" s="333">
        <v>1692012.1429530701</v>
      </c>
    </row>
    <row r="52" spans="1:6">
      <c r="A52" s="1194" t="s">
        <v>42</v>
      </c>
      <c r="B52" s="1194" t="s">
        <v>29</v>
      </c>
      <c r="C52" s="333">
        <v>12</v>
      </c>
      <c r="D52" s="333">
        <v>229615.35047213201</v>
      </c>
      <c r="E52" s="333">
        <v>9</v>
      </c>
      <c r="F52" s="333">
        <v>41824.926437834103</v>
      </c>
    </row>
    <row r="53" spans="1:6">
      <c r="A53" s="1194" t="s">
        <v>44</v>
      </c>
      <c r="B53" s="1194" t="s">
        <v>45</v>
      </c>
      <c r="C53" s="333">
        <v>908</v>
      </c>
      <c r="D53" s="333">
        <v>14817548.853466401</v>
      </c>
      <c r="E53" s="333">
        <v>1939</v>
      </c>
      <c r="F53" s="333">
        <v>8140415.0153035801</v>
      </c>
    </row>
    <row r="54" spans="1:6">
      <c r="A54" s="1194" t="s">
        <v>46</v>
      </c>
      <c r="B54" s="1194" t="s">
        <v>47</v>
      </c>
      <c r="C54" s="333">
        <v>0</v>
      </c>
      <c r="D54" s="333">
        <v>0</v>
      </c>
      <c r="E54" s="333">
        <v>1</v>
      </c>
      <c r="F54" s="333">
        <v>3251463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124</v>
      </c>
      <c r="D57" s="333">
        <v>3438270.2351711802</v>
      </c>
      <c r="E57" s="333">
        <v>304</v>
      </c>
      <c r="F57" s="333">
        <v>6198860.7698548697</v>
      </c>
    </row>
    <row r="58" spans="1:6">
      <c r="A58" s="1194" t="s">
        <v>49</v>
      </c>
      <c r="B58" s="1194" t="s">
        <v>51</v>
      </c>
      <c r="C58" s="333">
        <v>91</v>
      </c>
      <c r="D58" s="333">
        <v>3601520.12714455</v>
      </c>
      <c r="E58" s="333">
        <v>135</v>
      </c>
      <c r="F58" s="333">
        <v>2077290.8303409501</v>
      </c>
    </row>
    <row r="59" spans="1:6">
      <c r="A59" s="1194" t="s">
        <v>49</v>
      </c>
      <c r="B59" s="1194" t="s">
        <v>52</v>
      </c>
      <c r="C59" s="333">
        <v>729</v>
      </c>
      <c r="D59" s="333">
        <v>14848017.8239886</v>
      </c>
      <c r="E59" s="333">
        <v>1439</v>
      </c>
      <c r="F59" s="333">
        <v>30900373.182549901</v>
      </c>
    </row>
    <row r="60" spans="1:6">
      <c r="A60" s="1194" t="s">
        <v>49</v>
      </c>
      <c r="B60" s="1194" t="s">
        <v>53</v>
      </c>
      <c r="C60" s="333">
        <v>352</v>
      </c>
      <c r="D60" s="333">
        <v>20010245.2823488</v>
      </c>
      <c r="E60" s="333">
        <v>489</v>
      </c>
      <c r="F60" s="333">
        <v>17465415.891116701</v>
      </c>
    </row>
    <row r="61" spans="1:6">
      <c r="A61" s="1194" t="s">
        <v>49</v>
      </c>
      <c r="B61" s="1194" t="s">
        <v>54</v>
      </c>
      <c r="C61" s="333">
        <v>1830</v>
      </c>
      <c r="D61" s="333">
        <v>67958953.379202396</v>
      </c>
      <c r="E61" s="333">
        <v>4859</v>
      </c>
      <c r="F61" s="333">
        <v>30749455.340318799</v>
      </c>
    </row>
    <row r="62" spans="1:6">
      <c r="A62" s="1194" t="s">
        <v>49</v>
      </c>
      <c r="B62" s="1194" t="s">
        <v>55</v>
      </c>
      <c r="C62" s="333">
        <v>22</v>
      </c>
      <c r="D62" s="333">
        <v>3722487.69229839</v>
      </c>
      <c r="E62" s="333">
        <v>22</v>
      </c>
      <c r="F62" s="333">
        <v>500614.25593620498</v>
      </c>
    </row>
    <row r="63" spans="1:6">
      <c r="A63" s="1194" t="s">
        <v>49</v>
      </c>
      <c r="B63" s="1194" t="s">
        <v>29</v>
      </c>
      <c r="C63" s="333">
        <v>194</v>
      </c>
      <c r="D63" s="333">
        <v>8046922.6152323699</v>
      </c>
      <c r="E63" s="333">
        <v>165</v>
      </c>
      <c r="F63" s="333">
        <v>7966327.07868955</v>
      </c>
    </row>
    <row r="64" spans="1:6">
      <c r="A64" s="1194" t="s">
        <v>56</v>
      </c>
      <c r="B64" s="1194" t="s">
        <v>57</v>
      </c>
      <c r="C64" s="333">
        <v>3</v>
      </c>
      <c r="D64" s="333">
        <v>65223.720056597303</v>
      </c>
      <c r="E64" s="333">
        <v>3</v>
      </c>
      <c r="F64" s="333">
        <v>5908.1260171626</v>
      </c>
    </row>
    <row r="65" spans="1:6">
      <c r="A65" s="1194" t="s">
        <v>56</v>
      </c>
      <c r="B65" s="1194" t="s">
        <v>29</v>
      </c>
      <c r="C65" s="333">
        <v>4</v>
      </c>
      <c r="D65" s="333">
        <v>84815.641865109705</v>
      </c>
      <c r="E65" s="333">
        <v>3</v>
      </c>
      <c r="F65" s="333">
        <v>25133.497047553101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21</v>
      </c>
      <c r="D68" s="333">
        <v>446779.44934310101</v>
      </c>
      <c r="E68" s="333">
        <v>42</v>
      </c>
      <c r="F68" s="333">
        <v>1247791.5258495701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124113066</v>
      </c>
      <c r="E73" s="333">
        <v>107038287.93950228</v>
      </c>
      <c r="F73" s="333">
        <v>121324452</v>
      </c>
    </row>
    <row r="74" spans="1:6">
      <c r="A74" s="1194" t="s">
        <v>64</v>
      </c>
      <c r="B74" s="1194" t="s">
        <v>775</v>
      </c>
      <c r="C74" s="1205" t="s">
        <v>776</v>
      </c>
      <c r="D74" s="333">
        <v>12406751.650587199</v>
      </c>
      <c r="E74" s="333">
        <v>11143683.593623457</v>
      </c>
      <c r="F74" s="333">
        <v>12156652.463120401</v>
      </c>
    </row>
    <row r="75" spans="1:6">
      <c r="A75" s="1194" t="s">
        <v>65</v>
      </c>
      <c r="B75" s="1194" t="s">
        <v>773</v>
      </c>
      <c r="C75" s="1205" t="s">
        <v>777</v>
      </c>
      <c r="D75" s="333">
        <v>32492815</v>
      </c>
      <c r="E75" s="333">
        <v>27718406.80699202</v>
      </c>
      <c r="F75" s="333">
        <v>32361283</v>
      </c>
    </row>
    <row r="76" spans="1:6">
      <c r="A76" s="1194" t="s">
        <v>65</v>
      </c>
      <c r="B76" s="1194" t="s">
        <v>775</v>
      </c>
      <c r="C76" s="1205" t="s">
        <v>778</v>
      </c>
      <c r="D76" s="333">
        <v>1249330.6505871995</v>
      </c>
      <c r="E76" s="333">
        <v>1101112.4568216028</v>
      </c>
      <c r="F76" s="333">
        <v>1265059.4631204004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487314.69882560114</v>
      </c>
      <c r="C83" s="333">
        <v>439047.26679019834</v>
      </c>
      <c r="D83" s="333">
        <v>435331.07375919889</v>
      </c>
    </row>
    <row r="84" spans="1:6">
      <c r="A84" s="1190" t="s">
        <v>338</v>
      </c>
      <c r="B84" s="336">
        <v>174589.57465704018</v>
      </c>
      <c r="C84" s="336">
        <v>178579.39681426235</v>
      </c>
      <c r="D84" s="336">
        <v>176949.11623905605</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1059.7449653215326</v>
      </c>
    </row>
    <row r="92" spans="1:6">
      <c r="A92" s="1190" t="s">
        <v>69</v>
      </c>
      <c r="B92" s="336">
        <v>390.87645792287776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9792</v>
      </c>
    </row>
    <row r="98" spans="1:6">
      <c r="A98" s="1194" t="s">
        <v>72</v>
      </c>
      <c r="B98" s="333">
        <v>3</v>
      </c>
    </row>
    <row r="99" spans="1:6">
      <c r="A99" s="1194" t="s">
        <v>73</v>
      </c>
      <c r="B99" s="333">
        <v>58</v>
      </c>
    </row>
    <row r="100" spans="1:6">
      <c r="A100" s="1194" t="s">
        <v>74</v>
      </c>
      <c r="B100" s="333">
        <v>1420</v>
      </c>
    </row>
    <row r="101" spans="1:6">
      <c r="A101" s="1194" t="s">
        <v>75</v>
      </c>
      <c r="B101" s="333">
        <v>56</v>
      </c>
    </row>
    <row r="102" spans="1:6">
      <c r="A102" s="1194" t="s">
        <v>76</v>
      </c>
      <c r="B102" s="333">
        <v>435</v>
      </c>
    </row>
    <row r="103" spans="1:6">
      <c r="A103" s="1194" t="s">
        <v>77</v>
      </c>
      <c r="B103" s="333">
        <v>92</v>
      </c>
    </row>
    <row r="104" spans="1:6">
      <c r="A104" s="1194" t="s">
        <v>78</v>
      </c>
      <c r="B104" s="333">
        <v>3205</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35</v>
      </c>
    </row>
    <row r="130" spans="1:6">
      <c r="A130" s="1194" t="s">
        <v>296</v>
      </c>
      <c r="B130" s="333">
        <v>0</v>
      </c>
    </row>
    <row r="131" spans="1:6">
      <c r="A131" s="1194" t="s">
        <v>297</v>
      </c>
      <c r="B131" s="333">
        <v>4</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196816.06585836265</v>
      </c>
      <c r="C3" s="43" t="s">
        <v>171</v>
      </c>
      <c r="D3" s="43"/>
      <c r="E3" s="156"/>
      <c r="F3" s="43"/>
      <c r="G3" s="43"/>
      <c r="H3" s="43"/>
      <c r="I3" s="43"/>
      <c r="J3" s="43"/>
      <c r="K3" s="96"/>
    </row>
    <row r="4" spans="1:11">
      <c r="A4" s="364" t="s">
        <v>172</v>
      </c>
      <c r="B4" s="49">
        <f>IF(ISERROR('SEAP template'!B69),0,'SEAP template'!B69)</f>
        <v>1450.6214232444104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0.21937113228974037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3251.4630000000002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3251.4630000000002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0.21937113228974037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713.27711990819614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83912.088798678989</v>
      </c>
      <c r="C5" s="17">
        <f>IF(ISERROR('Eigen informatie GS &amp; warmtenet'!B57),0,'Eigen informatie GS &amp; warmtenet'!B57)</f>
        <v>0</v>
      </c>
      <c r="D5" s="30">
        <f>(SUM(HH_hh_gas_kWh,HH_rest_gas_kWh)/1000)*0.902</f>
        <v>235912.32841610559</v>
      </c>
      <c r="E5" s="17">
        <f>B46*B57</f>
        <v>0</v>
      </c>
      <c r="F5" s="17">
        <f>B51*B62</f>
        <v>0</v>
      </c>
      <c r="G5" s="18"/>
      <c r="H5" s="17"/>
      <c r="I5" s="17"/>
      <c r="J5" s="17">
        <f>B50*B61+C50*C61</f>
        <v>0</v>
      </c>
      <c r="K5" s="17"/>
      <c r="L5" s="17"/>
      <c r="M5" s="17"/>
      <c r="N5" s="17">
        <f>B48*B59+C48*C59</f>
        <v>0</v>
      </c>
      <c r="O5" s="17">
        <f>B69*B70*B71</f>
        <v>82.856666666666683</v>
      </c>
      <c r="P5" s="17">
        <f>B77*B78*B79/1000-B77*B78*B79/1000/B80</f>
        <v>95.333333333333343</v>
      </c>
    </row>
    <row r="6" spans="1:16">
      <c r="A6" s="16" t="s">
        <v>633</v>
      </c>
      <c r="B6" s="830">
        <f>kWh_PV_kleiner_dan_10kW</f>
        <v>1059.7449653215326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84971.833764000519</v>
      </c>
      <c r="C8" s="21">
        <f>C5</f>
        <v>0</v>
      </c>
      <c r="D8" s="21">
        <f>D5</f>
        <v>235912.32841610559</v>
      </c>
      <c r="E8" s="21">
        <f>E5</f>
        <v>0</v>
      </c>
      <c r="F8" s="21">
        <f>F5</f>
        <v>0</v>
      </c>
      <c r="G8" s="21"/>
      <c r="H8" s="21"/>
      <c r="I8" s="21"/>
      <c r="J8" s="21">
        <f>J5</f>
        <v>0</v>
      </c>
      <c r="K8" s="21"/>
      <c r="L8" s="21">
        <f>L5</f>
        <v>0</v>
      </c>
      <c r="M8" s="21">
        <f>M5</f>
        <v>0</v>
      </c>
      <c r="N8" s="21">
        <f>N5</f>
        <v>0</v>
      </c>
      <c r="O8" s="21">
        <f>O5</f>
        <v>82.856666666666683</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0.21937113228974037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18640.367385544385</v>
      </c>
      <c r="C12" s="23">
        <f ca="1">C10*C8</f>
        <v>0</v>
      </c>
      <c r="D12" s="23">
        <f>D8*D10</f>
        <v>47654.290340053332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9792</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3.7809647979139509</v>
      </c>
      <c r="D20" s="230"/>
      <c r="E20" s="15"/>
    </row>
    <row r="21" spans="1:7">
      <c r="A21" s="172" t="s">
        <v>74</v>
      </c>
      <c r="B21" s="37">
        <f>aantalw2001_elektriciteit</f>
        <v>1420</v>
      </c>
      <c r="C21" s="168">
        <f>IF(ISERROR(B21/SUM($B$20,$B$21,$B$22)*100),0,B21/SUM($B$20,$B$21,$B$22)*100)</f>
        <v>92.568448500651897</v>
      </c>
      <c r="D21" s="230"/>
      <c r="E21" s="15"/>
    </row>
    <row r="22" spans="1:7">
      <c r="A22" s="172" t="s">
        <v>75</v>
      </c>
      <c r="B22" s="37">
        <f>aantalw2001_hout</f>
        <v>56</v>
      </c>
      <c r="C22" s="168">
        <f>IF(ISERROR(B22/SUM($B$20,$B$21,$B$22)*100),0,B22/SUM($B$20,$B$21,$B$22)*100)</f>
        <v>3.6505867014341589</v>
      </c>
      <c r="D22" s="230"/>
      <c r="E22" s="15"/>
    </row>
    <row r="23" spans="1:7">
      <c r="A23" s="172" t="s">
        <v>76</v>
      </c>
      <c r="B23" s="37">
        <f>aantalw2001_niet_gespec</f>
        <v>435</v>
      </c>
      <c r="C23" s="167" t="s">
        <v>111</v>
      </c>
      <c r="D23" s="229"/>
      <c r="E23" s="15"/>
    </row>
    <row r="24" spans="1:7">
      <c r="A24" s="172" t="s">
        <v>77</v>
      </c>
      <c r="B24" s="37">
        <f>aantalw2001_steenkool</f>
        <v>92</v>
      </c>
      <c r="C24" s="167" t="s">
        <v>111</v>
      </c>
      <c r="D24" s="230"/>
      <c r="E24" s="15"/>
    </row>
    <row r="25" spans="1:7">
      <c r="A25" s="172" t="s">
        <v>78</v>
      </c>
      <c r="B25" s="37">
        <f>aantalw2001_stookolie</f>
        <v>3205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16712</v>
      </c>
      <c r="C28" s="36"/>
      <c r="D28" s="229"/>
    </row>
    <row r="29" spans="1:7" s="15" customFormat="1">
      <c r="A29" s="231" t="s">
        <v>714</v>
      </c>
      <c r="B29" s="37">
        <f>SUM(HH_hh_gas_aantal,HH_rest_gas_aantal)</f>
        <v>22599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22599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22599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95858.337348806977</v>
      </c>
      <c r="C5" s="17">
        <f>IF(ISERROR('Eigen informatie GS &amp; warmtenet'!B58),0,'Eigen informatie GS &amp; warmtenet'!B58)</f>
        <v>0</v>
      </c>
      <c r="D5" s="30">
        <f>SUM(D6:D12)</f>
        <v>109707.02827415845</v>
      </c>
      <c r="E5" s="17">
        <f>SUM(E6:E12)</f>
        <v>2430.158132764826</v>
      </c>
      <c r="F5" s="17">
        <f>SUM(F6:F12)</f>
        <v>16558.389325863129</v>
      </c>
      <c r="G5" s="18"/>
      <c r="H5" s="17"/>
      <c r="I5" s="17"/>
      <c r="J5" s="17">
        <f>SUM(J6:J12)</f>
        <v>0</v>
      </c>
      <c r="K5" s="17"/>
      <c r="L5" s="17"/>
      <c r="M5" s="17"/>
      <c r="N5" s="17">
        <f>SUM(N6:N12)</f>
        <v>1926.2147116337987</v>
      </c>
      <c r="O5" s="17">
        <f>B38*B39*B40</f>
        <v>0</v>
      </c>
      <c r="P5" s="17">
        <f>B46*B47*B48/1000-B46*B47*B48/1000/B49</f>
        <v>76.266666666666666</v>
      </c>
      <c r="R5" s="32"/>
    </row>
    <row r="6" spans="1:18">
      <c r="A6" s="32" t="s">
        <v>54</v>
      </c>
      <c r="B6" s="37">
        <f>B26</f>
        <v>30749.4553403188</v>
      </c>
      <c r="C6" s="33"/>
      <c r="D6" s="37">
        <f>IF(ISERROR(TER_kantoor_gas_kWh/1000),0,TER_kantoor_gas_kWh/1000)*0.902</f>
        <v>61298.97594804057</v>
      </c>
      <c r="E6" s="33">
        <f>$C$26*'E Balans VL '!I12/100/3.6*1000000</f>
        <v>1076.3518974776387</v>
      </c>
      <c r="F6" s="33">
        <f>$C$26*('E Balans VL '!L12+'E Balans VL '!N12)/100/3.6*1000000</f>
        <v>4662.2776139292737</v>
      </c>
      <c r="G6" s="34"/>
      <c r="H6" s="33"/>
      <c r="I6" s="33"/>
      <c r="J6" s="33">
        <f>$C$26*('E Balans VL '!D12+'E Balans VL '!E12)/100/3.6*1000000</f>
        <v>0</v>
      </c>
      <c r="K6" s="33"/>
      <c r="L6" s="33"/>
      <c r="M6" s="33"/>
      <c r="N6" s="33">
        <f>$C$26*'E Balans VL '!Y12/100/3.6*1000000</f>
        <v>237.68366546601587</v>
      </c>
      <c r="O6" s="33"/>
      <c r="P6" s="33"/>
      <c r="R6" s="32"/>
    </row>
    <row r="7" spans="1:18">
      <c r="A7" s="32" t="s">
        <v>53</v>
      </c>
      <c r="B7" s="37">
        <f t="shared" ref="B7:B12" si="0">B27</f>
        <v>17465.4158911167</v>
      </c>
      <c r="C7" s="33"/>
      <c r="D7" s="37">
        <f>IF(ISERROR(TER_horeca_gas_kWh/1000),0,TER_horeca_gas_kWh/1000)*0.902</f>
        <v>18049.241244678618</v>
      </c>
      <c r="E7" s="33">
        <f>$C$27*'E Balans VL '!I9/100/3.6*1000000</f>
        <v>985.28168973189986</v>
      </c>
      <c r="F7" s="33">
        <f>$C$27*('E Balans VL '!L9+'E Balans VL '!N9)/100/3.6*1000000</f>
        <v>3042.5721030850605</v>
      </c>
      <c r="G7" s="34"/>
      <c r="H7" s="33"/>
      <c r="I7" s="33"/>
      <c r="J7" s="33">
        <f>$C$27*('E Balans VL '!D9+'E Balans VL '!E9)/100/3.6*1000000</f>
        <v>0</v>
      </c>
      <c r="K7" s="33"/>
      <c r="L7" s="33"/>
      <c r="M7" s="33"/>
      <c r="N7" s="33">
        <f>$C$27*'E Balans VL '!Y9/100/3.6*1000000</f>
        <v>0</v>
      </c>
      <c r="O7" s="33"/>
      <c r="P7" s="33"/>
      <c r="R7" s="32"/>
    </row>
    <row r="8" spans="1:18">
      <c r="A8" s="6" t="s">
        <v>52</v>
      </c>
      <c r="B8" s="37">
        <f t="shared" si="0"/>
        <v>30900.373182549902</v>
      </c>
      <c r="C8" s="33"/>
      <c r="D8" s="37">
        <f>IF(ISERROR(TER_handel_gas_kWh/1000),0,TER_handel_gas_kWh/1000)*0.902</f>
        <v>13392.912077237717</v>
      </c>
      <c r="E8" s="33">
        <f>$C$28*'E Balans VL '!I13/100/3.6*1000000</f>
        <v>158.63937648682821</v>
      </c>
      <c r="F8" s="33">
        <f>$C$28*('E Balans VL '!L13+'E Balans VL '!N13)/100/3.6*1000000</f>
        <v>4764.3600849701388</v>
      </c>
      <c r="G8" s="34"/>
      <c r="H8" s="33"/>
      <c r="I8" s="33"/>
      <c r="J8" s="33">
        <f>$C$28*('E Balans VL '!D13+'E Balans VL '!E13)/100/3.6*1000000</f>
        <v>0</v>
      </c>
      <c r="K8" s="33"/>
      <c r="L8" s="33"/>
      <c r="M8" s="33"/>
      <c r="N8" s="33">
        <f>$C$28*'E Balans VL '!Y13/100/3.6*1000000</f>
        <v>14.452481727304447</v>
      </c>
      <c r="O8" s="33"/>
      <c r="P8" s="33"/>
      <c r="R8" s="32"/>
    </row>
    <row r="9" spans="1:18">
      <c r="A9" s="32" t="s">
        <v>51</v>
      </c>
      <c r="B9" s="37">
        <f t="shared" si="0"/>
        <v>2077.2908303409499</v>
      </c>
      <c r="C9" s="33"/>
      <c r="D9" s="37">
        <f>IF(ISERROR(TER_gezond_gas_kWh/1000),0,TER_gezond_gas_kWh/1000)*0.902</f>
        <v>3248.5711546843841</v>
      </c>
      <c r="E9" s="33">
        <f>$C$29*'E Balans VL '!I10/100/3.6*1000000</f>
        <v>0.86102225524124165</v>
      </c>
      <c r="F9" s="33">
        <f>$C$29*('E Balans VL '!L10+'E Balans VL '!N10)/100/3.6*1000000</f>
        <v>511.60693918839553</v>
      </c>
      <c r="G9" s="34"/>
      <c r="H9" s="33"/>
      <c r="I9" s="33"/>
      <c r="J9" s="33">
        <f>$C$29*('E Balans VL '!D10+'E Balans VL '!E10)/100/3.6*1000000</f>
        <v>0</v>
      </c>
      <c r="K9" s="33"/>
      <c r="L9" s="33"/>
      <c r="M9" s="33"/>
      <c r="N9" s="33">
        <f>$C$29*'E Balans VL '!Y10/100/3.6*1000000</f>
        <v>17.952934328857058</v>
      </c>
      <c r="O9" s="33"/>
      <c r="P9" s="33"/>
      <c r="R9" s="32"/>
    </row>
    <row r="10" spans="1:18">
      <c r="A10" s="32" t="s">
        <v>50</v>
      </c>
      <c r="B10" s="37">
        <f t="shared" si="0"/>
        <v>6198.8607698548694</v>
      </c>
      <c r="C10" s="33"/>
      <c r="D10" s="37">
        <f>IF(ISERROR(TER_ander_gas_kWh/1000),0,TER_ander_gas_kWh/1000)*0.902</f>
        <v>3101.3197521244047</v>
      </c>
      <c r="E10" s="33">
        <f>$C$30*'E Balans VL '!I14/100/3.6*1000000</f>
        <v>37.788408195651606</v>
      </c>
      <c r="F10" s="33">
        <f>$C$30*('E Balans VL '!L14+'E Balans VL '!N14)/100/3.6*1000000</f>
        <v>1643.4029048487735</v>
      </c>
      <c r="G10" s="34"/>
      <c r="H10" s="33"/>
      <c r="I10" s="33"/>
      <c r="J10" s="33">
        <f>$C$30*('E Balans VL '!D14+'E Balans VL '!E14)/100/3.6*1000000</f>
        <v>0</v>
      </c>
      <c r="K10" s="33"/>
      <c r="L10" s="33"/>
      <c r="M10" s="33"/>
      <c r="N10" s="33">
        <f>$C$30*'E Balans VL '!Y14/100/3.6*1000000</f>
        <v>1428.7034599294136</v>
      </c>
      <c r="O10" s="33"/>
      <c r="P10" s="33"/>
      <c r="R10" s="32"/>
    </row>
    <row r="11" spans="1:18">
      <c r="A11" s="32" t="s">
        <v>55</v>
      </c>
      <c r="B11" s="37">
        <f t="shared" si="0"/>
        <v>500.61425593620498</v>
      </c>
      <c r="C11" s="33"/>
      <c r="D11" s="37">
        <f>IF(ISERROR(TER_onderwijs_gas_kWh/1000),0,TER_onderwijs_gas_kWh/1000)*0.902</f>
        <v>3357.6838984531478</v>
      </c>
      <c r="E11" s="33">
        <f>$C$31*'E Balans VL '!I11/100/3.6*1000000</f>
        <v>0.38149413028307805</v>
      </c>
      <c r="F11" s="33">
        <f>$C$31*('E Balans VL '!L11+'E Balans VL '!N11)/100/3.6*1000000</f>
        <v>362.27191039816574</v>
      </c>
      <c r="G11" s="34"/>
      <c r="H11" s="33"/>
      <c r="I11" s="33"/>
      <c r="J11" s="33">
        <f>$C$31*('E Balans VL '!D11+'E Balans VL '!E11)/100/3.6*1000000</f>
        <v>0</v>
      </c>
      <c r="K11" s="33"/>
      <c r="L11" s="33"/>
      <c r="M11" s="33"/>
      <c r="N11" s="33">
        <f>$C$31*'E Balans VL '!Y11/100/3.6*1000000</f>
        <v>1.4754298568710047</v>
      </c>
      <c r="O11" s="33"/>
      <c r="P11" s="33"/>
      <c r="R11" s="32"/>
    </row>
    <row r="12" spans="1:18">
      <c r="A12" s="32" t="s">
        <v>261</v>
      </c>
      <c r="B12" s="37">
        <f t="shared" si="0"/>
        <v>7966.32707868955</v>
      </c>
      <c r="C12" s="33"/>
      <c r="D12" s="37">
        <f>IF(ISERROR(TER_rest_gas_kWh/1000),0,TER_rest_gas_kWh/1000)*0.902</f>
        <v>7258.3241989395983</v>
      </c>
      <c r="E12" s="33">
        <f>$C$32*'E Balans VL '!I8/100/3.6*1000000</f>
        <v>170.85424448728307</v>
      </c>
      <c r="F12" s="33">
        <f>$C$32*('E Balans VL '!L8+'E Balans VL '!N8)/100/3.6*1000000</f>
        <v>1571.8977694433215</v>
      </c>
      <c r="G12" s="34"/>
      <c r="H12" s="33"/>
      <c r="I12" s="33"/>
      <c r="J12" s="33">
        <f>$C$32*('E Balans VL '!D8+'E Balans VL '!E8)/100/3.6*1000000</f>
        <v>0</v>
      </c>
      <c r="K12" s="33"/>
      <c r="L12" s="33"/>
      <c r="M12" s="33"/>
      <c r="N12" s="33">
        <f>$C$32*'E Balans VL '!Y8/100/3.6*1000000</f>
        <v>225.94674032533675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95858.337348806977</v>
      </c>
      <c r="C16" s="21">
        <f ca="1">C5+C13+C14</f>
        <v>0</v>
      </c>
      <c r="D16" s="21">
        <f t="shared" ref="D16:N16" ca="1" si="1">MAX((D5+D13+D14),0)</f>
        <v>109707.02827415845</v>
      </c>
      <c r="E16" s="21">
        <f t="shared" si="1"/>
        <v>2430.158132764826</v>
      </c>
      <c r="F16" s="21">
        <f t="shared" ca="1" si="1"/>
        <v>16558.389325863129</v>
      </c>
      <c r="G16" s="21">
        <f t="shared" si="1"/>
        <v>0</v>
      </c>
      <c r="H16" s="21">
        <f t="shared" si="1"/>
        <v>0</v>
      </c>
      <c r="I16" s="21">
        <f t="shared" si="1"/>
        <v>0</v>
      </c>
      <c r="J16" s="21">
        <f t="shared" si="1"/>
        <v>0</v>
      </c>
      <c r="K16" s="21">
        <f t="shared" si="1"/>
        <v>0</v>
      </c>
      <c r="L16" s="21">
        <f t="shared" ca="1" si="1"/>
        <v>0</v>
      </c>
      <c r="M16" s="21">
        <f t="shared" si="1"/>
        <v>0</v>
      </c>
      <c r="N16" s="21">
        <f t="shared" ca="1" si="1"/>
        <v>1926.2147116337987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0.21937113228974037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21028.552003619694</v>
      </c>
      <c r="C20" s="23">
        <f t="shared" ref="C20:P20" ca="1" si="2">C16*C18</f>
        <v>0</v>
      </c>
      <c r="D20" s="23">
        <f t="shared" ca="1" si="2"/>
        <v>22160.819711380009</v>
      </c>
      <c r="E20" s="23">
        <f t="shared" si="2"/>
        <v>551.64589613761552</v>
      </c>
      <c r="F20" s="23">
        <f t="shared" ca="1" si="2"/>
        <v>4421.0899500054556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30749.4553403188</v>
      </c>
      <c r="C26" s="39">
        <f>IF(ISERROR(B26*3.6/1000000/'E Balans VL '!Z12*100),0,B26*3.6/1000000/'E Balans VL '!Z12*100)</f>
        <v>0.6470712935037789</v>
      </c>
      <c r="D26" s="238" t="s">
        <v>720</v>
      </c>
      <c r="F26" s="6"/>
    </row>
    <row r="27" spans="1:18">
      <c r="A27" s="232" t="s">
        <v>53</v>
      </c>
      <c r="B27" s="33">
        <f>IF(ISERROR(TER_horeca_ele_kWh/1000),0,TER_horeca_ele_kWh/1000)</f>
        <v>17465.4158911167</v>
      </c>
      <c r="C27" s="39">
        <f>IF(ISERROR(B27*3.6/1000000/'E Balans VL '!Z9*100),0,B27*3.6/1000000/'E Balans VL '!Z9*100)</f>
        <v>1.4787476861366842</v>
      </c>
      <c r="D27" s="238" t="s">
        <v>720</v>
      </c>
      <c r="F27" s="6"/>
    </row>
    <row r="28" spans="1:18">
      <c r="A28" s="172" t="s">
        <v>52</v>
      </c>
      <c r="B28" s="33">
        <f>IF(ISERROR(TER_handel_ele_kWh/1000),0,TER_handel_ele_kWh/1000)</f>
        <v>30900.373182549902</v>
      </c>
      <c r="C28" s="39">
        <f>IF(ISERROR(B28*3.6/1000000/'E Balans VL '!Z13*100),0,B28*3.6/1000000/'E Balans VL '!Z13*100)</f>
        <v>0.85547255868477834</v>
      </c>
      <c r="D28" s="238" t="s">
        <v>720</v>
      </c>
      <c r="F28" s="6"/>
    </row>
    <row r="29" spans="1:18">
      <c r="A29" s="232" t="s">
        <v>51</v>
      </c>
      <c r="B29" s="33">
        <f>IF(ISERROR(TER_gezond_ele_kWh/1000),0,TER_gezond_ele_kWh/1000)</f>
        <v>2077.2908303409499</v>
      </c>
      <c r="C29" s="39">
        <f>IF(ISERROR(B29*3.6/1000000/'E Balans VL '!Z10*100),0,B29*3.6/1000000/'E Balans VL '!Z10*100)</f>
        <v>0.27002477849047163</v>
      </c>
      <c r="D29" s="238" t="s">
        <v>720</v>
      </c>
      <c r="F29" s="6"/>
    </row>
    <row r="30" spans="1:18">
      <c r="A30" s="232" t="s">
        <v>50</v>
      </c>
      <c r="B30" s="33">
        <f>IF(ISERROR(TER_ander_ele_kWh/1000),0,TER_ander_ele_kWh/1000)</f>
        <v>6198.8607698548694</v>
      </c>
      <c r="C30" s="39">
        <f>IF(ISERROR(B30*3.6/1000000/'E Balans VL '!Z14*100),0,B30*3.6/1000000/'E Balans VL '!Z14*100)</f>
        <v>0.48046855755968065</v>
      </c>
      <c r="D30" s="238" t="s">
        <v>720</v>
      </c>
      <c r="F30" s="6"/>
    </row>
    <row r="31" spans="1:18">
      <c r="A31" s="232" t="s">
        <v>55</v>
      </c>
      <c r="B31" s="33">
        <f>IF(ISERROR(TER_onderwijs_ele_kWh/1000),0,TER_onderwijs_ele_kWh/1000)</f>
        <v>500.61425593620498</v>
      </c>
      <c r="C31" s="39">
        <f>IF(ISERROR(B31*3.6/1000000/'E Balans VL '!Z11*100),0,B31*3.6/1000000/'E Balans VL '!Z11*100)</f>
        <v>9.577603744699803E-2</v>
      </c>
      <c r="D31" s="238" t="s">
        <v>720</v>
      </c>
    </row>
    <row r="32" spans="1:18">
      <c r="A32" s="232" t="s">
        <v>261</v>
      </c>
      <c r="B32" s="33">
        <f>IF(ISERROR(TER_rest_ele_kWh/1000),0,TER_rest_ele_kWh/1000)</f>
        <v>7966.32707868955</v>
      </c>
      <c r="C32" s="39">
        <f>IF(ISERROR(B32*3.6/1000000/'E Balans VL '!Z8*100),0,B32*3.6/1000000/'E Balans VL '!Z8*100)</f>
        <v>6.568848423034096E-2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10383.916079709645</v>
      </c>
      <c r="C5" s="17">
        <f>IF(ISERROR('Eigen informatie GS &amp; warmtenet'!B59),0,'Eigen informatie GS &amp; warmtenet'!B59)</f>
        <v>0</v>
      </c>
      <c r="D5" s="30">
        <f>SUM(D6:D15)</f>
        <v>8912.7201833188901</v>
      </c>
      <c r="E5" s="17">
        <f>SUM(E6:E15)</f>
        <v>125.17033393056559</v>
      </c>
      <c r="F5" s="17">
        <f>SUM(F6:F15)</f>
        <v>4293.0490877010561</v>
      </c>
      <c r="G5" s="18"/>
      <c r="H5" s="17"/>
      <c r="I5" s="17"/>
      <c r="J5" s="17">
        <f>SUM(J6:J15)</f>
        <v>37.793029549045166</v>
      </c>
      <c r="K5" s="17"/>
      <c r="L5" s="17"/>
      <c r="M5" s="17"/>
      <c r="N5" s="17">
        <f>SUM(N6:N15)</f>
        <v>400.81518453063927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55.851089443005705</v>
      </c>
      <c r="C8" s="33"/>
      <c r="D8" s="37">
        <f>IF( ISERROR(IND_metaal_Gas_kWH/1000),0,IND_metaal_Gas_kWH/1000)*0.902</f>
        <v>83.486666160758105</v>
      </c>
      <c r="E8" s="33">
        <f>C30*'E Balans VL '!I18/100/3.6*1000000</f>
        <v>0.39245328253208916</v>
      </c>
      <c r="F8" s="33">
        <f>C30*'E Balans VL '!L18/100/3.6*1000000+C30*'E Balans VL '!N18/100/3.6*1000000</f>
        <v>6.1321228598061728</v>
      </c>
      <c r="G8" s="34"/>
      <c r="H8" s="33"/>
      <c r="I8" s="33"/>
      <c r="J8" s="40">
        <f>C30*'E Balans VL '!D18/100/3.6*1000000+C30*'E Balans VL '!E18/100/3.6*1000000</f>
        <v>1.1523283561878728</v>
      </c>
      <c r="K8" s="33"/>
      <c r="L8" s="33"/>
      <c r="M8" s="33"/>
      <c r="N8" s="33">
        <f>C30*'E Balans VL '!Y18/100/3.6*1000000</f>
        <v>0.20933390562353255</v>
      </c>
      <c r="O8" s="33"/>
      <c r="P8" s="33"/>
      <c r="R8" s="32"/>
    </row>
    <row r="9" spans="1:18">
      <c r="A9" s="6" t="s">
        <v>33</v>
      </c>
      <c r="B9" s="37">
        <f t="shared" si="0"/>
        <v>3989.3748132409501</v>
      </c>
      <c r="C9" s="33"/>
      <c r="D9" s="37">
        <f>IF( ISERROR(IND_andere_gas_kWh/1000),0,IND_andere_gas_kWh/1000)*0.902</f>
        <v>5163.1384451044469</v>
      </c>
      <c r="E9" s="33">
        <f>C31*'E Balans VL '!I19/100/3.6*1000000</f>
        <v>67.006437128565693</v>
      </c>
      <c r="F9" s="33">
        <f>C31*'E Balans VL '!L19/100/3.6*1000000+C31*'E Balans VL '!N19/100/3.6*1000000</f>
        <v>3118.6660111682168</v>
      </c>
      <c r="G9" s="34"/>
      <c r="H9" s="33"/>
      <c r="I9" s="33"/>
      <c r="J9" s="40">
        <f>C31*'E Balans VL '!D19/100/3.6*1000000+C31*'E Balans VL '!E19/100/3.6*1000000</f>
        <v>0.35980639240729217</v>
      </c>
      <c r="K9" s="33"/>
      <c r="L9" s="33"/>
      <c r="M9" s="33"/>
      <c r="N9" s="33">
        <f>C31*'E Balans VL '!Y19/100/3.6*1000000</f>
        <v>295.67667754530584</v>
      </c>
      <c r="O9" s="33"/>
      <c r="P9" s="33"/>
      <c r="R9" s="32"/>
    </row>
    <row r="10" spans="1:18">
      <c r="A10" s="6" t="s">
        <v>41</v>
      </c>
      <c r="B10" s="37">
        <f t="shared" si="0"/>
        <v>1916.3711624416799</v>
      </c>
      <c r="C10" s="33"/>
      <c r="D10" s="37">
        <f>IF( ISERROR(IND_voed_gas_kWh/1000),0,IND_voed_gas_kWh/1000)*0.902</f>
        <v>2052.2627856704908</v>
      </c>
      <c r="E10" s="33">
        <f>C32*'E Balans VL '!I20/100/3.6*1000000</f>
        <v>17.48417413811962</v>
      </c>
      <c r="F10" s="33">
        <f>C32*'E Balans VL '!L20/100/3.6*1000000+C32*'E Balans VL '!N20/100/3.6*1000000</f>
        <v>309.17060908395922</v>
      </c>
      <c r="G10" s="34"/>
      <c r="H10" s="33"/>
      <c r="I10" s="33"/>
      <c r="J10" s="40">
        <f>C32*'E Balans VL '!D20/100/3.6*1000000+C32*'E Balans VL '!E20/100/3.6*1000000</f>
        <v>7.8928728806867117</v>
      </c>
      <c r="K10" s="33"/>
      <c r="L10" s="33"/>
      <c r="M10" s="33"/>
      <c r="N10" s="33">
        <f>C32*'E Balans VL '!Y20/100/3.6*1000000</f>
        <v>28.034999005449528</v>
      </c>
      <c r="O10" s="33"/>
      <c r="P10" s="33"/>
      <c r="R10" s="32"/>
    </row>
    <row r="11" spans="1:18">
      <c r="A11" s="6" t="s">
        <v>40</v>
      </c>
      <c r="B11" s="37">
        <f t="shared" si="0"/>
        <v>144.220790338538</v>
      </c>
      <c r="C11" s="33"/>
      <c r="D11" s="37">
        <f>IF( ISERROR(IND_textiel_gas_kWh/1000),0,IND_textiel_gas_kWh/1000)*0.902</f>
        <v>57.001289444106391</v>
      </c>
      <c r="E11" s="33">
        <f>C33*'E Balans VL '!I21/100/3.6*1000000</f>
        <v>0.32894087094937741</v>
      </c>
      <c r="F11" s="33">
        <f>C33*'E Balans VL '!L21/100/3.6*1000000+C33*'E Balans VL '!N21/100/3.6*1000000</f>
        <v>3.0828531576666625</v>
      </c>
      <c r="G11" s="34"/>
      <c r="H11" s="33"/>
      <c r="I11" s="33"/>
      <c r="J11" s="40">
        <f>C33*'E Balans VL '!D21/100/3.6*1000000+C33*'E Balans VL '!E21/100/3.6*1000000</f>
        <v>0</v>
      </c>
      <c r="K11" s="33"/>
      <c r="L11" s="33"/>
      <c r="M11" s="33"/>
      <c r="N11" s="33">
        <f>C33*'E Balans VL '!Y21/100/3.6*1000000</f>
        <v>1.0230828299002646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62.067192446462201</v>
      </c>
      <c r="C13" s="33"/>
      <c r="D13" s="37">
        <f>IF( ISERROR(IND_papier_gas_kWh/1000),0,IND_papier_gas_kWh/1000)*0.902</f>
        <v>154.29052423493113</v>
      </c>
      <c r="E13" s="33">
        <f>C35*'E Balans VL '!I23/100/3.6*1000000</f>
        <v>1.9096455306317854</v>
      </c>
      <c r="F13" s="33">
        <f>C35*'E Balans VL '!L23/100/3.6*1000000+C35*'E Balans VL '!N23/100/3.6*1000000</f>
        <v>13.179034076603129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4216.0310317990097</v>
      </c>
      <c r="C15" s="33"/>
      <c r="D15" s="37">
        <f>IF( ISERROR(IND_rest_gas_kWh/1000),0,IND_rest_gas_kWh/1000)*0.902</f>
        <v>1402.5404727041566</v>
      </c>
      <c r="E15" s="33">
        <f>C37*'E Balans VL '!I15/100/3.6*1000000</f>
        <v>38.048682979767015</v>
      </c>
      <c r="F15" s="33">
        <f>C37*'E Balans VL '!L15/100/3.6*1000000+C37*'E Balans VL '!N15/100/3.6*1000000</f>
        <v>842.81845735480351</v>
      </c>
      <c r="G15" s="34"/>
      <c r="H15" s="33"/>
      <c r="I15" s="33"/>
      <c r="J15" s="40">
        <f>C37*'E Balans VL '!D15/100/3.6*1000000+C37*'E Balans VL '!E15/100/3.6*1000000</f>
        <v>28.38802191976329</v>
      </c>
      <c r="K15" s="33"/>
      <c r="L15" s="33"/>
      <c r="M15" s="33"/>
      <c r="N15" s="33">
        <f>C37*'E Balans VL '!Y15/100/3.6*1000000</f>
        <v>75.871091244360116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10383.916079709645</v>
      </c>
      <c r="C18" s="21">
        <f>C5+C16</f>
        <v>0</v>
      </c>
      <c r="D18" s="21">
        <f>MAX((D5+D16),0)</f>
        <v>8912.7201833188901</v>
      </c>
      <c r="E18" s="21">
        <f>MAX((E5+E16),0)</f>
        <v>125.17033393056559</v>
      </c>
      <c r="F18" s="21">
        <f>MAX((F5+F16),0)</f>
        <v>4293.0490877010561</v>
      </c>
      <c r="G18" s="21"/>
      <c r="H18" s="21"/>
      <c r="I18" s="21"/>
      <c r="J18" s="21">
        <f>MAX((J5+J16),0)</f>
        <v>37.793029549045166</v>
      </c>
      <c r="K18" s="21"/>
      <c r="L18" s="21">
        <f>MAX((L5+L16),0)</f>
        <v>0</v>
      </c>
      <c r="M18" s="21"/>
      <c r="N18" s="21">
        <f>MAX((N5+N16),0)</f>
        <v>400.81518453063927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0.21937113228974037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2277.9314280075469</v>
      </c>
      <c r="C22" s="23">
        <f ca="1">C18*C20</f>
        <v>0</v>
      </c>
      <c r="D22" s="23">
        <f>D18*D20</f>
        <v>1800.369477030416</v>
      </c>
      <c r="E22" s="23">
        <f>E18*E20</f>
        <v>28.413665802238391</v>
      </c>
      <c r="F22" s="23">
        <f>F18*F20</f>
        <v>1146.2441064161821</v>
      </c>
      <c r="G22" s="23"/>
      <c r="H22" s="23"/>
      <c r="I22" s="23"/>
      <c r="J22" s="23">
        <f>J18*J20</f>
        <v>13.378732460361988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55.851089443005705</v>
      </c>
      <c r="C30" s="39">
        <f>IF(ISERROR(B30*3.6/1000000/'E Balans VL '!Z18*100),0,B30*3.6/1000000/'E Balans VL '!Z18*100)</f>
        <v>3.7180411297540864E-3</v>
      </c>
      <c r="D30" s="238" t="s">
        <v>720</v>
      </c>
    </row>
    <row r="31" spans="1:18">
      <c r="A31" s="6" t="s">
        <v>33</v>
      </c>
      <c r="B31" s="37">
        <f>IF( ISERROR(IND_ander_ele_kWh/1000),0,IND_ander_ele_kWh/1000)</f>
        <v>3989.3748132409501</v>
      </c>
      <c r="C31" s="39">
        <f>IF(ISERROR(B31*3.6/1000000/'E Balans VL '!Z19*100),0,B31*3.6/1000000/'E Balans VL '!Z19*100)</f>
        <v>0.17683317579061458</v>
      </c>
      <c r="D31" s="238" t="s">
        <v>720</v>
      </c>
    </row>
    <row r="32" spans="1:18">
      <c r="A32" s="172" t="s">
        <v>41</v>
      </c>
      <c r="B32" s="37">
        <f>IF( ISERROR(IND_voed_ele_kWh/1000),0,IND_voed_ele_kWh/1000)</f>
        <v>1916.3711624416799</v>
      </c>
      <c r="C32" s="39">
        <f>IF(ISERROR(B32*3.6/1000000/'E Balans VL '!Z20*100),0,B32*3.6/1000000/'E Balans VL '!Z20*100)</f>
        <v>6.4012294182920065E-2</v>
      </c>
      <c r="D32" s="238" t="s">
        <v>720</v>
      </c>
    </row>
    <row r="33" spans="1:5">
      <c r="A33" s="172" t="s">
        <v>40</v>
      </c>
      <c r="B33" s="37">
        <f>IF( ISERROR(IND_textiel_ele_kWh/1000),0,IND_textiel_ele_kWh/1000)</f>
        <v>144.220790338538</v>
      </c>
      <c r="C33" s="39">
        <f>IF(ISERROR(B33*3.6/1000000/'E Balans VL '!Z21*100),0,B33*3.6/1000000/'E Balans VL '!Z21*100)</f>
        <v>1.8986999626976763E-2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62.067192446462201</v>
      </c>
      <c r="C35" s="39">
        <f>IF(ISERROR(B35*3.6/1000000/'E Balans VL '!Z22*100),0,B35*3.6/1000000/'E Balans VL '!Z22*100)</f>
        <v>1.2071387161481989E-2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4216.0310317990097</v>
      </c>
      <c r="C37" s="39">
        <f>IF(ISERROR(B37*3.6/1000000/'E Balans VL '!Z15*100),0,B37*3.6/1000000/'E Balans VL '!Z15*100)</f>
        <v>3.1360402374507358E-2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1733.8370693909042</v>
      </c>
      <c r="C5" s="17">
        <f>'Eigen informatie GS &amp; warmtenet'!B60</f>
        <v>0</v>
      </c>
      <c r="D5" s="30">
        <f>IF(ISERROR(SUM(LB_lb_gas_kWh,LB_rest_gas_kWh,onbekend_gas_kWh)/1000),0,SUM(LB_lb_gas_kWh,LB_rest_gas_kWh,onbekend_gas_kWh)/1000)*0.902</f>
        <v>13940.042915908596</v>
      </c>
      <c r="E5" s="17">
        <f>B17*'E Balans VL '!I25/3.6*1000000/100</f>
        <v>18.157117151079966</v>
      </c>
      <c r="F5" s="17">
        <f>B17*('E Balans VL '!L25/3.6*1000000+'E Balans VL '!N25/3.6*1000000)/100</f>
        <v>8905.2632573290284</v>
      </c>
      <c r="G5" s="18"/>
      <c r="H5" s="17"/>
      <c r="I5" s="17"/>
      <c r="J5" s="17">
        <f>('E Balans VL '!D25+'E Balans VL '!E25)/3.6*1000000*landbouw!B17/100</f>
        <v>154.84719094337888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1733.8370693909042</v>
      </c>
      <c r="C8" s="21">
        <f>C5+C6</f>
        <v>0</v>
      </c>
      <c r="D8" s="21">
        <f>MAX((D5+D6),0)</f>
        <v>13940.042915908596</v>
      </c>
      <c r="E8" s="21">
        <f>MAX((E5+E6),0)</f>
        <v>18.157117151079966</v>
      </c>
      <c r="F8" s="21">
        <f>MAX((F5+F6),0)</f>
        <v>8905.2632573290284</v>
      </c>
      <c r="G8" s="21"/>
      <c r="H8" s="21"/>
      <c r="I8" s="21"/>
      <c r="J8" s="21">
        <f>MAX((J5+J6),0)</f>
        <v>154.84719094337888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0.21937113228974037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380.3538011182078</v>
      </c>
      <c r="C12" s="23">
        <f ca="1">C8*C10</f>
        <v>0</v>
      </c>
      <c r="D12" s="23">
        <f>D8*D10</f>
        <v>2815.8886690135364</v>
      </c>
      <c r="E12" s="23">
        <f>E8*E10</f>
        <v>4.1216655932951527</v>
      </c>
      <c r="F12" s="23">
        <f>F8*F10</f>
        <v>2377.7052897068506</v>
      </c>
      <c r="G12" s="23"/>
      <c r="H12" s="23"/>
      <c r="I12" s="23"/>
      <c r="J12" s="23">
        <f>J8*J10</f>
        <v>54.815905593956117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0.26687099421976279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347.17318782895995</v>
      </c>
      <c r="C26" s="248">
        <f>B26*'GWP N2O_CH4'!B5</f>
        <v>7290.6369444081593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69.204293720364205</v>
      </c>
      <c r="C27" s="248">
        <f>B27*'GWP N2O_CH4'!B5</f>
        <v>1453.2901681276483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5.181660882263639</v>
      </c>
      <c r="C28" s="248">
        <f>B28*'GWP N2O_CH4'!B4</f>
        <v>1606.314873501728</v>
      </c>
      <c r="D28" s="50"/>
    </row>
    <row r="29" spans="1:4">
      <c r="A29" s="41" t="s">
        <v>278</v>
      </c>
      <c r="B29" s="248">
        <f>B34*'ha_N2O bodem landbouw'!B4</f>
        <v>31.165824035161801</v>
      </c>
      <c r="C29" s="248">
        <f>B29*'GWP N2O_CH4'!B4</f>
        <v>9661.405450900158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5.150561744291857E-3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4.501244838622435E-6</v>
      </c>
      <c r="C5" s="446" t="s">
        <v>212</v>
      </c>
      <c r="D5" s="431">
        <f>SUM(D6:D11)</f>
        <v>2.2601118086606678E-5</v>
      </c>
      <c r="E5" s="431">
        <f>SUM(E6:E11)</f>
        <v>2.2861837937642681E-3</v>
      </c>
      <c r="F5" s="444" t="s">
        <v>212</v>
      </c>
      <c r="G5" s="431">
        <f>SUM(G6:G11)</f>
        <v>0.40911718546796016</v>
      </c>
      <c r="H5" s="431">
        <f>SUM(H6:H11)</f>
        <v>7.509037495806456E-2</v>
      </c>
      <c r="I5" s="446" t="s">
        <v>212</v>
      </c>
      <c r="J5" s="446" t="s">
        <v>212</v>
      </c>
      <c r="K5" s="446" t="s">
        <v>212</v>
      </c>
      <c r="L5" s="446" t="s">
        <v>212</v>
      </c>
      <c r="M5" s="431">
        <f>SUM(M6:M11)</f>
        <v>2.1140683599215272E-2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3.5673200404147378E-6</v>
      </c>
      <c r="C6" s="432"/>
      <c r="D6" s="432">
        <f>vkm_2011_GW_PW*SUMIFS(TableVerdeelsleutelVkm[CNG],TableVerdeelsleutelVkm[Voertuigtype],"Lichte voertuigen")*SUMIFS(TableECFTransport[EnergieConsumptieFactor (PJ per km)],TableECFTransport[Index],CONCATENATE($A6,"_CNG_CNG"))</f>
        <v>1.5378302029404271E-5</v>
      </c>
      <c r="E6" s="434">
        <f>vkm_2011_GW_PW*SUMIFS(TableVerdeelsleutelVkm[LPG],TableVerdeelsleutelVkm[Voertuigtype],"Lichte voertuigen")*SUMIFS(TableECFTransport[EnergieConsumptieFactor (PJ per km)],TableECFTransport[Index],CONCATENATE($A6,"_LPG_LPG"))</f>
        <v>1.6000179668786859E-3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0.1968066024216209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5.1815099990440497E-2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1.0895794937815544E-2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0.11602439629382859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3.9783157663996295E-5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5.0120365278728393E-3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9.3392479820769717E-7</v>
      </c>
      <c r="C8" s="432"/>
      <c r="D8" s="434">
        <f>vkm_2011_NGW_PW*SUMIFS(TableVerdeelsleutelVkm[CNG],TableVerdeelsleutelVkm[Voertuigtype],"Lichte voertuigen")*SUMIFS(TableECFTransport[EnergieConsumptieFactor (PJ per km)],TableECFTransport[Index],CONCATENATE($A8,"_CNG_CNG"))</f>
        <v>7.2228160572024085E-6</v>
      </c>
      <c r="E8" s="434">
        <f>vkm_2011_NGW_PW*SUMIFS(TableVerdeelsleutelVkm[LPG],TableVerdeelsleutelVkm[Voertuigtype],"Lichte voertuigen")*SUMIFS(TableECFTransport[EnergieConsumptieFactor (PJ per km)],TableECFTransport[Index],CONCATENATE($A8,"_LPG_LPG"))</f>
        <v>6.8616582688558211E-4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8.0051744223201216E-2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2.3230655996026899E-2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4.5315884427573651E-3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1.6234442529309421E-2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4.83581393316045E-6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7.0126369076952322E-4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1.2503457885062319</v>
      </c>
      <c r="C14" s="21"/>
      <c r="D14" s="21">
        <f t="shared" ref="D14:M14" si="0">((D5)*10^9/3600)+D12</f>
        <v>6.278088357390744</v>
      </c>
      <c r="E14" s="21">
        <f t="shared" si="0"/>
        <v>635.05105382340776</v>
      </c>
      <c r="F14" s="21"/>
      <c r="G14" s="21">
        <f t="shared" si="0"/>
        <v>113643.66262998893</v>
      </c>
      <c r="H14" s="21">
        <f t="shared" si="0"/>
        <v>20858.437488351265</v>
      </c>
      <c r="I14" s="21"/>
      <c r="J14" s="21"/>
      <c r="K14" s="21"/>
      <c r="L14" s="21"/>
      <c r="M14" s="21">
        <f t="shared" si="0"/>
        <v>5872.4121108931313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0.21937113228974037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0.27428977137832034</v>
      </c>
      <c r="C18" s="23"/>
      <c r="D18" s="23">
        <f t="shared" ref="D18:M18" si="1">D14*D16</f>
        <v>1.2681738481929303</v>
      </c>
      <c r="E18" s="23">
        <f t="shared" si="1"/>
        <v>144.15658921791356</v>
      </c>
      <c r="F18" s="23"/>
      <c r="G18" s="23">
        <f t="shared" si="1"/>
        <v>30342.857922207048</v>
      </c>
      <c r="H18" s="23">
        <f t="shared" si="1"/>
        <v>5193.7509345994649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2.2155417023978397E-3</v>
      </c>
      <c r="C50" s="322">
        <f t="shared" ref="C50:P50" si="2">SUM(C51:C52)</f>
        <v>0</v>
      </c>
      <c r="D50" s="322">
        <f t="shared" si="2"/>
        <v>0</v>
      </c>
      <c r="E50" s="322">
        <f t="shared" si="2"/>
        <v>0</v>
      </c>
      <c r="F50" s="322">
        <f t="shared" si="2"/>
        <v>0</v>
      </c>
      <c r="G50" s="322">
        <f t="shared" si="2"/>
        <v>6.3986295440028595E-3</v>
      </c>
      <c r="H50" s="322">
        <f t="shared" si="2"/>
        <v>0</v>
      </c>
      <c r="I50" s="322">
        <f t="shared" si="2"/>
        <v>0</v>
      </c>
      <c r="J50" s="322">
        <f t="shared" si="2"/>
        <v>0</v>
      </c>
      <c r="K50" s="322">
        <f t="shared" si="2"/>
        <v>0</v>
      </c>
      <c r="L50" s="322">
        <f t="shared" si="2"/>
        <v>0</v>
      </c>
      <c r="M50" s="322">
        <f t="shared" si="2"/>
        <v>2.7274577876472834E-4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6.3986295440028595E-3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2.7274577876472834E-4</v>
      </c>
      <c r="N51" s="324"/>
      <c r="O51" s="324"/>
      <c r="P51" s="327"/>
    </row>
    <row r="52" spans="1:18">
      <c r="A52" s="4" t="s">
        <v>331</v>
      </c>
      <c r="B52" s="328">
        <f>vkm_2011_tram*SUMIFS(TableECFTransport[EnergieConsumptieFactor (PJ per km)],TableECFTransport[Index],"Tram_gemiddeld_Electric_Electric")</f>
        <v>2.2155417023978397E-3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615.42825066606656</v>
      </c>
      <c r="C54" s="21">
        <f t="shared" ref="C54:P54" si="3">(C50)*10^9/3600</f>
        <v>0</v>
      </c>
      <c r="D54" s="21">
        <f t="shared" si="3"/>
        <v>0</v>
      </c>
      <c r="E54" s="21">
        <f t="shared" si="3"/>
        <v>0</v>
      </c>
      <c r="F54" s="21">
        <f t="shared" si="3"/>
        <v>0</v>
      </c>
      <c r="G54" s="21">
        <f t="shared" si="3"/>
        <v>1777.39709555635</v>
      </c>
      <c r="H54" s="21">
        <f t="shared" si="3"/>
        <v>0</v>
      </c>
      <c r="I54" s="21">
        <f t="shared" si="3"/>
        <v>0</v>
      </c>
      <c r="J54" s="21">
        <f t="shared" si="3"/>
        <v>0</v>
      </c>
      <c r="K54" s="21">
        <f t="shared" si="3"/>
        <v>0</v>
      </c>
      <c r="L54" s="21">
        <f t="shared" si="3"/>
        <v>0</v>
      </c>
      <c r="M54" s="21">
        <f t="shared" si="3"/>
        <v>75.762716323535656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0.21937113228974037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135.00719219170918</v>
      </c>
      <c r="C58" s="23">
        <f t="shared" ref="C58:P58" ca="1" si="4">C54*C56</f>
        <v>0</v>
      </c>
      <c r="D58" s="23">
        <f t="shared" si="4"/>
        <v>0</v>
      </c>
      <c r="E58" s="23">
        <f t="shared" si="4"/>
        <v>0</v>
      </c>
      <c r="F58" s="23">
        <f t="shared" si="4"/>
        <v>0</v>
      </c>
      <c r="G58" s="23">
        <f t="shared" si="4"/>
        <v>474.5650245135455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1450.6214232444104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1450.6214232444104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99109.800348806981</v>
      </c>
      <c r="D10" s="702">
        <f ca="1">tertiair!C16</f>
        <v>0</v>
      </c>
      <c r="E10" s="702">
        <f ca="1">tertiair!D16</f>
        <v>109707.02827415845</v>
      </c>
      <c r="F10" s="702">
        <f>tertiair!E16</f>
        <v>2430.158132764826</v>
      </c>
      <c r="G10" s="702">
        <f ca="1">tertiair!F16</f>
        <v>16558.389325863129</v>
      </c>
      <c r="H10" s="702">
        <f>tertiair!G16</f>
        <v>0</v>
      </c>
      <c r="I10" s="702">
        <f>tertiair!H16</f>
        <v>0</v>
      </c>
      <c r="J10" s="702">
        <f>tertiair!I16</f>
        <v>0</v>
      </c>
      <c r="K10" s="702">
        <f>tertiair!J16</f>
        <v>0</v>
      </c>
      <c r="L10" s="702">
        <f>tertiair!K16</f>
        <v>0</v>
      </c>
      <c r="M10" s="702">
        <f ca="1">tertiair!L16</f>
        <v>0</v>
      </c>
      <c r="N10" s="702">
        <f>tertiair!M16</f>
        <v>0</v>
      </c>
      <c r="O10" s="702">
        <f ca="1">tertiair!N16</f>
        <v>1926.2147116337987</v>
      </c>
      <c r="P10" s="702">
        <f>tertiair!O16</f>
        <v>0</v>
      </c>
      <c r="Q10" s="703">
        <f>tertiair!P16</f>
        <v>76.266666666666666</v>
      </c>
      <c r="R10" s="705">
        <f ca="1">SUM(C10:Q10)</f>
        <v>229807.85745989386</v>
      </c>
      <c r="S10" s="67"/>
    </row>
    <row r="11" spans="1:19" s="457" customFormat="1">
      <c r="A11" s="858" t="s">
        <v>226</v>
      </c>
      <c r="B11" s="863"/>
      <c r="C11" s="702">
        <f>huishoudens!B8</f>
        <v>84971.833764000519</v>
      </c>
      <c r="D11" s="702">
        <f>huishoudens!C8</f>
        <v>0</v>
      </c>
      <c r="E11" s="702">
        <f>huishoudens!D8</f>
        <v>235912.32841610559</v>
      </c>
      <c r="F11" s="702">
        <f>huishoudens!E8</f>
        <v>0</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0</v>
      </c>
      <c r="P11" s="702">
        <f>huishoudens!O8</f>
        <v>82.856666666666683</v>
      </c>
      <c r="Q11" s="703">
        <f>huishoudens!P8</f>
        <v>95.333333333333343</v>
      </c>
      <c r="R11" s="705">
        <f>SUM(C11:Q11)</f>
        <v>321062.3521801061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10383.916079709645</v>
      </c>
      <c r="D13" s="702">
        <f>industrie!C18</f>
        <v>0</v>
      </c>
      <c r="E13" s="702">
        <f>industrie!D18</f>
        <v>8912.7201833188901</v>
      </c>
      <c r="F13" s="702">
        <f>industrie!E18</f>
        <v>125.17033393056559</v>
      </c>
      <c r="G13" s="702">
        <f>industrie!F18</f>
        <v>4293.0490877010561</v>
      </c>
      <c r="H13" s="702">
        <f>industrie!G18</f>
        <v>0</v>
      </c>
      <c r="I13" s="702">
        <f>industrie!H18</f>
        <v>0</v>
      </c>
      <c r="J13" s="702">
        <f>industrie!I18</f>
        <v>0</v>
      </c>
      <c r="K13" s="702">
        <f>industrie!J18</f>
        <v>37.793029549045166</v>
      </c>
      <c r="L13" s="702">
        <f>industrie!K18</f>
        <v>0</v>
      </c>
      <c r="M13" s="702">
        <f>industrie!L18</f>
        <v>0</v>
      </c>
      <c r="N13" s="702">
        <f>industrie!M18</f>
        <v>0</v>
      </c>
      <c r="O13" s="702">
        <f>industrie!N18</f>
        <v>400.81518453063927</v>
      </c>
      <c r="P13" s="702">
        <f>industrie!O18</f>
        <v>0</v>
      </c>
      <c r="Q13" s="703">
        <f>industrie!P18</f>
        <v>0</v>
      </c>
      <c r="R13" s="705">
        <f>SUM(C13:Q13)</f>
        <v>24153.463898739839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194465.55019251717</v>
      </c>
      <c r="D15" s="707">
        <f t="shared" ref="D15:Q15" ca="1" si="0">SUM(D9:D14)</f>
        <v>0</v>
      </c>
      <c r="E15" s="707">
        <f t="shared" ca="1" si="0"/>
        <v>354532.07687358296</v>
      </c>
      <c r="F15" s="707">
        <f t="shared" si="0"/>
        <v>2555.3284666953914</v>
      </c>
      <c r="G15" s="707">
        <f t="shared" ca="1" si="0"/>
        <v>20851.438413564185</v>
      </c>
      <c r="H15" s="707">
        <f t="shared" si="0"/>
        <v>0</v>
      </c>
      <c r="I15" s="707">
        <f t="shared" si="0"/>
        <v>0</v>
      </c>
      <c r="J15" s="707">
        <f t="shared" si="0"/>
        <v>0</v>
      </c>
      <c r="K15" s="707">
        <f t="shared" si="0"/>
        <v>37.793029549045166</v>
      </c>
      <c r="L15" s="707">
        <f t="shared" si="0"/>
        <v>0</v>
      </c>
      <c r="M15" s="707">
        <f t="shared" ca="1" si="0"/>
        <v>0</v>
      </c>
      <c r="N15" s="707">
        <f t="shared" si="0"/>
        <v>0</v>
      </c>
      <c r="O15" s="707">
        <f t="shared" ca="1" si="0"/>
        <v>2327.029896164438</v>
      </c>
      <c r="P15" s="707">
        <f t="shared" si="0"/>
        <v>82.856666666666683</v>
      </c>
      <c r="Q15" s="708">
        <f t="shared" si="0"/>
        <v>171.60000000000002</v>
      </c>
      <c r="R15" s="709">
        <f ca="1">SUM(R9:R14)</f>
        <v>575023.67353873991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615.42825066606656</v>
      </c>
      <c r="D18" s="702">
        <f>transport!C54</f>
        <v>0</v>
      </c>
      <c r="E18" s="702">
        <f>transport!D54</f>
        <v>0</v>
      </c>
      <c r="F18" s="702">
        <f>transport!E54</f>
        <v>0</v>
      </c>
      <c r="G18" s="702">
        <f>transport!F54</f>
        <v>0</v>
      </c>
      <c r="H18" s="702">
        <f>transport!G54</f>
        <v>1777.39709555635</v>
      </c>
      <c r="I18" s="702">
        <f>transport!H54</f>
        <v>0</v>
      </c>
      <c r="J18" s="702">
        <f>transport!I54</f>
        <v>0</v>
      </c>
      <c r="K18" s="702">
        <f>transport!J54</f>
        <v>0</v>
      </c>
      <c r="L18" s="702">
        <f>transport!K54</f>
        <v>0</v>
      </c>
      <c r="M18" s="702">
        <f>transport!L54</f>
        <v>0</v>
      </c>
      <c r="N18" s="702">
        <f>transport!M54</f>
        <v>75.762716323535656</v>
      </c>
      <c r="O18" s="702">
        <f>transport!N54</f>
        <v>0</v>
      </c>
      <c r="P18" s="702">
        <f>transport!O54</f>
        <v>0</v>
      </c>
      <c r="Q18" s="703">
        <f>transport!P54</f>
        <v>0</v>
      </c>
      <c r="R18" s="705">
        <f>SUM(C18:Q18)</f>
        <v>2468.5880625459522</v>
      </c>
      <c r="S18" s="67"/>
    </row>
    <row r="19" spans="1:19" s="457" customFormat="1" ht="15" thickBot="1">
      <c r="A19" s="858" t="s">
        <v>308</v>
      </c>
      <c r="B19" s="863"/>
      <c r="C19" s="711">
        <f>transport!B14</f>
        <v>1.2503457885062319</v>
      </c>
      <c r="D19" s="711">
        <f>transport!C14</f>
        <v>0</v>
      </c>
      <c r="E19" s="711">
        <f>transport!D14</f>
        <v>6.278088357390744</v>
      </c>
      <c r="F19" s="711">
        <f>transport!E14</f>
        <v>635.05105382340776</v>
      </c>
      <c r="G19" s="711">
        <f>transport!F14</f>
        <v>0</v>
      </c>
      <c r="H19" s="711">
        <f>transport!G14</f>
        <v>113643.66262998893</v>
      </c>
      <c r="I19" s="711">
        <f>transport!H14</f>
        <v>20858.437488351265</v>
      </c>
      <c r="J19" s="711">
        <f>transport!I14</f>
        <v>0</v>
      </c>
      <c r="K19" s="711">
        <f>transport!J14</f>
        <v>0</v>
      </c>
      <c r="L19" s="711">
        <f>transport!K14</f>
        <v>0</v>
      </c>
      <c r="M19" s="711">
        <f>transport!L14</f>
        <v>0</v>
      </c>
      <c r="N19" s="711">
        <f>transport!M14</f>
        <v>5872.4121108931313</v>
      </c>
      <c r="O19" s="711">
        <f>transport!N14</f>
        <v>0</v>
      </c>
      <c r="P19" s="711">
        <f>transport!O14</f>
        <v>0</v>
      </c>
      <c r="Q19" s="712">
        <f>transport!P14</f>
        <v>0</v>
      </c>
      <c r="R19" s="713">
        <f>SUM(C19:Q19)</f>
        <v>141017.09171720265</v>
      </c>
      <c r="S19" s="67"/>
    </row>
    <row r="20" spans="1:19" s="457" customFormat="1" ht="15.75" thickBot="1">
      <c r="A20" s="714" t="s">
        <v>231</v>
      </c>
      <c r="B20" s="866"/>
      <c r="C20" s="861">
        <f>SUM(C17:C19)</f>
        <v>616.67859645457281</v>
      </c>
      <c r="D20" s="715">
        <f t="shared" ref="D20:R20" si="1">SUM(D17:D19)</f>
        <v>0</v>
      </c>
      <c r="E20" s="715">
        <f t="shared" si="1"/>
        <v>6.278088357390744</v>
      </c>
      <c r="F20" s="715">
        <f t="shared" si="1"/>
        <v>635.05105382340776</v>
      </c>
      <c r="G20" s="715">
        <f t="shared" si="1"/>
        <v>0</v>
      </c>
      <c r="H20" s="715">
        <f t="shared" si="1"/>
        <v>115421.05972554529</v>
      </c>
      <c r="I20" s="715">
        <f t="shared" si="1"/>
        <v>20858.437488351265</v>
      </c>
      <c r="J20" s="715">
        <f t="shared" si="1"/>
        <v>0</v>
      </c>
      <c r="K20" s="715">
        <f t="shared" si="1"/>
        <v>0</v>
      </c>
      <c r="L20" s="715">
        <f t="shared" si="1"/>
        <v>0</v>
      </c>
      <c r="M20" s="715">
        <f t="shared" si="1"/>
        <v>0</v>
      </c>
      <c r="N20" s="715">
        <f t="shared" si="1"/>
        <v>5948.1748272166669</v>
      </c>
      <c r="O20" s="715">
        <f t="shared" si="1"/>
        <v>0</v>
      </c>
      <c r="P20" s="715">
        <f t="shared" si="1"/>
        <v>0</v>
      </c>
      <c r="Q20" s="716">
        <f t="shared" si="1"/>
        <v>0</v>
      </c>
      <c r="R20" s="717">
        <f t="shared" si="1"/>
        <v>143485.67977974861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1733.8370693909042</v>
      </c>
      <c r="D22" s="711">
        <f>+landbouw!C8</f>
        <v>0</v>
      </c>
      <c r="E22" s="711">
        <f>+landbouw!D8</f>
        <v>13940.042915908596</v>
      </c>
      <c r="F22" s="711">
        <f>+landbouw!E8</f>
        <v>18.157117151079966</v>
      </c>
      <c r="G22" s="711">
        <f>+landbouw!F8</f>
        <v>8905.2632573290284</v>
      </c>
      <c r="H22" s="711">
        <f>+landbouw!G8</f>
        <v>0</v>
      </c>
      <c r="I22" s="711">
        <f>+landbouw!H8</f>
        <v>0</v>
      </c>
      <c r="J22" s="711">
        <f>+landbouw!I8</f>
        <v>0</v>
      </c>
      <c r="K22" s="711">
        <f>+landbouw!J8</f>
        <v>154.84719094337888</v>
      </c>
      <c r="L22" s="711">
        <f>+landbouw!K8</f>
        <v>0</v>
      </c>
      <c r="M22" s="711">
        <f>+landbouw!L8</f>
        <v>0</v>
      </c>
      <c r="N22" s="711">
        <f>+landbouw!M8</f>
        <v>0</v>
      </c>
      <c r="O22" s="711">
        <f>+landbouw!N8</f>
        <v>0</v>
      </c>
      <c r="P22" s="711">
        <f>+landbouw!O8</f>
        <v>0</v>
      </c>
      <c r="Q22" s="712">
        <f>+landbouw!P8</f>
        <v>0</v>
      </c>
      <c r="R22" s="713">
        <f>SUM(C22:Q22)</f>
        <v>24752.147550722988</v>
      </c>
      <c r="S22" s="67"/>
    </row>
    <row r="23" spans="1:19" s="457" customFormat="1" ht="17.25" thickTop="1" thickBot="1">
      <c r="A23" s="718" t="s">
        <v>116</v>
      </c>
      <c r="B23" s="852"/>
      <c r="C23" s="719">
        <f ca="1">C20+C15+C22</f>
        <v>196816.06585836265</v>
      </c>
      <c r="D23" s="719">
        <f t="shared" ref="D23:Q23" ca="1" si="2">D20+D15+D22</f>
        <v>0</v>
      </c>
      <c r="E23" s="719">
        <f t="shared" ca="1" si="2"/>
        <v>368478.397877849</v>
      </c>
      <c r="F23" s="719">
        <f t="shared" si="2"/>
        <v>3208.5366376698789</v>
      </c>
      <c r="G23" s="719">
        <f t="shared" ca="1" si="2"/>
        <v>29756.701670893213</v>
      </c>
      <c r="H23" s="719">
        <f t="shared" si="2"/>
        <v>115421.05972554529</v>
      </c>
      <c r="I23" s="719">
        <f t="shared" si="2"/>
        <v>20858.437488351265</v>
      </c>
      <c r="J23" s="719">
        <f t="shared" si="2"/>
        <v>0</v>
      </c>
      <c r="K23" s="719">
        <f t="shared" si="2"/>
        <v>192.64022049242405</v>
      </c>
      <c r="L23" s="719">
        <f t="shared" si="2"/>
        <v>0</v>
      </c>
      <c r="M23" s="719">
        <f t="shared" ca="1" si="2"/>
        <v>0</v>
      </c>
      <c r="N23" s="719">
        <f t="shared" si="2"/>
        <v>5948.1748272166669</v>
      </c>
      <c r="O23" s="719">
        <f t="shared" ca="1" si="2"/>
        <v>2327.029896164438</v>
      </c>
      <c r="P23" s="719">
        <f t="shared" si="2"/>
        <v>82.856666666666683</v>
      </c>
      <c r="Q23" s="720">
        <f t="shared" si="2"/>
        <v>171.60000000000002</v>
      </c>
      <c r="R23" s="721">
        <f ca="1">R20+R15+R22</f>
        <v>743261.50086921139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21741.829123527888</v>
      </c>
      <c r="D36" s="702">
        <f ca="1">tertiair!C20</f>
        <v>0</v>
      </c>
      <c r="E36" s="702">
        <f ca="1">tertiair!D20</f>
        <v>22160.819711380009</v>
      </c>
      <c r="F36" s="702">
        <f>tertiair!E20</f>
        <v>551.64589613761552</v>
      </c>
      <c r="G36" s="702">
        <f ca="1">tertiair!F20</f>
        <v>4421.0899500054556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48875.384681050971</v>
      </c>
    </row>
    <row r="37" spans="1:18">
      <c r="A37" s="873" t="s">
        <v>226</v>
      </c>
      <c r="B37" s="880"/>
      <c r="C37" s="702">
        <f ca="1">huishoudens!B12</f>
        <v>18640.367385544385</v>
      </c>
      <c r="D37" s="702">
        <f ca="1">huishoudens!C12</f>
        <v>0</v>
      </c>
      <c r="E37" s="702">
        <f>huishoudens!D12</f>
        <v>47654.290340053332</v>
      </c>
      <c r="F37" s="702">
        <f>huishoudens!E12</f>
        <v>0</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66294.657725597717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2277.9314280075469</v>
      </c>
      <c r="D39" s="702">
        <f ca="1">industrie!C22</f>
        <v>0</v>
      </c>
      <c r="E39" s="702">
        <f>industrie!D22</f>
        <v>1800.369477030416</v>
      </c>
      <c r="F39" s="702">
        <f>industrie!E22</f>
        <v>28.413665802238391</v>
      </c>
      <c r="G39" s="702">
        <f>industrie!F22</f>
        <v>1146.2441064161821</v>
      </c>
      <c r="H39" s="702">
        <f>industrie!G22</f>
        <v>0</v>
      </c>
      <c r="I39" s="702">
        <f>industrie!H22</f>
        <v>0</v>
      </c>
      <c r="J39" s="702">
        <f>industrie!I22</f>
        <v>0</v>
      </c>
      <c r="K39" s="702">
        <f>industrie!J22</f>
        <v>13.378732460361988</v>
      </c>
      <c r="L39" s="702">
        <f>industrie!K22</f>
        <v>0</v>
      </c>
      <c r="M39" s="702">
        <f>industrie!L22</f>
        <v>0</v>
      </c>
      <c r="N39" s="702">
        <f>industrie!M22</f>
        <v>0</v>
      </c>
      <c r="O39" s="702">
        <f>industrie!N22</f>
        <v>0</v>
      </c>
      <c r="P39" s="702">
        <f>industrie!O22</f>
        <v>0</v>
      </c>
      <c r="Q39" s="812">
        <f>industrie!P22</f>
        <v>0</v>
      </c>
      <c r="R39" s="906">
        <f ca="1">SUM(C39:Q39)</f>
        <v>5266.3374097167452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42660.127937079822</v>
      </c>
      <c r="D41" s="747">
        <f t="shared" ref="D41:R41" ca="1" si="4">SUM(D35:D40)</f>
        <v>0</v>
      </c>
      <c r="E41" s="747">
        <f t="shared" ca="1" si="4"/>
        <v>71615.479528463751</v>
      </c>
      <c r="F41" s="747">
        <f t="shared" si="4"/>
        <v>580.05956193985389</v>
      </c>
      <c r="G41" s="747">
        <f t="shared" ca="1" si="4"/>
        <v>5567.3340564216378</v>
      </c>
      <c r="H41" s="747">
        <f t="shared" si="4"/>
        <v>0</v>
      </c>
      <c r="I41" s="747">
        <f t="shared" si="4"/>
        <v>0</v>
      </c>
      <c r="J41" s="747">
        <f t="shared" si="4"/>
        <v>0</v>
      </c>
      <c r="K41" s="747">
        <f t="shared" si="4"/>
        <v>13.378732460361988</v>
      </c>
      <c r="L41" s="747">
        <f t="shared" si="4"/>
        <v>0</v>
      </c>
      <c r="M41" s="747">
        <f t="shared" ca="1" si="4"/>
        <v>0</v>
      </c>
      <c r="N41" s="747">
        <f t="shared" si="4"/>
        <v>0</v>
      </c>
      <c r="O41" s="747">
        <f t="shared" ca="1" si="4"/>
        <v>0</v>
      </c>
      <c r="P41" s="747">
        <f t="shared" si="4"/>
        <v>0</v>
      </c>
      <c r="Q41" s="748">
        <f t="shared" si="4"/>
        <v>0</v>
      </c>
      <c r="R41" s="749">
        <f t="shared" ca="1" si="4"/>
        <v>120436.37981636543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135.00719219170918</v>
      </c>
      <c r="D44" s="702">
        <f ca="1">transport!C58</f>
        <v>0</v>
      </c>
      <c r="E44" s="702">
        <f>transport!D58</f>
        <v>0</v>
      </c>
      <c r="F44" s="702">
        <f>transport!E58</f>
        <v>0</v>
      </c>
      <c r="G44" s="702">
        <f>transport!F58</f>
        <v>0</v>
      </c>
      <c r="H44" s="702">
        <f>transport!G58</f>
        <v>474.5650245135455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609.57221670525473</v>
      </c>
    </row>
    <row r="45" spans="1:18" ht="15" thickBot="1">
      <c r="A45" s="876" t="s">
        <v>308</v>
      </c>
      <c r="B45" s="886"/>
      <c r="C45" s="711">
        <f ca="1">transport!B18</f>
        <v>0.27428977137832034</v>
      </c>
      <c r="D45" s="711">
        <f>transport!C18</f>
        <v>0</v>
      </c>
      <c r="E45" s="711">
        <f>transport!D18</f>
        <v>1.2681738481929303</v>
      </c>
      <c r="F45" s="711">
        <f>transport!E18</f>
        <v>144.15658921791356</v>
      </c>
      <c r="G45" s="711">
        <f>transport!F18</f>
        <v>0</v>
      </c>
      <c r="H45" s="711">
        <f>transport!G18</f>
        <v>30342.857922207048</v>
      </c>
      <c r="I45" s="711">
        <f>transport!H18</f>
        <v>5193.7509345994649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35682.307909643998</v>
      </c>
    </row>
    <row r="46" spans="1:18" ht="15.75" thickBot="1">
      <c r="A46" s="874" t="s">
        <v>231</v>
      </c>
      <c r="B46" s="887"/>
      <c r="C46" s="747">
        <f t="shared" ref="C46:R46" ca="1" si="5">SUM(C43:C45)</f>
        <v>135.28148196308749</v>
      </c>
      <c r="D46" s="747">
        <f t="shared" ca="1" si="5"/>
        <v>0</v>
      </c>
      <c r="E46" s="747">
        <f t="shared" si="5"/>
        <v>1.2681738481929303</v>
      </c>
      <c r="F46" s="747">
        <f t="shared" si="5"/>
        <v>144.15658921791356</v>
      </c>
      <c r="G46" s="747">
        <f t="shared" si="5"/>
        <v>0</v>
      </c>
      <c r="H46" s="747">
        <f t="shared" si="5"/>
        <v>30817.422946720591</v>
      </c>
      <c r="I46" s="747">
        <f t="shared" si="5"/>
        <v>5193.7509345994649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36291.88012634925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380.3538011182078</v>
      </c>
      <c r="D48" s="702">
        <f ca="1">+landbouw!C12</f>
        <v>0</v>
      </c>
      <c r="E48" s="702">
        <f>+landbouw!D12</f>
        <v>2815.8886690135364</v>
      </c>
      <c r="F48" s="702">
        <f>+landbouw!E12</f>
        <v>4.1216655932951527</v>
      </c>
      <c r="G48" s="702">
        <f>+landbouw!F12</f>
        <v>2377.7052897068506</v>
      </c>
      <c r="H48" s="702">
        <f>+landbouw!G12</f>
        <v>0</v>
      </c>
      <c r="I48" s="702">
        <f>+landbouw!H12</f>
        <v>0</v>
      </c>
      <c r="J48" s="702">
        <f>+landbouw!I12</f>
        <v>0</v>
      </c>
      <c r="K48" s="702">
        <f>+landbouw!J12</f>
        <v>54.815905593956117</v>
      </c>
      <c r="L48" s="702">
        <f>+landbouw!K12</f>
        <v>0</v>
      </c>
      <c r="M48" s="702">
        <f>+landbouw!L12</f>
        <v>0</v>
      </c>
      <c r="N48" s="702">
        <f>+landbouw!M12</f>
        <v>0</v>
      </c>
      <c r="O48" s="702">
        <f>+landbouw!N12</f>
        <v>0</v>
      </c>
      <c r="P48" s="702">
        <f>+landbouw!O12</f>
        <v>0</v>
      </c>
      <c r="Q48" s="703">
        <f>+landbouw!P12</f>
        <v>0</v>
      </c>
      <c r="R48" s="745">
        <f ca="1">SUM(C48:Q48)</f>
        <v>5632.8853310258455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43175.76322016112</v>
      </c>
      <c r="D53" s="757">
        <f t="shared" ref="D53:Q53" ca="1" si="6">D41+D46+D48</f>
        <v>0</v>
      </c>
      <c r="E53" s="757">
        <f t="shared" ca="1" si="6"/>
        <v>74432.636371325483</v>
      </c>
      <c r="F53" s="757">
        <f t="shared" si="6"/>
        <v>728.33781675106252</v>
      </c>
      <c r="G53" s="757">
        <f t="shared" ca="1" si="6"/>
        <v>7945.0393461284884</v>
      </c>
      <c r="H53" s="757">
        <f t="shared" si="6"/>
        <v>30817.422946720591</v>
      </c>
      <c r="I53" s="757">
        <f t="shared" si="6"/>
        <v>5193.7509345994649</v>
      </c>
      <c r="J53" s="757">
        <f t="shared" si="6"/>
        <v>0</v>
      </c>
      <c r="K53" s="757">
        <f t="shared" si="6"/>
        <v>68.194638054318105</v>
      </c>
      <c r="L53" s="757">
        <f t="shared" si="6"/>
        <v>0</v>
      </c>
      <c r="M53" s="757">
        <f t="shared" ca="1" si="6"/>
        <v>0</v>
      </c>
      <c r="N53" s="757">
        <f t="shared" si="6"/>
        <v>0</v>
      </c>
      <c r="O53" s="757">
        <f t="shared" ca="1" si="6"/>
        <v>0</v>
      </c>
      <c r="P53" s="757">
        <f>P41+P46+P48</f>
        <v>0</v>
      </c>
      <c r="Q53" s="758">
        <f t="shared" si="6"/>
        <v>0</v>
      </c>
      <c r="R53" s="759">
        <f ca="1">R41+R46+R48</f>
        <v>162361.14527374052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0.21937113228974034</v>
      </c>
      <c r="D55" s="823">
        <f t="shared" ca="1" si="7"/>
        <v>0</v>
      </c>
      <c r="E55" s="823">
        <f t="shared" ca="1" si="7"/>
        <v>0.20199999999999996</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1450.6214232444104</v>
      </c>
      <c r="C66" s="779">
        <f>'lokale energieproductie'!B6</f>
        <v>1450.6214232444104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1450.6214232444104</v>
      </c>
      <c r="C69" s="787">
        <f>SUM(C64:C68)</f>
        <v>1450.6214232444104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84971.833764000519</v>
      </c>
      <c r="C4" s="461">
        <f>huishoudens!C8</f>
        <v>0</v>
      </c>
      <c r="D4" s="461">
        <f>huishoudens!D8</f>
        <v>235912.32841610559</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82.856666666666683</v>
      </c>
      <c r="P4" s="462">
        <f>huishoudens!P8</f>
        <v>95.333333333333343</v>
      </c>
      <c r="Q4" s="463">
        <f>SUM(B4:P4)</f>
        <v>321062.3521801061</v>
      </c>
    </row>
    <row r="5" spans="1:17">
      <c r="A5" s="460" t="s">
        <v>156</v>
      </c>
      <c r="B5" s="461">
        <f ca="1">tertiair!B16</f>
        <v>95858.337348806977</v>
      </c>
      <c r="C5" s="461">
        <f ca="1">tertiair!C16</f>
        <v>0</v>
      </c>
      <c r="D5" s="461">
        <f ca="1">tertiair!D16</f>
        <v>109707.02827415845</v>
      </c>
      <c r="E5" s="461">
        <f>tertiair!E16</f>
        <v>2430.158132764826</v>
      </c>
      <c r="F5" s="461">
        <f ca="1">tertiair!F16</f>
        <v>16558.389325863129</v>
      </c>
      <c r="G5" s="461">
        <f>tertiair!G16</f>
        <v>0</v>
      </c>
      <c r="H5" s="461">
        <f>tertiair!H16</f>
        <v>0</v>
      </c>
      <c r="I5" s="461">
        <f>tertiair!I16</f>
        <v>0</v>
      </c>
      <c r="J5" s="461">
        <f>tertiair!J16</f>
        <v>0</v>
      </c>
      <c r="K5" s="461">
        <f>tertiair!K16</f>
        <v>0</v>
      </c>
      <c r="L5" s="461">
        <f ca="1">tertiair!L16</f>
        <v>0</v>
      </c>
      <c r="M5" s="461">
        <f>tertiair!M16</f>
        <v>0</v>
      </c>
      <c r="N5" s="461">
        <f ca="1">tertiair!N16</f>
        <v>1926.2147116337987</v>
      </c>
      <c r="O5" s="461">
        <f>tertiair!O16</f>
        <v>0</v>
      </c>
      <c r="P5" s="462">
        <f>tertiair!P16</f>
        <v>76.266666666666666</v>
      </c>
      <c r="Q5" s="460">
        <f t="shared" ref="Q5:Q13" ca="1" si="0">SUM(B5:P5)</f>
        <v>226556.39445989387</v>
      </c>
    </row>
    <row r="6" spans="1:17">
      <c r="A6" s="460" t="s">
        <v>195</v>
      </c>
      <c r="B6" s="461">
        <f>'openbare verlichting'!B8</f>
        <v>3251.4630000000002</v>
      </c>
      <c r="C6" s="461"/>
      <c r="D6" s="461"/>
      <c r="E6" s="461"/>
      <c r="F6" s="461"/>
      <c r="G6" s="461"/>
      <c r="H6" s="461"/>
      <c r="I6" s="461"/>
      <c r="J6" s="461"/>
      <c r="K6" s="461"/>
      <c r="L6" s="461"/>
      <c r="M6" s="461"/>
      <c r="N6" s="461"/>
      <c r="O6" s="461"/>
      <c r="P6" s="462"/>
      <c r="Q6" s="460">
        <f t="shared" si="0"/>
        <v>3251.4630000000002</v>
      </c>
    </row>
    <row r="7" spans="1:17">
      <c r="A7" s="460" t="s">
        <v>112</v>
      </c>
      <c r="B7" s="461">
        <f>landbouw!B8</f>
        <v>1733.8370693909042</v>
      </c>
      <c r="C7" s="461">
        <f>landbouw!C8</f>
        <v>0</v>
      </c>
      <c r="D7" s="461">
        <f>landbouw!D8</f>
        <v>13940.042915908596</v>
      </c>
      <c r="E7" s="461">
        <f>landbouw!E8</f>
        <v>18.157117151079966</v>
      </c>
      <c r="F7" s="461">
        <f>landbouw!F8</f>
        <v>8905.2632573290284</v>
      </c>
      <c r="G7" s="461">
        <f>landbouw!G8</f>
        <v>0</v>
      </c>
      <c r="H7" s="461">
        <f>landbouw!H8</f>
        <v>0</v>
      </c>
      <c r="I7" s="461">
        <f>landbouw!I8</f>
        <v>0</v>
      </c>
      <c r="J7" s="461">
        <f>landbouw!J8</f>
        <v>154.84719094337888</v>
      </c>
      <c r="K7" s="461">
        <f>landbouw!K8</f>
        <v>0</v>
      </c>
      <c r="L7" s="461">
        <f>landbouw!L8</f>
        <v>0</v>
      </c>
      <c r="M7" s="461">
        <f>landbouw!M8</f>
        <v>0</v>
      </c>
      <c r="N7" s="461">
        <f>landbouw!N8</f>
        <v>0</v>
      </c>
      <c r="O7" s="461">
        <f>landbouw!O8</f>
        <v>0</v>
      </c>
      <c r="P7" s="462">
        <f>landbouw!P8</f>
        <v>0</v>
      </c>
      <c r="Q7" s="460">
        <f t="shared" si="0"/>
        <v>24752.147550722988</v>
      </c>
    </row>
    <row r="8" spans="1:17">
      <c r="A8" s="460" t="s">
        <v>656</v>
      </c>
      <c r="B8" s="461">
        <f>industrie!B18</f>
        <v>10383.916079709645</v>
      </c>
      <c r="C8" s="461">
        <f>industrie!C18</f>
        <v>0</v>
      </c>
      <c r="D8" s="461">
        <f>industrie!D18</f>
        <v>8912.7201833188901</v>
      </c>
      <c r="E8" s="461">
        <f>industrie!E18</f>
        <v>125.17033393056559</v>
      </c>
      <c r="F8" s="461">
        <f>industrie!F18</f>
        <v>4293.0490877010561</v>
      </c>
      <c r="G8" s="461">
        <f>industrie!G18</f>
        <v>0</v>
      </c>
      <c r="H8" s="461">
        <f>industrie!H18</f>
        <v>0</v>
      </c>
      <c r="I8" s="461">
        <f>industrie!I18</f>
        <v>0</v>
      </c>
      <c r="J8" s="461">
        <f>industrie!J18</f>
        <v>37.793029549045166</v>
      </c>
      <c r="K8" s="461">
        <f>industrie!K18</f>
        <v>0</v>
      </c>
      <c r="L8" s="461">
        <f>industrie!L18</f>
        <v>0</v>
      </c>
      <c r="M8" s="461">
        <f>industrie!M18</f>
        <v>0</v>
      </c>
      <c r="N8" s="461">
        <f>industrie!N18</f>
        <v>400.81518453063927</v>
      </c>
      <c r="O8" s="461">
        <f>industrie!O18</f>
        <v>0</v>
      </c>
      <c r="P8" s="462">
        <f>industrie!P18</f>
        <v>0</v>
      </c>
      <c r="Q8" s="460">
        <f t="shared" si="0"/>
        <v>24153.463898739839</v>
      </c>
    </row>
    <row r="9" spans="1:17" s="466" customFormat="1">
      <c r="A9" s="464" t="s">
        <v>574</v>
      </c>
      <c r="B9" s="465">
        <f>transport!B14</f>
        <v>1.2503457885062319</v>
      </c>
      <c r="C9" s="465">
        <f>transport!C14</f>
        <v>0</v>
      </c>
      <c r="D9" s="465">
        <f>transport!D14</f>
        <v>6.278088357390744</v>
      </c>
      <c r="E9" s="465">
        <f>transport!E14</f>
        <v>635.05105382340776</v>
      </c>
      <c r="F9" s="465">
        <f>transport!F14</f>
        <v>0</v>
      </c>
      <c r="G9" s="465">
        <f>transport!G14</f>
        <v>113643.66262998893</v>
      </c>
      <c r="H9" s="465">
        <f>transport!H14</f>
        <v>20858.437488351265</v>
      </c>
      <c r="I9" s="465">
        <f>transport!I14</f>
        <v>0</v>
      </c>
      <c r="J9" s="465">
        <f>transport!J14</f>
        <v>0</v>
      </c>
      <c r="K9" s="465">
        <f>transport!K14</f>
        <v>0</v>
      </c>
      <c r="L9" s="465">
        <f>transport!L14</f>
        <v>0</v>
      </c>
      <c r="M9" s="465">
        <f>transport!M14</f>
        <v>5872.4121108931313</v>
      </c>
      <c r="N9" s="465">
        <f>transport!N14</f>
        <v>0</v>
      </c>
      <c r="O9" s="465">
        <f>transport!O14</f>
        <v>0</v>
      </c>
      <c r="P9" s="465">
        <f>transport!P14</f>
        <v>0</v>
      </c>
      <c r="Q9" s="464">
        <f>SUM(B9:P9)</f>
        <v>141017.09171720265</v>
      </c>
    </row>
    <row r="10" spans="1:17">
      <c r="A10" s="460" t="s">
        <v>564</v>
      </c>
      <c r="B10" s="461">
        <f>transport!B54</f>
        <v>615.42825066606656</v>
      </c>
      <c r="C10" s="461">
        <f>transport!C54</f>
        <v>0</v>
      </c>
      <c r="D10" s="461">
        <f>transport!D54</f>
        <v>0</v>
      </c>
      <c r="E10" s="461">
        <f>transport!E54</f>
        <v>0</v>
      </c>
      <c r="F10" s="461">
        <f>transport!F54</f>
        <v>0</v>
      </c>
      <c r="G10" s="461">
        <f>transport!G54</f>
        <v>1777.39709555635</v>
      </c>
      <c r="H10" s="461">
        <f>transport!H54</f>
        <v>0</v>
      </c>
      <c r="I10" s="461">
        <f>transport!I54</f>
        <v>0</v>
      </c>
      <c r="J10" s="461">
        <f>transport!J54</f>
        <v>0</v>
      </c>
      <c r="K10" s="461">
        <f>transport!K54</f>
        <v>0</v>
      </c>
      <c r="L10" s="461">
        <f>transport!L54</f>
        <v>0</v>
      </c>
      <c r="M10" s="461">
        <f>transport!M54</f>
        <v>75.762716323535656</v>
      </c>
      <c r="N10" s="461">
        <f>transport!N54</f>
        <v>0</v>
      </c>
      <c r="O10" s="461">
        <f>transport!O54</f>
        <v>0</v>
      </c>
      <c r="P10" s="462">
        <f>transport!P54</f>
        <v>0</v>
      </c>
      <c r="Q10" s="460">
        <f t="shared" si="0"/>
        <v>2468.5880625459522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196816.06585836262</v>
      </c>
      <c r="C14" s="471">
        <f t="shared" ref="C14:Q14" ca="1" si="1">SUM(C4:C13)</f>
        <v>0</v>
      </c>
      <c r="D14" s="471">
        <f t="shared" ca="1" si="1"/>
        <v>368478.397877849</v>
      </c>
      <c r="E14" s="471">
        <f t="shared" si="1"/>
        <v>3208.5366376698794</v>
      </c>
      <c r="F14" s="471">
        <f t="shared" ca="1" si="1"/>
        <v>29756.701670893213</v>
      </c>
      <c r="G14" s="471">
        <f t="shared" si="1"/>
        <v>115421.05972554529</v>
      </c>
      <c r="H14" s="471">
        <f t="shared" si="1"/>
        <v>20858.437488351265</v>
      </c>
      <c r="I14" s="471">
        <f t="shared" si="1"/>
        <v>0</v>
      </c>
      <c r="J14" s="471">
        <f t="shared" si="1"/>
        <v>192.64022049242405</v>
      </c>
      <c r="K14" s="471">
        <f t="shared" si="1"/>
        <v>0</v>
      </c>
      <c r="L14" s="471">
        <f t="shared" ca="1" si="1"/>
        <v>0</v>
      </c>
      <c r="M14" s="471">
        <f t="shared" si="1"/>
        <v>5948.1748272166669</v>
      </c>
      <c r="N14" s="471">
        <f t="shared" ca="1" si="1"/>
        <v>2327.029896164438</v>
      </c>
      <c r="O14" s="471">
        <f t="shared" si="1"/>
        <v>82.856666666666683</v>
      </c>
      <c r="P14" s="472">
        <f t="shared" si="1"/>
        <v>171.60000000000002</v>
      </c>
      <c r="Q14" s="472">
        <f t="shared" ca="1" si="1"/>
        <v>743261.50086921151</v>
      </c>
    </row>
    <row r="16" spans="1:17">
      <c r="A16" s="474" t="s">
        <v>569</v>
      </c>
      <c r="B16" s="828">
        <f ca="1">huishoudens!B10</f>
        <v>0.21937113228974037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18640.367385544385</v>
      </c>
      <c r="C21" s="461">
        <f t="shared" ref="C21:C30" ca="1" si="3">C4*$C$16</f>
        <v>0</v>
      </c>
      <c r="D21" s="461">
        <f t="shared" ref="D21:D30" si="4">D4*$D$16</f>
        <v>47654.290340053332</v>
      </c>
      <c r="E21" s="461">
        <f t="shared" ref="E21:E30" si="5">E4*$E$16</f>
        <v>0</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66294.657725597717</v>
      </c>
    </row>
    <row r="22" spans="1:17">
      <c r="A22" s="460" t="s">
        <v>156</v>
      </c>
      <c r="B22" s="461">
        <f t="shared" ca="1" si="2"/>
        <v>21028.552003619694</v>
      </c>
      <c r="C22" s="461">
        <f t="shared" ca="1" si="3"/>
        <v>0</v>
      </c>
      <c r="D22" s="461">
        <f t="shared" ca="1" si="4"/>
        <v>22160.819711380009</v>
      </c>
      <c r="E22" s="461">
        <f t="shared" si="5"/>
        <v>551.64589613761552</v>
      </c>
      <c r="F22" s="461">
        <f t="shared" ca="1" si="6"/>
        <v>4421.0899500054556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48162.107561142773</v>
      </c>
    </row>
    <row r="23" spans="1:17">
      <c r="A23" s="460" t="s">
        <v>195</v>
      </c>
      <c r="B23" s="461">
        <f t="shared" ca="1" si="2"/>
        <v>713.27711990819614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713.27711990819614</v>
      </c>
    </row>
    <row r="24" spans="1:17">
      <c r="A24" s="460" t="s">
        <v>112</v>
      </c>
      <c r="B24" s="461">
        <f t="shared" ca="1" si="2"/>
        <v>380.3538011182078</v>
      </c>
      <c r="C24" s="461">
        <f t="shared" ca="1" si="3"/>
        <v>0</v>
      </c>
      <c r="D24" s="461">
        <f t="shared" si="4"/>
        <v>2815.8886690135364</v>
      </c>
      <c r="E24" s="461">
        <f t="shared" si="5"/>
        <v>4.1216655932951527</v>
      </c>
      <c r="F24" s="461">
        <f t="shared" si="6"/>
        <v>2377.7052897068506</v>
      </c>
      <c r="G24" s="461">
        <f t="shared" si="7"/>
        <v>0</v>
      </c>
      <c r="H24" s="461">
        <f t="shared" si="8"/>
        <v>0</v>
      </c>
      <c r="I24" s="461">
        <f t="shared" si="9"/>
        <v>0</v>
      </c>
      <c r="J24" s="461">
        <f t="shared" si="10"/>
        <v>54.815905593956117</v>
      </c>
      <c r="K24" s="461">
        <f t="shared" si="11"/>
        <v>0</v>
      </c>
      <c r="L24" s="461">
        <f t="shared" si="12"/>
        <v>0</v>
      </c>
      <c r="M24" s="461">
        <f t="shared" si="13"/>
        <v>0</v>
      </c>
      <c r="N24" s="461">
        <f t="shared" si="14"/>
        <v>0</v>
      </c>
      <c r="O24" s="461">
        <f t="shared" si="15"/>
        <v>0</v>
      </c>
      <c r="P24" s="462">
        <f t="shared" si="16"/>
        <v>0</v>
      </c>
      <c r="Q24" s="460">
        <f t="shared" ca="1" si="17"/>
        <v>5632.8853310258455</v>
      </c>
    </row>
    <row r="25" spans="1:17">
      <c r="A25" s="460" t="s">
        <v>656</v>
      </c>
      <c r="B25" s="461">
        <f t="shared" ca="1" si="2"/>
        <v>2277.9314280075469</v>
      </c>
      <c r="C25" s="461">
        <f t="shared" ca="1" si="3"/>
        <v>0</v>
      </c>
      <c r="D25" s="461">
        <f t="shared" si="4"/>
        <v>1800.369477030416</v>
      </c>
      <c r="E25" s="461">
        <f t="shared" si="5"/>
        <v>28.413665802238391</v>
      </c>
      <c r="F25" s="461">
        <f t="shared" si="6"/>
        <v>1146.2441064161821</v>
      </c>
      <c r="G25" s="461">
        <f t="shared" si="7"/>
        <v>0</v>
      </c>
      <c r="H25" s="461">
        <f t="shared" si="8"/>
        <v>0</v>
      </c>
      <c r="I25" s="461">
        <f t="shared" si="9"/>
        <v>0</v>
      </c>
      <c r="J25" s="461">
        <f t="shared" si="10"/>
        <v>13.378732460361988</v>
      </c>
      <c r="K25" s="461">
        <f t="shared" si="11"/>
        <v>0</v>
      </c>
      <c r="L25" s="461">
        <f t="shared" si="12"/>
        <v>0</v>
      </c>
      <c r="M25" s="461">
        <f t="shared" si="13"/>
        <v>0</v>
      </c>
      <c r="N25" s="461">
        <f t="shared" si="14"/>
        <v>0</v>
      </c>
      <c r="O25" s="461">
        <f t="shared" si="15"/>
        <v>0</v>
      </c>
      <c r="P25" s="462">
        <f t="shared" si="16"/>
        <v>0</v>
      </c>
      <c r="Q25" s="460">
        <f t="shared" ca="1" si="17"/>
        <v>5266.3374097167452</v>
      </c>
    </row>
    <row r="26" spans="1:17" s="466" customFormat="1">
      <c r="A26" s="464" t="s">
        <v>574</v>
      </c>
      <c r="B26" s="822">
        <f t="shared" ca="1" si="2"/>
        <v>0.27428977137832034</v>
      </c>
      <c r="C26" s="465">
        <f t="shared" ca="1" si="3"/>
        <v>0</v>
      </c>
      <c r="D26" s="465">
        <f t="shared" si="4"/>
        <v>1.2681738481929303</v>
      </c>
      <c r="E26" s="465">
        <f t="shared" si="5"/>
        <v>144.15658921791356</v>
      </c>
      <c r="F26" s="465">
        <f t="shared" si="6"/>
        <v>0</v>
      </c>
      <c r="G26" s="465">
        <f t="shared" si="7"/>
        <v>30342.857922207048</v>
      </c>
      <c r="H26" s="465">
        <f t="shared" si="8"/>
        <v>5193.7509345994649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35682.307909643998</v>
      </c>
    </row>
    <row r="27" spans="1:17">
      <c r="A27" s="460" t="s">
        <v>564</v>
      </c>
      <c r="B27" s="461">
        <f t="shared" ca="1" si="2"/>
        <v>135.00719219170918</v>
      </c>
      <c r="C27" s="461">
        <f t="shared" ca="1" si="3"/>
        <v>0</v>
      </c>
      <c r="D27" s="461">
        <f t="shared" si="4"/>
        <v>0</v>
      </c>
      <c r="E27" s="461">
        <f t="shared" si="5"/>
        <v>0</v>
      </c>
      <c r="F27" s="461">
        <f t="shared" si="6"/>
        <v>0</v>
      </c>
      <c r="G27" s="461">
        <f t="shared" si="7"/>
        <v>474.5650245135455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609.57221670525473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43175.76322016112</v>
      </c>
      <c r="C31" s="471">
        <f t="shared" ca="1" si="18"/>
        <v>0</v>
      </c>
      <c r="D31" s="471">
        <f t="shared" ca="1" si="18"/>
        <v>74432.636371325483</v>
      </c>
      <c r="E31" s="471">
        <f t="shared" si="18"/>
        <v>728.33781675106252</v>
      </c>
      <c r="F31" s="471">
        <f t="shared" ca="1" si="18"/>
        <v>7945.0393461284884</v>
      </c>
      <c r="G31" s="471">
        <f t="shared" si="18"/>
        <v>30817.422946720591</v>
      </c>
      <c r="H31" s="471">
        <f t="shared" si="18"/>
        <v>5193.7509345994649</v>
      </c>
      <c r="I31" s="471">
        <f t="shared" si="18"/>
        <v>0</v>
      </c>
      <c r="J31" s="471">
        <f t="shared" si="18"/>
        <v>68.194638054318105</v>
      </c>
      <c r="K31" s="471">
        <f t="shared" si="18"/>
        <v>0</v>
      </c>
      <c r="L31" s="471">
        <f t="shared" ca="1" si="18"/>
        <v>0</v>
      </c>
      <c r="M31" s="471">
        <f t="shared" si="18"/>
        <v>0</v>
      </c>
      <c r="N31" s="471">
        <f t="shared" ca="1" si="18"/>
        <v>0</v>
      </c>
      <c r="O31" s="471">
        <f t="shared" si="18"/>
        <v>0</v>
      </c>
      <c r="P31" s="472">
        <f t="shared" si="18"/>
        <v>0</v>
      </c>
      <c r="Q31" s="472">
        <f t="shared" ca="1" si="18"/>
        <v>162361.14527374052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0.21937113228974037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0.21937113228974037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0.21937113228974037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2018-06-27T09:01:07Z</dcterms:modified>
</cp:coreProperties>
</file>