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N16" i="16" s="1"/>
  <c r="P58" i="1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D16" i="16" l="1"/>
  <c r="B8" i="9"/>
  <c r="O80" i="14"/>
  <c r="J8" i="18"/>
  <c r="K68" i="14" s="1"/>
  <c r="H68"/>
  <c r="C97" i="18"/>
  <c r="I100" s="1"/>
  <c r="H7" s="1"/>
  <c r="I67" i="14" s="1"/>
  <c r="B16" i="18"/>
  <c r="B78" i="14" s="1"/>
  <c r="B81" s="1"/>
  <c r="C13" i="15"/>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F100"/>
  <c r="E31" i="20"/>
  <c r="F43" i="14" s="1"/>
  <c r="H14" i="22"/>
  <c r="F8" i="17"/>
  <c r="G22" i="14" s="1"/>
  <c r="D100" i="18"/>
  <c r="H100"/>
  <c r="E9" i="14"/>
  <c r="J9"/>
  <c r="J15" s="1"/>
  <c r="N9"/>
  <c r="I11" i="48"/>
  <c r="M11"/>
  <c r="M28" s="1"/>
  <c r="M19" i="19"/>
  <c r="N35" i="14" s="1"/>
  <c r="J7" i="15"/>
  <c r="O5" i="16"/>
  <c r="B7" i="18"/>
  <c r="B67" i="14" s="1"/>
  <c r="E19" i="18"/>
  <c r="C80" i="14"/>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L41" i="14"/>
  <c r="I41"/>
  <c r="N15"/>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I24"/>
  <c r="G81" i="14"/>
  <c r="D79"/>
  <c r="H79"/>
  <c r="H81" s="1"/>
  <c r="L79"/>
  <c r="L81" s="1"/>
  <c r="F79"/>
  <c r="F81" s="1"/>
  <c r="J79"/>
  <c r="E68"/>
  <c r="E69" s="1"/>
  <c r="I68"/>
  <c r="I69" s="1"/>
  <c r="M68"/>
  <c r="M69" s="1"/>
  <c r="D19" i="18"/>
  <c r="H19"/>
  <c r="L19"/>
  <c r="B68" i="14"/>
  <c r="G68"/>
  <c r="G69" s="1"/>
  <c r="E81"/>
  <c r="I81"/>
  <c r="M81"/>
  <c r="B19" i="18"/>
  <c r="F19"/>
  <c r="D11" i="14"/>
  <c r="C4" i="48"/>
  <c r="M17" i="18"/>
  <c r="M18"/>
  <c r="D13" i="14"/>
  <c r="B100" i="18" l="1"/>
  <c r="C7" s="1"/>
  <c r="B35" i="13"/>
  <c r="B47" s="1"/>
  <c r="L8" i="17"/>
  <c r="L7" i="48" s="1"/>
  <c r="L24" s="1"/>
  <c r="L5" i="17"/>
  <c r="J81" i="14"/>
  <c r="L29" i="48"/>
  <c r="G31" i="20"/>
  <c r="H43" i="14" s="1"/>
  <c r="M8" i="18"/>
  <c r="K14" i="48"/>
  <c r="F7"/>
  <c r="F24" s="1"/>
  <c r="L30"/>
  <c r="F12" i="17"/>
  <c r="G48" i="14" s="1"/>
  <c r="N8" i="17"/>
  <c r="N5"/>
  <c r="J41" i="14"/>
  <c r="G13" i="48"/>
  <c r="G30" s="1"/>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M19" s="1"/>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O22" i="14" l="1"/>
  <c r="R22" s="1"/>
  <c r="N12" i="17"/>
  <c r="O48" i="14" s="1"/>
  <c r="N7" i="48"/>
  <c r="N24" s="1"/>
  <c r="R17" i="14"/>
  <c r="L12" i="17"/>
  <c r="M48" i="14" s="1"/>
  <c r="C14" i="48"/>
  <c r="D67" i="14"/>
  <c r="C9" i="18"/>
  <c r="K81" i="14"/>
  <c r="C78"/>
  <c r="C81" s="1"/>
  <c r="E19"/>
  <c r="E20"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M18" i="22"/>
  <c r="N45" i="14" s="1"/>
  <c r="N46" s="1"/>
  <c r="N53" s="1"/>
  <c r="E23"/>
  <c r="M9" i="48"/>
  <c r="E5"/>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<sst xmlns="http://schemas.openxmlformats.org/spreadsheetml/2006/main" count="2038" uniqueCount="899">
  <si>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</si>
  <si>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</si>
  <si>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</si>
  <si>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</si>
  <si>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</si>
  <si>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</si>
  <si>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</si>
  <si>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</si>
  <si>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</si>
  <si>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</si>
  <si>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</si>
  <si>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</si>
  <si>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</si>
  <si>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</si>
  <si>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</si>
  <si>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</si>
  <si>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</si>
  <si>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</si>
  <si>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</si>
  <si>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</si>
  <si>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</si>
  <si>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</si>
  <si>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</si>
  <si>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</si>
  <si>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</si>
  <si>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</si>
  <si>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</si>
  <si>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</si>
  <si>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</si>
  <si>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</si>
  <si>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</si>
  <si>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</si>
  <si>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</si>
  <si>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</si>
  <si>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</si>
  <si>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</si>
  <si>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</si>
  <si>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</si>
  <si>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</si>
  <si>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</si>
  <si>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</si>
  <si>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</si>
  <si>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</si>
  <si>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</si>
  <si>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</si>
  <si>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</si>
  <si>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</si>
  <si>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</si>
  <si>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</si>
  <si>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</si>
  <si>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</si>
  <si>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</si>
  <si>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</si>
  <si>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</si>
  <si>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</si>
  <si>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</si>
  <si>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</si>
  <si>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</si>
  <si>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</si>
  <si>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</si>
  <si>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</si>
  <si>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</si>
  <si>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</si>
  <si>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</si>
  <si>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</si>
  <si>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</si>
  <si>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</si>
  <si>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</si>
  <si>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</si>
  <si>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</si>
  <si>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</si>
  <si>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</si>
  <si>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</si>
  <si>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</si>
  <si>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</si>
  <si>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</si>
  <si>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</si>
  <si>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</si>
  <si>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</si>
  <si>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</si>
  <si>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</si>
  <si>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</si>
  <si>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</si>
  <si>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</si>
  <si>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</si>
  <si>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</si>
  <si>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</si>
  <si>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</si>
  <si>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</si>
  <si>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</si>
  <si>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</si>
  <si>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</si>
  <si>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</si>
  <si>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</si>
  <si>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</si>
  <si>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</si>
  <si>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</si>
  <si>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</si>
  <si>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</si>
  <si>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</si>
  <si>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</si>
  <si>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</si>
  <si>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</si>
  <si>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</si>
  <si>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</si>
  <si>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</si>
  <si>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</si>
  <si>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</si>
  <si>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</si>
  <si>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</si>
  <si>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</si>
  <si>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</si>
  <si>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</si>
  <si>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</si>
  <si>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</si>
  <si>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</si>
  <si>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</si>
  <si>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</si>
  <si>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</si>
  <si>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</si>
  <si>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</si>
  <si>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</si>
  <si>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</si>
  <si>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</si>
  <si>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</si>
  <si>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</si>
  <si>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</si>
  <si>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</si>
  <si>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</si>
  <si>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</si>
  <si>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</si>
  <si>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</si>
  <si>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</si>
  <si>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</si>
  <si>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</si>
  <si>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</si>
  <si>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</si>
  <si>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</si>
  <si>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</si>
  <si>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</si>
  <si>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</si>
  <si>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</si>
  <si>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</si>
  <si>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</si>
  <si>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</si>
  <si>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</si>
  <si>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</si>
  <si>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</si>
  <si>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</si>
  <si>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</si>
  <si>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</si>
  <si>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</si>
  <si>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</si>
  <si>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</si>
  <si>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</si>
  <si>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</si>
  <si>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</si>
  <si>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</si>
  <si>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</si>
  <si>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</si>
  <si>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</si>
  <si>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</si>
  <si>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</si>
  <si>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</si>
  <si>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</si>
  <si>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</si>
  <si>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</si>
  <si>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</si>
  <si>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</si>
  <si>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</si>
  <si>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</si>
  <si>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</si>
  <si>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</si>
  <si>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</si>
  <si>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</si>
  <si>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</si>
  <si>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</si>
  <si>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</si>
  <si>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</si>
  <si>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</si>
  <si>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</si>
  <si>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</si>
  <si>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</si>
  <si>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</si>
  <si>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</si>
  <si>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</si>
  <si>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</si>
  <si>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</si>
  <si>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</si>
  <si>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</si>
  <si>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</si>
  <si>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</si>
  <si>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</si>
  <si>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</si>
  <si>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</si>
  <si>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</si>
  <si>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</si>
  <si>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</si>
  <si>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</si>
  <si>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</si>
  <si>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</si>
  <si>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</si>
  <si>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</si>
  <si>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</si>
  <si>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</si>
  <si>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</si>
  <si>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</si>
  <si>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</si>
  <si>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</si>
  <si>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</si>
  <si>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</si>
  <si>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</si>
  <si>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</si>
  <si>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</si>
  <si>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</si>
  <si>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</si>
  <si>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</si>
  <si>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</si>
  <si>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</si>
  <si>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</si>
  <si>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</si>
  <si>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</si>
  <si>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</si>
  <si>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</si>
  <si>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</si>
  <si>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</si>
  <si>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</si>
  <si>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</si>
  <si>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</si>
  <si>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</si>
  <si>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</si>
  <si>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</si>
  <si>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</si>
  <si>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</si>
  <si>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</si>
  <si>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</si>
  <si>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</si>
  <si>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</si>
  <si>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</si>
  <si>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</si>
  <si>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</si>
  <si>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</si>
  <si>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</si>
  <si>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</si>
  <si>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</si>
  <si>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</si>
  <si>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</si>
  <si>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</si>
  <si>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</si>
  <si>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</si>
  <si>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</si>
  <si>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</si>
  <si>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</si>
  <si>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</si>
  <si>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</si>
  <si>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</si>
  <si>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</si>
  <si>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</si>
  <si>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</si>
  <si>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</si>
  <si>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</si>
  <si>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</si>
  <si>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</si>
  <si>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</si>
  <si>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</si>
  <si>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</si>
  <si>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</si>
  <si>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</si>
  <si>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</si>
  <si>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</si>
  <si>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</si>
  <si>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</si>
  <si>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</si>
  <si>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</si>
  <si>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</si>
  <si>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</si>
  <si>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</si>
  <si>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</si>
  <si>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</si>
  <si>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</si>
  <si>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</si>
  <si>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</si>
  <si>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</si>
  <si>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</si>
  <si>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</si>
  <si>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</si>
  <si>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</si>
  <si>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</si>
  <si>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</si>
  <si>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</si>
  <si>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</si>
  <si>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</si>
  <si>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</si>
  <si>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</si>
  <si>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</si>
  <si>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</si>
  <si>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</si>
  <si>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</si>
  <si>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</si>
  <si>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</si>
  <si>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</si>
  <si>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</si>
  <si>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</si>
  <si>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</si>
  <si>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</si>
  <si>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</si>
  <si>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</si>
  <si>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</si>
  <si>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</si>
  <si>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</si>
  <si>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</si>
  <si>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</si>
  <si>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</si>
  <si>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</si>
  <si>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</si>
  <si>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</si>
  <si>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</si>
  <si>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</si>
  <si>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</si>
  <si>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</si>
  <si>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</si>
  <si>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</si>
  <si>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</si>
  <si>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</si>
  <si>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</si>
  <si>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</si>
  <si>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</si>
  <si>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</si>
  <si>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</si>
  <si>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</si>
  <si>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</si>
  <si>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</si>
  <si>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</si>
  <si>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</si>
  <si>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</si>
  <si>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</si>
  <si>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</si>
  <si>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</si>
  <si>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</si>
  <si>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</si>
  <si>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</si>
  <si>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</si>
  <si>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</si>
  <si>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</si>
  <si>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</si>
  <si>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</si>
  <si>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</si>
  <si>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</si>
  <si>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</si>
  <si>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</si>
  <si>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</si>
  <si>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</si>
  <si>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</si>
  <si>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</si>
  <si>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</si>
  <si>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</si>
  <si>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</si>
  <si>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</si>
  <si>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</si>
  <si>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</si>
  <si>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</si>
  <si>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</si>
  <si>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</si>
  <si>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</si>
  <si>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</si>
  <si>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</si>
  <si>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</si>
  <si>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</si>
  <si>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</si>
  <si>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</si>
  <si>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</si>
  <si>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</si>
  <si>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</si>
  <si>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</si>
  <si>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</si>
  <si>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</si>
  <si>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</si>
  <si>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</si>
  <si>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</si>
  <si>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</si>
  <si>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</si>
  <si>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</si>
  <si>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</si>
  <si>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</si>
  <si>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</si>
  <si>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</si>
  <si>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</si>
  <si>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</si>
  <si>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</si>
  <si>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</si>
  <si>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</si>
  <si>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</si>
  <si>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</si>
  <si>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</si>
  <si>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</si>
  <si>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</si>
  <si>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</si>
  <si>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</si>
  <si>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</si>
  <si>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</si>
  <si>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</si>
  <si>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</si>
  <si>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</si>
  <si>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</si>
  <si>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</si>
  <si>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</si>
  <si>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</si>
  <si>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</si>
  <si>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</si>
  <si>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</si>
  <si>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</si>
  <si>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</si>
  <si>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</si>
  <si>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</si>
  <si>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</si>
  <si>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</si>
  <si>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</si>
  <si>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</si>
  <si>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</si>
  <si>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</si>
  <si>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</si>
  <si>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</si>
  <si>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</si>
  <si>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</si>
  <si>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</si>
  <si>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</si>
  <si>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</si>
  <si>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</si>
  <si>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</si>
  <si>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</si>
  <si>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</si>
  <si>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</si>
  <si>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</si>
  <si>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</si>
  <si>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</si>
  <si>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</si>
  <si>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</si>
  <si>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</si>
  <si>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</si>
  <si>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</si>
  <si>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</si>
  <si>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</si>
  <si>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</si>
  <si>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</si>
  <si>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</si>
  <si>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</si>
  <si>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</si>
  <si>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</si>
  <si>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</si>
  <si>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</si>
  <si>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</si>
  <si>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</si>
  <si>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</si>
  <si>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</si>
  <si>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</si>
  <si>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</si>
  <si>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</si>
  <si>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</si>
  <si>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</si>
  <si>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</si>
  <si>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</si>
  <si>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</si>
  <si>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</si>
  <si>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</si>
  <si>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</si>
  <si>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</si>
  <si>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</si>
  <si>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</si>
  <si>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</si>
  <si>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</si>
  <si>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</si>
  <si>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</si>
  <si>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</si>
  <si>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</si>
  <si>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</si>
  <si>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</si>
  <si>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</si>
  <si>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</si>
  <si>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</si>
  <si>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</si>
  <si>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</si>
  <si>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</si>
  <si>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</si>
  <si>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</si>
  <si>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</si>
  <si>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</si>
  <si>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</si>
  <si>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</si>
  <si>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</si>
  <si>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</si>
  <si>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</si>
  <si>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</si>
  <si>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</si>
  <si>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</si>
  <si>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</si>
  <si>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</si>
  <si>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</si>
  <si>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</si>
  <si>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</si>
  <si>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</si>
  <si>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</si>
  <si>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</si>
  <si>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</si>
  <si>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</si>
  <si>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</si>
  <si>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</si>
  <si>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</si>
  <si>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</si>
  <si>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</si>
  <si>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</si>
  <si>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</si>
  <si>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</si>
  <si>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</si>
  <si>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</si>
  <si>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</si>
  <si>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</si>
  <si>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</si>
  <si>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</si>
  <si>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</si>
  <si>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</si>
  <si>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</si>
  <si>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</si>
  <si>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</si>
  <si>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</si>
  <si>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</si>
  <si>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</si>
  <si>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</si>
  <si>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</si>
  <si>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</si>
  <si>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</si>
  <si>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</si>
  <si>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</si>
  <si>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</si>
  <si>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</si>
  <si>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</si>
  <si>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</si>
  <si>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</si>
  <si>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</si>
  <si>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</si>
  <si>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</si>
  <si>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</si>
  <si>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</si>
  <si>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</si>
  <si>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</si>
  <si>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</si>
  <si>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</si>
  <si>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</si>
  <si>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</si>
  <si>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</si>
  <si>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</si>
  <si>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</si>
  <si>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</si>
  <si>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</si>
  <si>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</si>
  <si>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</si>
  <si>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</si>
  <si>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</si>
  <si>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</si>
  <si>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</si>
  <si>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</si>
  <si>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</si>
  <si>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</si>
  <si>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</si>
  <si>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</si>
  <si>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</si>
  <si>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</si>
  <si>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</si>
  <si>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</si>
  <si>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</si>
  <si>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</si>
  <si>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</si>
  <si>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</si>
  <si>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</si>
  <si>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</si>
  <si>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</si>
  <si>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</si>
  <si>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</si>
  <si>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</si>
  <si>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</si>
  <si>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</si>
  <si>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</si>
  <si>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</si>
  <si>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</si>
  <si>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</si>
  <si>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</si>
  <si>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</si>
  <si>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</si>
  <si>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</si>
  <si>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</si>
  <si>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</si>
  <si>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</si>
  <si>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</si>
  <si>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</si>
  <si>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</si>
  <si>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</si>
  <si>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</si>
  <si>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</si>
  <si>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</si>
  <si>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</si>
  <si>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</si>
  <si>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</si>
  <si>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</si>
  <si>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</si>
  <si>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</si>
  <si>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</si>
  <si>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</si>
  <si>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</si>
  <si>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</si>
  <si>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</si>
  <si>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</si>
  <si>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</si>
  <si>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</si>
  <si>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</si>
  <si>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</si>
  <si>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</si>
  <si>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</si>
  <si>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</si>
  <si>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</si>
  <si>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</si>
  <si>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</si>
  <si>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</si>
  <si>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</si>
  <si>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</si>
  <si>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</si>
  <si>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</si>
  <si>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</si>
  <si>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</si>
  <si>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</si>
  <si>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</si>
  <si>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</si>
  <si>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</si>
  <si>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</si>
  <si>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</si>
  <si>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</si>
  <si>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</si>
  <si>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</si>
  <si>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</si>
  <si>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</si>
  <si>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</si>
  <si>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</si>
  <si>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</si>
  <si>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</si>
  <si>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</si>
  <si>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</si>
  <si>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</si>
  <si>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</si>
  <si>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</si>
  <si>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</si>
  <si>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</si>
  <si>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</si>
  <si>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</si>
  <si>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</si>
  <si>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</si>
  <si>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</si>
  <si>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</si>
  <si>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</si>
  <si>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</si>
  <si>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</si>
  <si>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</si>
  <si>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</si>
  <si>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</si>
  <si>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</si>
  <si>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</si>
  <si>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</si>
  <si>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</si>
  <si>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</si>
  <si>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</si>
  <si>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</si>
  <si>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</si>
  <si>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</si>
  <si>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</si>
  <si>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</si>
  <si>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</si>
  <si>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</si>
  <si>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</si>
  <si>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</si>
  <si>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</si>
  <si>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</si>
  <si>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</si>
  <si>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</si>
  <si>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</si>
  <si>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</si>
  <si>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</si>
  <si>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</si>
  <si>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</si>
  <si>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</si>
  <si>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</si>
  <si>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</si>
  <si>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</si>
  <si>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</si>
  <si>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</si>
  <si>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</si>
  <si>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</si>
  <si>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</si>
  <si>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</si>
  <si>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</si>
  <si>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</si>
  <si>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</si>
  <si>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</si>
  <si>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</si>
  <si>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</si>
  <si>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</si>
  <si>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</si>
  <si>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</si>
  <si>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</si>
  <si>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</si>
  <si>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</si>
  <si>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</si>
  <si>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</si>
  <si>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</si>
  <si>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</si>
  <si>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</si>
  <si>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</si>
  <si>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</si>
  <si>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</si>
  <si>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</si>
  <si>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</si>
  <si>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</si>
  <si>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</si>
  <si>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</si>
  <si>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</si>
  <si>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</si>
  <si>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</si>
  <si>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</si>
  <si>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</si>
  <si>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</si>
  <si>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</si>
  <si>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</si>
  <si>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</si>
  <si>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</si>
  <si>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</si>
  <si>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</si>
  <si>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</si>
  <si>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</si>
  <si>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</si>
  <si>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</si>
  <si>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</si>
  <si>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</si>
  <si>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</si>
  <si>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</si>
  <si>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</si>
  <si>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</si>
  <si>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</si>
  <si>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</si>
  <si>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</si>
  <si>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</si>
  <si>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</si>
  <si>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</si>
  <si>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</si>
  <si>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</si>
  <si>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</si>
  <si>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</si>
  <si>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</si>
  <si>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</si>
  <si>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</si>
  <si>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</si>
  <si>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</si>
  <si>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</si>
  <si>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</si>
  <si>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</si>
  <si>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</si>
  <si>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</si>
  <si>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</si>
  <si>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</si>
  <si>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</si>
  <si>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</si>
  <si>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</si>
  <si>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</si>
  <si>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</si>
  <si>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</si>
  <si>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</si>
  <si>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</si>
  <si>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</si>
  <si>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</si>
  <si>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</si>
  <si>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</si>
  <si>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</si>
  <si>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</si>
  <si>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</si>
  <si>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</si>
  <si>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</si>
  <si>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</si>
  <si>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</si>
  <si>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</si>
  <si>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</si>
  <si>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</si>
  <si>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</si>
  <si>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</si>
  <si>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</si>
  <si>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</si>
  <si>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</si>
  <si>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</si>
  <si>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</si>
  <si>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</si>
  <si>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</si>
  <si>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</si>
  <si>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</si>
  <si>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</si>
  <si>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</si>
  <si>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</si>
  <si>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</si>
  <si>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</si>
  <si>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</si>
  <si>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</si>
  <si>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</si>
  <si>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</si>
  <si>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</si>
  <si>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</si>
  <si>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</si>
  <si>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</si>
  <si>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</si>
  <si>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</si>
  <si>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</si>
  <si>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</si>
  <si>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</si>
  <si>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</si>
  <si>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</si>
  <si>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</si>
  <si>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</si>
  <si>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</si>
  <si>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</si>
  <si>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</si>
  <si>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</si>
  <si>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</si>
  <si>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</si>
  <si>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</si>
  <si>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</si>
  <si>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</si>
  <si>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</si>
  <si>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</si>
  <si>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</si>
  <si>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</si>
  <si>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</si>
  <si>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</si>
  <si>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</si>
  <si>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</si>
  <si>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</si>
  <si>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</si>
  <si>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</si>
  <si>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</si>
  <si>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</si>
  <si>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</si>
  <si>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</si>
  <si>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</si>
  <si>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</si>
  <si>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</si>
  <si>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</si>
  <si>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</si>
  <si>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</si>
  <si>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</si>
  <si>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</si>
  <si>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</si>
  <si>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</si>
  <si>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</si>
  <si>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</si>
  <si>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</si>
  <si>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</si>
  <si>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</si>
  <si>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</si>
  <si>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</si>
  <si>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</si>
  <si>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</si>
  <si>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</si>
  <si>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</si>
  <si>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</si>
  <si>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</si>
  <si>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</si>
  <si>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</si>
  <si>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</si>
  <si>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</si>
  <si>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</si>
  <si>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</si>
  <si>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</si>
  <si>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</si>
  <si>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</si>
  <si>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</si>
  <si>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</si>
  <si>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</si>
  <si>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</si>
  <si>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</si>
  <si>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</si>
  <si>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</si>
  <si>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</si>
  <si>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</si>
  <si>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</si>
  <si>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31005</t>
  </si>
  <si>
    <t>BRUGGE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</si>
  <si>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</si>
  <si>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</si>
  <si>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</si>
  <si>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</si>
  <si>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</si>
  <si>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</si>
  <si>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</si>
  <si>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Guido Vandenbulcke</t>
  </si>
  <si>
    <t>Groene-Poortdreef 3 , 8200 Sint-Michiels</t>
  </si>
  <si>
    <t>WKK-0279 Guido Vandenbulcke</t>
  </si>
  <si>
    <t>stirlingmotor</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</si>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</sst>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31005</v>
      </c>
      <c r="B6" s="396"/>
      <c r="C6" s="397"/>
    </row>
    <row r="7" spans="1:7" s="394" customFormat="1" ht="15.75" customHeight="1">
      <c r="A7" s="398" t="str">
        <f>txtMunicipality</f>
        <v>BRUGGE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330359.08604013198</v>
      </c>
      <c r="D10" s="702">
        <f ca="1">tertiair!C16</f>
        <v>15</v>
      </c>
      <c r="E10" s="702">
        <f ca="1">tertiair!D16</f>
        <v>352104.72103913693</v>
      </c>
      <c r="F10" s="702">
        <f>tertiair!E16</f>
        <v>7160.4514422598513</v>
      </c>
      <c r="G10" s="702">
        <f ca="1">tertiair!F16</f>
        <v>63340.456170610654</v>
      </c>
      <c r="H10" s="702">
        <f>tertiair!G16</f>
        <v>0</v>
      </c>
      <c r="I10" s="702">
        <f>tertiair!H16</f>
        <v>0</v>
      </c>
      <c r="J10" s="702">
        <f>tertiair!I16</f>
        <v>0</v>
      </c>
      <c r="K10" s="702">
        <f>tertiair!J16</f>
        <v>0</v>
      </c>
      <c r="L10" s="702">
        <f>tertiair!K16</f>
        <v>0</v>
      </c>
      <c r="M10" s="702">
        <f ca="1">tertiair!L16</f>
        <v>0</v>
      </c>
      <c r="N10" s="702">
        <f>tertiair!M16</f>
        <v>0</v>
      </c>
      <c r="O10" s="702">
        <f ca="1">tertiair!N16</f>
        <v>8283.7554719354466</v>
      </c>
      <c r="P10" s="702">
        <f>tertiair!O16</f>
        <v>6.2533333333333339</v>
      </c>
      <c r="Q10" s="703">
        <f>tertiair!P16</f>
        <v>305.06666666666666</v>
      </c>
      <c r="R10" s="705">
        <f ca="1">SUM(C10:Q10)</f>
        <v>761574.79016407474</v>
      </c>
      <c r="S10" s="67"/>
    </row>
    <row r="11" spans="1:19" s="457" customFormat="1">
      <c r="A11" s="858" t="s">
        <v>226</v>
      </c>
      <c r="B11" s="863"/>
      <c r="C11" s="702">
        <f>huishoudens!B8</f>
        <v>201263.7800711442</v>
      </c>
      <c r="D11" s="702">
        <f>huishoudens!C8</f>
        <v>0</v>
      </c>
      <c r="E11" s="702">
        <f>huishoudens!D8</f>
        <v>588686.33255492221</v>
      </c>
      <c r="F11" s="702">
        <f>huishoudens!E8</f>
        <v>8703.2577351914424</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46935.1679651085</v>
      </c>
      <c r="P11" s="702">
        <f>huishoudens!O8</f>
        <v>325.17333333333335</v>
      </c>
      <c r="Q11" s="703">
        <f>huishoudens!P8</f>
        <v>343.2</v>
      </c>
      <c r="R11" s="705">
        <f>SUM(C11:Q11)</f>
        <v>846256.91165969975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103116.37513233896</v>
      </c>
      <c r="D13" s="702">
        <f>industrie!C18</f>
        <v>0</v>
      </c>
      <c r="E13" s="702">
        <f>industrie!D18</f>
        <v>140994.56851832851</v>
      </c>
      <c r="F13" s="702">
        <f>industrie!E18</f>
        <v>1155.6238958043705</v>
      </c>
      <c r="G13" s="702">
        <f>industrie!F18</f>
        <v>27874.402353193414</v>
      </c>
      <c r="H13" s="702">
        <f>industrie!G18</f>
        <v>0</v>
      </c>
      <c r="I13" s="702">
        <f>industrie!H18</f>
        <v>0</v>
      </c>
      <c r="J13" s="702">
        <f>industrie!I18</f>
        <v>0</v>
      </c>
      <c r="K13" s="702">
        <f>industrie!J18</f>
        <v>549.55633465397318</v>
      </c>
      <c r="L13" s="702">
        <f>industrie!K18</f>
        <v>0</v>
      </c>
      <c r="M13" s="702">
        <f>industrie!L18</f>
        <v>0</v>
      </c>
      <c r="N13" s="702">
        <f>industrie!M18</f>
        <v>0</v>
      </c>
      <c r="O13" s="702">
        <f>industrie!N18</f>
        <v>2459.5835245576664</v>
      </c>
      <c r="P13" s="702">
        <f>industrie!O18</f>
        <v>0</v>
      </c>
      <c r="Q13" s="703">
        <f>industrie!P18</f>
        <v>0</v>
      </c>
      <c r="R13" s="705">
        <f>SUM(C13:Q13)</f>
        <v>276150.1097588769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634739.24124361516</v>
      </c>
      <c r="D15" s="707">
        <f t="shared" ref="D15:Q15" ca="1" si="0">SUM(D9:D14)</f>
        <v>15</v>
      </c>
      <c r="E15" s="707">
        <f t="shared" ca="1" si="0"/>
        <v>1081785.6221123876</v>
      </c>
      <c r="F15" s="707">
        <f t="shared" si="0"/>
        <v>17019.333073255664</v>
      </c>
      <c r="G15" s="707">
        <f t="shared" ca="1" si="0"/>
        <v>91214.858523804069</v>
      </c>
      <c r="H15" s="707">
        <f t="shared" si="0"/>
        <v>0</v>
      </c>
      <c r="I15" s="707">
        <f t="shared" si="0"/>
        <v>0</v>
      </c>
      <c r="J15" s="707">
        <f t="shared" si="0"/>
        <v>0</v>
      </c>
      <c r="K15" s="707">
        <f t="shared" si="0"/>
        <v>549.55633465397318</v>
      </c>
      <c r="L15" s="707">
        <f t="shared" si="0"/>
        <v>0</v>
      </c>
      <c r="M15" s="707">
        <f t="shared" ca="1" si="0"/>
        <v>0</v>
      </c>
      <c r="N15" s="707">
        <f t="shared" si="0"/>
        <v>0</v>
      </c>
      <c r="O15" s="707">
        <f t="shared" ca="1" si="0"/>
        <v>57678.506961601612</v>
      </c>
      <c r="P15" s="707">
        <f t="shared" si="0"/>
        <v>331.42666666666668</v>
      </c>
      <c r="Q15" s="708">
        <f t="shared" si="0"/>
        <v>648.26666666666665</v>
      </c>
      <c r="R15" s="709">
        <f ca="1">SUM(R9:R14)</f>
        <v>1883981.8115826515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807.95096258909018</v>
      </c>
      <c r="D18" s="702">
        <f>transport!C54</f>
        <v>0</v>
      </c>
      <c r="E18" s="702">
        <f>transport!D54</f>
        <v>0</v>
      </c>
      <c r="F18" s="702">
        <f>transport!E54</f>
        <v>0</v>
      </c>
      <c r="G18" s="702">
        <f>transport!F54</f>
        <v>0</v>
      </c>
      <c r="H18" s="702">
        <f>transport!G54</f>
        <v>25449.775873128736</v>
      </c>
      <c r="I18" s="702">
        <f>transport!H54</f>
        <v>0</v>
      </c>
      <c r="J18" s="702">
        <f>transport!I54</f>
        <v>0</v>
      </c>
      <c r="K18" s="702">
        <f>transport!J54</f>
        <v>0</v>
      </c>
      <c r="L18" s="702">
        <f>transport!K54</f>
        <v>0</v>
      </c>
      <c r="M18" s="702">
        <f>transport!L54</f>
        <v>0</v>
      </c>
      <c r="N18" s="702">
        <f>transport!M54</f>
        <v>1084.8133795165668</v>
      </c>
      <c r="O18" s="702">
        <f>transport!N54</f>
        <v>0</v>
      </c>
      <c r="P18" s="702">
        <f>transport!O54</f>
        <v>0</v>
      </c>
      <c r="Q18" s="703">
        <f>transport!P54</f>
        <v>0</v>
      </c>
      <c r="R18" s="705">
        <f>SUM(C18:Q18)</f>
        <v>27342.540215234392</v>
      </c>
      <c r="S18" s="67"/>
    </row>
    <row r="19" spans="1:19" s="457" customFormat="1" ht="15" thickBot="1">
      <c r="A19" s="858" t="s">
        <v>308</v>
      </c>
      <c r="B19" s="863"/>
      <c r="C19" s="711">
        <f>transport!B14</f>
        <v>6.3849998920993238</v>
      </c>
      <c r="D19" s="711">
        <f>transport!C14</f>
        <v>0</v>
      </c>
      <c r="E19" s="711">
        <f>transport!D14</f>
        <v>31.701033552821375</v>
      </c>
      <c r="F19" s="711">
        <f>transport!E14</f>
        <v>3294.3540660779167</v>
      </c>
      <c r="G19" s="711">
        <f>transport!F14</f>
        <v>0</v>
      </c>
      <c r="H19" s="711">
        <f>transport!G14</f>
        <v>597487.1999046494</v>
      </c>
      <c r="I19" s="711">
        <f>transport!H14</f>
        <v>106035.36640566433</v>
      </c>
      <c r="J19" s="711">
        <f>transport!I14</f>
        <v>0</v>
      </c>
      <c r="K19" s="711">
        <f>transport!J14</f>
        <v>0</v>
      </c>
      <c r="L19" s="711">
        <f>transport!K14</f>
        <v>0</v>
      </c>
      <c r="M19" s="711">
        <f>transport!L14</f>
        <v>0</v>
      </c>
      <c r="N19" s="711">
        <f>transport!M14</f>
        <v>30706.605985988663</v>
      </c>
      <c r="O19" s="711">
        <f>transport!N14</f>
        <v>0</v>
      </c>
      <c r="P19" s="711">
        <f>transport!O14</f>
        <v>0</v>
      </c>
      <c r="Q19" s="712">
        <f>transport!P14</f>
        <v>0</v>
      </c>
      <c r="R19" s="713">
        <f>SUM(C19:Q19)</f>
        <v>737561.61239582521</v>
      </c>
      <c r="S19" s="67"/>
    </row>
    <row r="20" spans="1:19" s="457" customFormat="1" ht="15.75" thickBot="1">
      <c r="A20" s="714" t="s">
        <v>231</v>
      </c>
      <c r="B20" s="866"/>
      <c r="C20" s="861">
        <f>SUM(C17:C19)</f>
        <v>814.33596248118954</v>
      </c>
      <c r="D20" s="715">
        <f t="shared" ref="D20:R20" si="1">SUM(D17:D19)</f>
        <v>0</v>
      </c>
      <c r="E20" s="715">
        <f t="shared" si="1"/>
        <v>31.701033552821375</v>
      </c>
      <c r="F20" s="715">
        <f t="shared" si="1"/>
        <v>3294.3540660779167</v>
      </c>
      <c r="G20" s="715">
        <f t="shared" si="1"/>
        <v>0</v>
      </c>
      <c r="H20" s="715">
        <f t="shared" si="1"/>
        <v>622936.97577777819</v>
      </c>
      <c r="I20" s="715">
        <f t="shared" si="1"/>
        <v>106035.36640566433</v>
      </c>
      <c r="J20" s="715">
        <f t="shared" si="1"/>
        <v>0</v>
      </c>
      <c r="K20" s="715">
        <f t="shared" si="1"/>
        <v>0</v>
      </c>
      <c r="L20" s="715">
        <f t="shared" si="1"/>
        <v>0</v>
      </c>
      <c r="M20" s="715">
        <f t="shared" si="1"/>
        <v>0</v>
      </c>
      <c r="N20" s="715">
        <f t="shared" si="1"/>
        <v>31791.41936550523</v>
      </c>
      <c r="O20" s="715">
        <f t="shared" si="1"/>
        <v>0</v>
      </c>
      <c r="P20" s="715">
        <f t="shared" si="1"/>
        <v>0</v>
      </c>
      <c r="Q20" s="716">
        <f t="shared" si="1"/>
        <v>0</v>
      </c>
      <c r="R20" s="717">
        <f t="shared" si="1"/>
        <v>764904.1526110596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8612.3261018391513</v>
      </c>
      <c r="D22" s="711">
        <f>+landbouw!C8</f>
        <v>0</v>
      </c>
      <c r="E22" s="711">
        <f>+landbouw!D8</f>
        <v>56222.912722296896</v>
      </c>
      <c r="F22" s="711">
        <f>+landbouw!E8</f>
        <v>90.190143431027067</v>
      </c>
      <c r="G22" s="711">
        <f>+landbouw!F8</f>
        <v>44234.278150360937</v>
      </c>
      <c r="H22" s="711">
        <f>+landbouw!G8</f>
        <v>0</v>
      </c>
      <c r="I22" s="711">
        <f>+landbouw!H8</f>
        <v>0</v>
      </c>
      <c r="J22" s="711">
        <f>+landbouw!I8</f>
        <v>0</v>
      </c>
      <c r="K22" s="711">
        <f>+landbouw!J8</f>
        <v>769.15791448998334</v>
      </c>
      <c r="L22" s="711">
        <f>+landbouw!K8</f>
        <v>0</v>
      </c>
      <c r="M22" s="711">
        <f>+landbouw!L8</f>
        <v>0</v>
      </c>
      <c r="N22" s="711">
        <f>+landbouw!M8</f>
        <v>0</v>
      </c>
      <c r="O22" s="711">
        <f>+landbouw!N8</f>
        <v>0</v>
      </c>
      <c r="P22" s="711">
        <f>+landbouw!O8</f>
        <v>0</v>
      </c>
      <c r="Q22" s="712">
        <f>+landbouw!P8</f>
        <v>0</v>
      </c>
      <c r="R22" s="713">
        <f>SUM(C22:Q22)</f>
        <v>109928.86503241801</v>
      </c>
      <c r="S22" s="67"/>
    </row>
    <row r="23" spans="1:19" s="457" customFormat="1" ht="17.25" thickTop="1" thickBot="1">
      <c r="A23" s="718" t="s">
        <v>116</v>
      </c>
      <c r="B23" s="852"/>
      <c r="C23" s="719">
        <f ca="1">C20+C15+C22</f>
        <v>644165.90330793557</v>
      </c>
      <c r="D23" s="719">
        <f t="shared" ref="D23:Q23" ca="1" si="2">D20+D15+D22</f>
        <v>15</v>
      </c>
      <c r="E23" s="719">
        <f t="shared" ca="1" si="2"/>
        <v>1138040.2358682374</v>
      </c>
      <c r="F23" s="719">
        <f t="shared" si="2"/>
        <v>20403.87728276461</v>
      </c>
      <c r="G23" s="719">
        <f t="shared" ca="1" si="2"/>
        <v>135449.136674165</v>
      </c>
      <c r="H23" s="719">
        <f t="shared" si="2"/>
        <v>622936.97577777819</v>
      </c>
      <c r="I23" s="719">
        <f t="shared" si="2"/>
        <v>106035.36640566433</v>
      </c>
      <c r="J23" s="719">
        <f t="shared" si="2"/>
        <v>0</v>
      </c>
      <c r="K23" s="719">
        <f t="shared" si="2"/>
        <v>1318.7142491439565</v>
      </c>
      <c r="L23" s="719">
        <f t="shared" si="2"/>
        <v>0</v>
      </c>
      <c r="M23" s="719">
        <f t="shared" ca="1" si="2"/>
        <v>0</v>
      </c>
      <c r="N23" s="719">
        <f t="shared" si="2"/>
        <v>31791.41936550523</v>
      </c>
      <c r="O23" s="719">
        <f t="shared" ca="1" si="2"/>
        <v>57678.506961601612</v>
      </c>
      <c r="P23" s="719">
        <f t="shared" si="2"/>
        <v>331.42666666666668</v>
      </c>
      <c r="Q23" s="720">
        <f t="shared" si="2"/>
        <v>648.26666666666665</v>
      </c>
      <c r="R23" s="721">
        <f ca="1">R20+R15+R22</f>
        <v>2758814.8292261292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64286.203330924844</v>
      </c>
      <c r="D36" s="702">
        <f ca="1">tertiair!C20</f>
        <v>3.3666666666666671</v>
      </c>
      <c r="E36" s="702">
        <f ca="1">tertiair!D20</f>
        <v>71125.153649905667</v>
      </c>
      <c r="F36" s="702">
        <f>tertiair!E20</f>
        <v>1625.4224773929864</v>
      </c>
      <c r="G36" s="702">
        <f ca="1">tertiair!F20</f>
        <v>16911.901797553044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153952.04792244319</v>
      </c>
    </row>
    <row r="37" spans="1:18">
      <c r="A37" s="873" t="s">
        <v>226</v>
      </c>
      <c r="B37" s="880"/>
      <c r="C37" s="702">
        <f ca="1">huishoudens!B12</f>
        <v>39164.911260325833</v>
      </c>
      <c r="D37" s="702">
        <f ca="1">huishoudens!C12</f>
        <v>0</v>
      </c>
      <c r="E37" s="702">
        <f>huishoudens!D12</f>
        <v>118914.63917609429</v>
      </c>
      <c r="F37" s="702">
        <f>huishoudens!E12</f>
        <v>1975.6395058884575</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160055.18994230859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20065.923834467139</v>
      </c>
      <c r="D39" s="702">
        <f ca="1">industrie!C22</f>
        <v>0</v>
      </c>
      <c r="E39" s="702">
        <f>industrie!D22</f>
        <v>28480.902840702362</v>
      </c>
      <c r="F39" s="702">
        <f>industrie!E22</f>
        <v>262.32662434759209</v>
      </c>
      <c r="G39" s="702">
        <f>industrie!F22</f>
        <v>7442.4654283026421</v>
      </c>
      <c r="H39" s="702">
        <f>industrie!G22</f>
        <v>0</v>
      </c>
      <c r="I39" s="702">
        <f>industrie!H22</f>
        <v>0</v>
      </c>
      <c r="J39" s="702">
        <f>industrie!I22</f>
        <v>0</v>
      </c>
      <c r="K39" s="702">
        <f>industrie!J22</f>
        <v>194.54294246750649</v>
      </c>
      <c r="L39" s="702">
        <f>industrie!K22</f>
        <v>0</v>
      </c>
      <c r="M39" s="702">
        <f>industrie!L22</f>
        <v>0</v>
      </c>
      <c r="N39" s="702">
        <f>industrie!M22</f>
        <v>0</v>
      </c>
      <c r="O39" s="702">
        <f>industrie!N22</f>
        <v>0</v>
      </c>
      <c r="P39" s="702">
        <f>industrie!O22</f>
        <v>0</v>
      </c>
      <c r="Q39" s="812">
        <f>industrie!P22</f>
        <v>0</v>
      </c>
      <c r="R39" s="906">
        <f ca="1">SUM(C39:Q39)</f>
        <v>56446.161670287249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123517.03842571782</v>
      </c>
      <c r="D41" s="747">
        <f t="shared" ref="D41:R41" ca="1" si="4">SUM(D35:D40)</f>
        <v>3.3666666666666671</v>
      </c>
      <c r="E41" s="747">
        <f t="shared" ca="1" si="4"/>
        <v>218520.69566670232</v>
      </c>
      <c r="F41" s="747">
        <f t="shared" si="4"/>
        <v>3863.3886076290355</v>
      </c>
      <c r="G41" s="747">
        <f t="shared" ca="1" si="4"/>
        <v>24354.367225855687</v>
      </c>
      <c r="H41" s="747">
        <f t="shared" si="4"/>
        <v>0</v>
      </c>
      <c r="I41" s="747">
        <f t="shared" si="4"/>
        <v>0</v>
      </c>
      <c r="J41" s="747">
        <f t="shared" si="4"/>
        <v>0</v>
      </c>
      <c r="K41" s="747">
        <f t="shared" si="4"/>
        <v>194.54294246750649</v>
      </c>
      <c r="L41" s="747">
        <f t="shared" si="4"/>
        <v>0</v>
      </c>
      <c r="M41" s="747">
        <f t="shared" ca="1" si="4"/>
        <v>0</v>
      </c>
      <c r="N41" s="747">
        <f t="shared" si="4"/>
        <v>0</v>
      </c>
      <c r="O41" s="747">
        <f t="shared" ca="1" si="4"/>
        <v>0</v>
      </c>
      <c r="P41" s="747">
        <f t="shared" si="4"/>
        <v>0</v>
      </c>
      <c r="Q41" s="748">
        <f t="shared" si="4"/>
        <v>0</v>
      </c>
      <c r="R41" s="749">
        <f t="shared" ca="1" si="4"/>
        <v>370453.39953503903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157.22316127278856</v>
      </c>
      <c r="D44" s="702">
        <f ca="1">transport!C58</f>
        <v>0</v>
      </c>
      <c r="E44" s="702">
        <f>transport!D58</f>
        <v>0</v>
      </c>
      <c r="F44" s="702">
        <f>transport!E58</f>
        <v>0</v>
      </c>
      <c r="G44" s="702">
        <f>transport!F58</f>
        <v>0</v>
      </c>
      <c r="H44" s="702">
        <f>transport!G58</f>
        <v>6795.0901581253729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6952.3133193981612</v>
      </c>
    </row>
    <row r="45" spans="1:18" ht="15" thickBot="1">
      <c r="A45" s="876" t="s">
        <v>308</v>
      </c>
      <c r="B45" s="886"/>
      <c r="C45" s="711">
        <f ca="1">transport!B18</f>
        <v>1.2424886091420135</v>
      </c>
      <c r="D45" s="711">
        <f>transport!C18</f>
        <v>0</v>
      </c>
      <c r="E45" s="711">
        <f>transport!D18</f>
        <v>6.403608777669918</v>
      </c>
      <c r="F45" s="711">
        <f>transport!E18</f>
        <v>747.81837299968709</v>
      </c>
      <c r="G45" s="711">
        <f>transport!F18</f>
        <v>0</v>
      </c>
      <c r="H45" s="711">
        <f>transport!G18</f>
        <v>159529.08237454141</v>
      </c>
      <c r="I45" s="711">
        <f>transport!H18</f>
        <v>26402.806235010419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186687.35307993833</v>
      </c>
    </row>
    <row r="46" spans="1:18" ht="15.75" thickBot="1">
      <c r="A46" s="874" t="s">
        <v>231</v>
      </c>
      <c r="B46" s="887"/>
      <c r="C46" s="747">
        <f t="shared" ref="C46:R46" ca="1" si="5">SUM(C43:C45)</f>
        <v>158.46564988193057</v>
      </c>
      <c r="D46" s="747">
        <f t="shared" ca="1" si="5"/>
        <v>0</v>
      </c>
      <c r="E46" s="747">
        <f t="shared" si="5"/>
        <v>6.403608777669918</v>
      </c>
      <c r="F46" s="747">
        <f t="shared" si="5"/>
        <v>747.81837299968709</v>
      </c>
      <c r="G46" s="747">
        <f t="shared" si="5"/>
        <v>0</v>
      </c>
      <c r="H46" s="747">
        <f t="shared" si="5"/>
        <v>166324.17253266679</v>
      </c>
      <c r="I46" s="747">
        <f t="shared" si="5"/>
        <v>26402.806235010419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193639.66639933648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1675.9149977422001</v>
      </c>
      <c r="D48" s="702">
        <f ca="1">+landbouw!C12</f>
        <v>0</v>
      </c>
      <c r="E48" s="702">
        <f>+landbouw!D12</f>
        <v>11357.028369903974</v>
      </c>
      <c r="F48" s="702">
        <f>+landbouw!E12</f>
        <v>20.473162558843146</v>
      </c>
      <c r="G48" s="702">
        <f>+landbouw!F12</f>
        <v>11810.552266146371</v>
      </c>
      <c r="H48" s="702">
        <f>+landbouw!G12</f>
        <v>0</v>
      </c>
      <c r="I48" s="702">
        <f>+landbouw!H12</f>
        <v>0</v>
      </c>
      <c r="J48" s="702">
        <f>+landbouw!I12</f>
        <v>0</v>
      </c>
      <c r="K48" s="702">
        <f>+landbouw!J12</f>
        <v>272.28190172945409</v>
      </c>
      <c r="L48" s="702">
        <f>+landbouw!K12</f>
        <v>0</v>
      </c>
      <c r="M48" s="702">
        <f>+landbouw!L12</f>
        <v>0</v>
      </c>
      <c r="N48" s="702">
        <f>+landbouw!M12</f>
        <v>0</v>
      </c>
      <c r="O48" s="702">
        <f>+landbouw!N12</f>
        <v>0</v>
      </c>
      <c r="P48" s="702">
        <f>+landbouw!O12</f>
        <v>0</v>
      </c>
      <c r="Q48" s="703">
        <f>+landbouw!P12</f>
        <v>0</v>
      </c>
      <c r="R48" s="745">
        <f ca="1">SUM(C48:Q48)</f>
        <v>25136.250698080839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125351.41907334195</v>
      </c>
      <c r="D53" s="757">
        <f t="shared" ref="D53:Q53" ca="1" si="6">D41+D46+D48</f>
        <v>3.3666666666666671</v>
      </c>
      <c r="E53" s="757">
        <f t="shared" ca="1" si="6"/>
        <v>229884.12764538397</v>
      </c>
      <c r="F53" s="757">
        <f t="shared" si="6"/>
        <v>4631.6801431875656</v>
      </c>
      <c r="G53" s="757">
        <f t="shared" ca="1" si="6"/>
        <v>36164.91949200206</v>
      </c>
      <c r="H53" s="757">
        <f t="shared" si="6"/>
        <v>166324.17253266679</v>
      </c>
      <c r="I53" s="757">
        <f t="shared" si="6"/>
        <v>26402.806235010419</v>
      </c>
      <c r="J53" s="757">
        <f t="shared" si="6"/>
        <v>0</v>
      </c>
      <c r="K53" s="757">
        <f t="shared" si="6"/>
        <v>466.82484419696061</v>
      </c>
      <c r="L53" s="757">
        <f t="shared" si="6"/>
        <v>0</v>
      </c>
      <c r="M53" s="757">
        <f t="shared" ca="1" si="6"/>
        <v>0</v>
      </c>
      <c r="N53" s="757">
        <f t="shared" si="6"/>
        <v>0</v>
      </c>
      <c r="O53" s="757">
        <f t="shared" ca="1" si="6"/>
        <v>0</v>
      </c>
      <c r="P53" s="757">
        <f>P41+P46+P48</f>
        <v>0</v>
      </c>
      <c r="Q53" s="758">
        <f t="shared" si="6"/>
        <v>0</v>
      </c>
      <c r="R53" s="759">
        <f ca="1">R41+R46+R48</f>
        <v>589229.31663245638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0.19459493032716332</v>
      </c>
      <c r="D55" s="823">
        <f t="shared" ca="1" si="7"/>
        <v>0.22444444444444447</v>
      </c>
      <c r="E55" s="823">
        <f t="shared" ca="1" si="7"/>
        <v>0.20200000000000001</v>
      </c>
      <c r="F55" s="823">
        <f t="shared" si="7"/>
        <v>0.22699999999999995</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61119.140387894906</v>
      </c>
      <c r="C64" s="779">
        <f>'lokale energieproductie'!B4</f>
        <v>61119.140387894906</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15845.818395114742</v>
      </c>
      <c r="C66" s="779">
        <f>'lokale energieproductie'!B6</f>
        <v>15845.818395114742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3</v>
      </c>
      <c r="C67" s="778">
        <f>B67*IFERROR(SUM(J67:L67)/SUM(D67:M67),0)</f>
        <v>0</v>
      </c>
      <c r="D67" s="810">
        <f>'lokale energieproductie'!C7</f>
        <v>3.333333333333333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0.67333333333333334</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76967.958783009643</v>
      </c>
      <c r="C69" s="787">
        <f>SUM(C64:C68)</f>
        <v>76964.958783009643</v>
      </c>
      <c r="D69" s="788">
        <f t="shared" ref="D69:M69" si="8">SUM(D67:D68)</f>
        <v>3.333333333333333</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0.67333333333333334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15</v>
      </c>
      <c r="C78" s="801">
        <f>B78*IFERROR(SUM(I78:L78)/SUM(D78:M78),0)</f>
        <v>0</v>
      </c>
      <c r="D78" s="816">
        <f>'lokale energieproductie'!C16</f>
        <v>16.666666666666668</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3.3666666666666671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15</v>
      </c>
      <c r="C81" s="787">
        <f>SUM(C78:C80)</f>
        <v>0</v>
      </c>
      <c r="D81" s="787">
        <f t="shared" ref="D81:P81" si="9">SUM(D78:D80)</f>
        <v>16.666666666666668</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3.3666666666666671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201263.7800711442</v>
      </c>
      <c r="C4" s="461">
        <f>huishoudens!C8</f>
        <v>0</v>
      </c>
      <c r="D4" s="461">
        <f>huishoudens!D8</f>
        <v>588686.33255492221</v>
      </c>
      <c r="E4" s="461">
        <f>huishoudens!E8</f>
        <v>8703.2577351914424</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46935.1679651085</v>
      </c>
      <c r="O4" s="461">
        <f>huishoudens!O8</f>
        <v>325.17333333333335</v>
      </c>
      <c r="P4" s="462">
        <f>huishoudens!P8</f>
        <v>343.2</v>
      </c>
      <c r="Q4" s="463">
        <f>SUM(B4:P4)</f>
        <v>846256.91165969975</v>
      </c>
    </row>
    <row r="5" spans="1:17">
      <c r="A5" s="460" t="s">
        <v>156</v>
      </c>
      <c r="B5" s="461">
        <f ca="1">tertiair!B16</f>
        <v>322058.77504013199</v>
      </c>
      <c r="C5" s="461">
        <f ca="1">tertiair!C16</f>
        <v>15</v>
      </c>
      <c r="D5" s="461">
        <f ca="1">tertiair!D16</f>
        <v>352104.72103913693</v>
      </c>
      <c r="E5" s="461">
        <f>tertiair!E16</f>
        <v>7160.4514422598513</v>
      </c>
      <c r="F5" s="461">
        <f ca="1">tertiair!F16</f>
        <v>63340.456170610654</v>
      </c>
      <c r="G5" s="461">
        <f>tertiair!G16</f>
        <v>0</v>
      </c>
      <c r="H5" s="461">
        <f>tertiair!H16</f>
        <v>0</v>
      </c>
      <c r="I5" s="461">
        <f>tertiair!I16</f>
        <v>0</v>
      </c>
      <c r="J5" s="461">
        <f>tertiair!J16</f>
        <v>0</v>
      </c>
      <c r="K5" s="461">
        <f>tertiair!K16</f>
        <v>0</v>
      </c>
      <c r="L5" s="461">
        <f ca="1">tertiair!L16</f>
        <v>0</v>
      </c>
      <c r="M5" s="461">
        <f>tertiair!M16</f>
        <v>0</v>
      </c>
      <c r="N5" s="461">
        <f ca="1">tertiair!N16</f>
        <v>8283.7554719354466</v>
      </c>
      <c r="O5" s="461">
        <f>tertiair!O16</f>
        <v>6.2533333333333339</v>
      </c>
      <c r="P5" s="462">
        <f>tertiair!P16</f>
        <v>305.06666666666666</v>
      </c>
      <c r="Q5" s="460">
        <f t="shared" ref="Q5:Q13" ca="1" si="0">SUM(B5:P5)</f>
        <v>753274.47916407476</v>
      </c>
    </row>
    <row r="6" spans="1:17">
      <c r="A6" s="460" t="s">
        <v>195</v>
      </c>
      <c r="B6" s="461">
        <f>'openbare verlichting'!B8</f>
        <v>8300.3109999999997</v>
      </c>
      <c r="C6" s="461"/>
      <c r="D6" s="461"/>
      <c r="E6" s="461"/>
      <c r="F6" s="461"/>
      <c r="G6" s="461"/>
      <c r="H6" s="461"/>
      <c r="I6" s="461"/>
      <c r="J6" s="461"/>
      <c r="K6" s="461"/>
      <c r="L6" s="461"/>
      <c r="M6" s="461"/>
      <c r="N6" s="461"/>
      <c r="O6" s="461"/>
      <c r="P6" s="462"/>
      <c r="Q6" s="460">
        <f t="shared" si="0"/>
        <v>8300.3109999999997</v>
      </c>
    </row>
    <row r="7" spans="1:17">
      <c r="A7" s="460" t="s">
        <v>112</v>
      </c>
      <c r="B7" s="461">
        <f>landbouw!B8</f>
        <v>8612.3261018391513</v>
      </c>
      <c r="C7" s="461">
        <f>landbouw!C8</f>
        <v>0</v>
      </c>
      <c r="D7" s="461">
        <f>landbouw!D8</f>
        <v>56222.912722296896</v>
      </c>
      <c r="E7" s="461">
        <f>landbouw!E8</f>
        <v>90.190143431027067</v>
      </c>
      <c r="F7" s="461">
        <f>landbouw!F8</f>
        <v>44234.278150360937</v>
      </c>
      <c r="G7" s="461">
        <f>landbouw!G8</f>
        <v>0</v>
      </c>
      <c r="H7" s="461">
        <f>landbouw!H8</f>
        <v>0</v>
      </c>
      <c r="I7" s="461">
        <f>landbouw!I8</f>
        <v>0</v>
      </c>
      <c r="J7" s="461">
        <f>landbouw!J8</f>
        <v>769.15791448998334</v>
      </c>
      <c r="K7" s="461">
        <f>landbouw!K8</f>
        <v>0</v>
      </c>
      <c r="L7" s="461">
        <f>landbouw!L8</f>
        <v>0</v>
      </c>
      <c r="M7" s="461">
        <f>landbouw!M8</f>
        <v>0</v>
      </c>
      <c r="N7" s="461">
        <f>landbouw!N8</f>
        <v>0</v>
      </c>
      <c r="O7" s="461">
        <f>landbouw!O8</f>
        <v>0</v>
      </c>
      <c r="P7" s="462">
        <f>landbouw!P8</f>
        <v>0</v>
      </c>
      <c r="Q7" s="460">
        <f t="shared" si="0"/>
        <v>109928.86503241801</v>
      </c>
    </row>
    <row r="8" spans="1:17">
      <c r="A8" s="460" t="s">
        <v>656</v>
      </c>
      <c r="B8" s="461">
        <f>industrie!B18</f>
        <v>103116.37513233896</v>
      </c>
      <c r="C8" s="461">
        <f>industrie!C18</f>
        <v>0</v>
      </c>
      <c r="D8" s="461">
        <f>industrie!D18</f>
        <v>140994.56851832851</v>
      </c>
      <c r="E8" s="461">
        <f>industrie!E18</f>
        <v>1155.6238958043705</v>
      </c>
      <c r="F8" s="461">
        <f>industrie!F18</f>
        <v>27874.402353193414</v>
      </c>
      <c r="G8" s="461">
        <f>industrie!G18</f>
        <v>0</v>
      </c>
      <c r="H8" s="461">
        <f>industrie!H18</f>
        <v>0</v>
      </c>
      <c r="I8" s="461">
        <f>industrie!I18</f>
        <v>0</v>
      </c>
      <c r="J8" s="461">
        <f>industrie!J18</f>
        <v>549.55633465397318</v>
      </c>
      <c r="K8" s="461">
        <f>industrie!K18</f>
        <v>0</v>
      </c>
      <c r="L8" s="461">
        <f>industrie!L18</f>
        <v>0</v>
      </c>
      <c r="M8" s="461">
        <f>industrie!M18</f>
        <v>0</v>
      </c>
      <c r="N8" s="461">
        <f>industrie!N18</f>
        <v>2459.5835245576664</v>
      </c>
      <c r="O8" s="461">
        <f>industrie!O18</f>
        <v>0</v>
      </c>
      <c r="P8" s="462">
        <f>industrie!P18</f>
        <v>0</v>
      </c>
      <c r="Q8" s="460">
        <f t="shared" si="0"/>
        <v>276150.1097588769</v>
      </c>
    </row>
    <row r="9" spans="1:17" s="466" customFormat="1">
      <c r="A9" s="464" t="s">
        <v>574</v>
      </c>
      <c r="B9" s="465">
        <f>transport!B14</f>
        <v>6.3849998920993238</v>
      </c>
      <c r="C9" s="465">
        <f>transport!C14</f>
        <v>0</v>
      </c>
      <c r="D9" s="465">
        <f>transport!D14</f>
        <v>31.701033552821375</v>
      </c>
      <c r="E9" s="465">
        <f>transport!E14</f>
        <v>3294.3540660779167</v>
      </c>
      <c r="F9" s="465">
        <f>transport!F14</f>
        <v>0</v>
      </c>
      <c r="G9" s="465">
        <f>transport!G14</f>
        <v>597487.1999046494</v>
      </c>
      <c r="H9" s="465">
        <f>transport!H14</f>
        <v>106035.36640566433</v>
      </c>
      <c r="I9" s="465">
        <f>transport!I14</f>
        <v>0</v>
      </c>
      <c r="J9" s="465">
        <f>transport!J14</f>
        <v>0</v>
      </c>
      <c r="K9" s="465">
        <f>transport!K14</f>
        <v>0</v>
      </c>
      <c r="L9" s="465">
        <f>transport!L14</f>
        <v>0</v>
      </c>
      <c r="M9" s="465">
        <f>transport!M14</f>
        <v>30706.605985988663</v>
      </c>
      <c r="N9" s="465">
        <f>transport!N14</f>
        <v>0</v>
      </c>
      <c r="O9" s="465">
        <f>transport!O14</f>
        <v>0</v>
      </c>
      <c r="P9" s="465">
        <f>transport!P14</f>
        <v>0</v>
      </c>
      <c r="Q9" s="464">
        <f>SUM(B9:P9)</f>
        <v>737561.61239582521</v>
      </c>
    </row>
    <row r="10" spans="1:17">
      <c r="A10" s="460" t="s">
        <v>564</v>
      </c>
      <c r="B10" s="461">
        <f>transport!B54</f>
        <v>807.95096258909018</v>
      </c>
      <c r="C10" s="461">
        <f>transport!C54</f>
        <v>0</v>
      </c>
      <c r="D10" s="461">
        <f>transport!D54</f>
        <v>0</v>
      </c>
      <c r="E10" s="461">
        <f>transport!E54</f>
        <v>0</v>
      </c>
      <c r="F10" s="461">
        <f>transport!F54</f>
        <v>0</v>
      </c>
      <c r="G10" s="461">
        <f>transport!G54</f>
        <v>25449.775873128736</v>
      </c>
      <c r="H10" s="461">
        <f>transport!H54</f>
        <v>0</v>
      </c>
      <c r="I10" s="461">
        <f>transport!I54</f>
        <v>0</v>
      </c>
      <c r="J10" s="461">
        <f>transport!J54</f>
        <v>0</v>
      </c>
      <c r="K10" s="461">
        <f>transport!K54</f>
        <v>0</v>
      </c>
      <c r="L10" s="461">
        <f>transport!L54</f>
        <v>0</v>
      </c>
      <c r="M10" s="461">
        <f>transport!M54</f>
        <v>1084.8133795165668</v>
      </c>
      <c r="N10" s="461">
        <f>transport!N54</f>
        <v>0</v>
      </c>
      <c r="O10" s="461">
        <f>transport!O54</f>
        <v>0</v>
      </c>
      <c r="P10" s="462">
        <f>transport!P54</f>
        <v>0</v>
      </c>
      <c r="Q10" s="460">
        <f t="shared" si="0"/>
        <v>27342.540215234392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644165.90330793557</v>
      </c>
      <c r="C14" s="471">
        <f t="shared" ref="C14:Q14" ca="1" si="1">SUM(C4:C13)</f>
        <v>15</v>
      </c>
      <c r="D14" s="471">
        <f t="shared" ca="1" si="1"/>
        <v>1138040.2358682374</v>
      </c>
      <c r="E14" s="471">
        <f t="shared" si="1"/>
        <v>20403.87728276461</v>
      </c>
      <c r="F14" s="471">
        <f t="shared" ca="1" si="1"/>
        <v>135449.136674165</v>
      </c>
      <c r="G14" s="471">
        <f t="shared" si="1"/>
        <v>622936.97577777819</v>
      </c>
      <c r="H14" s="471">
        <f t="shared" si="1"/>
        <v>106035.36640566433</v>
      </c>
      <c r="I14" s="471">
        <f t="shared" si="1"/>
        <v>0</v>
      </c>
      <c r="J14" s="471">
        <f t="shared" si="1"/>
        <v>1318.7142491439565</v>
      </c>
      <c r="K14" s="471">
        <f t="shared" si="1"/>
        <v>0</v>
      </c>
      <c r="L14" s="471">
        <f t="shared" ca="1" si="1"/>
        <v>0</v>
      </c>
      <c r="M14" s="471">
        <f t="shared" si="1"/>
        <v>31791.41936550523</v>
      </c>
      <c r="N14" s="471">
        <f t="shared" ca="1" si="1"/>
        <v>57678.506961601612</v>
      </c>
      <c r="O14" s="471">
        <f t="shared" si="1"/>
        <v>331.42666666666668</v>
      </c>
      <c r="P14" s="472">
        <f t="shared" si="1"/>
        <v>648.26666666666665</v>
      </c>
      <c r="Q14" s="472">
        <f t="shared" ca="1" si="1"/>
        <v>2758814.8292261288</v>
      </c>
    </row>
    <row r="16" spans="1:17">
      <c r="A16" s="474" t="s">
        <v>569</v>
      </c>
      <c r="B16" s="828">
        <f ca="1">huishoudens!B10</f>
        <v>0.19459493032716335</v>
      </c>
      <c r="C16" s="828">
        <f ca="1">huishoudens!C10</f>
        <v>0.22444444444444447</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39164.911260325833</v>
      </c>
      <c r="C21" s="461">
        <f t="shared" ref="C21:C30" ca="1" si="3">C4*$C$16</f>
        <v>0</v>
      </c>
      <c r="D21" s="461">
        <f t="shared" ref="D21:D30" si="4">D4*$D$16</f>
        <v>118914.63917609429</v>
      </c>
      <c r="E21" s="461">
        <f t="shared" ref="E21:E30" si="5">E4*$E$16</f>
        <v>1975.6395058884575</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160055.18994230859</v>
      </c>
    </row>
    <row r="22" spans="1:17">
      <c r="A22" s="460" t="s">
        <v>156</v>
      </c>
      <c r="B22" s="461">
        <f t="shared" ca="1" si="2"/>
        <v>62671.004890186057</v>
      </c>
      <c r="C22" s="461">
        <f t="shared" ca="1" si="3"/>
        <v>3.3666666666666671</v>
      </c>
      <c r="D22" s="461">
        <f t="shared" ca="1" si="4"/>
        <v>71125.153649905667</v>
      </c>
      <c r="E22" s="461">
        <f t="shared" si="5"/>
        <v>1625.4224773929864</v>
      </c>
      <c r="F22" s="461">
        <f t="shared" ca="1" si="6"/>
        <v>16911.901797553044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152336.84948170441</v>
      </c>
    </row>
    <row r="23" spans="1:17">
      <c r="A23" s="460" t="s">
        <v>195</v>
      </c>
      <c r="B23" s="461">
        <f t="shared" ca="1" si="2"/>
        <v>1615.1984407387874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1615.1984407387874</v>
      </c>
    </row>
    <row r="24" spans="1:17">
      <c r="A24" s="460" t="s">
        <v>112</v>
      </c>
      <c r="B24" s="461">
        <f t="shared" ca="1" si="2"/>
        <v>1675.9149977422001</v>
      </c>
      <c r="C24" s="461">
        <f t="shared" ca="1" si="3"/>
        <v>0</v>
      </c>
      <c r="D24" s="461">
        <f t="shared" si="4"/>
        <v>11357.028369903974</v>
      </c>
      <c r="E24" s="461">
        <f t="shared" si="5"/>
        <v>20.473162558843146</v>
      </c>
      <c r="F24" s="461">
        <f t="shared" si="6"/>
        <v>11810.552266146371</v>
      </c>
      <c r="G24" s="461">
        <f t="shared" si="7"/>
        <v>0</v>
      </c>
      <c r="H24" s="461">
        <f t="shared" si="8"/>
        <v>0</v>
      </c>
      <c r="I24" s="461">
        <f t="shared" si="9"/>
        <v>0</v>
      </c>
      <c r="J24" s="461">
        <f t="shared" si="10"/>
        <v>272.28190172945409</v>
      </c>
      <c r="K24" s="461">
        <f t="shared" si="11"/>
        <v>0</v>
      </c>
      <c r="L24" s="461">
        <f t="shared" si="12"/>
        <v>0</v>
      </c>
      <c r="M24" s="461">
        <f t="shared" si="13"/>
        <v>0</v>
      </c>
      <c r="N24" s="461">
        <f t="shared" si="14"/>
        <v>0</v>
      </c>
      <c r="O24" s="461">
        <f t="shared" si="15"/>
        <v>0</v>
      </c>
      <c r="P24" s="462">
        <f t="shared" si="16"/>
        <v>0</v>
      </c>
      <c r="Q24" s="460">
        <f t="shared" ca="1" si="17"/>
        <v>25136.250698080839</v>
      </c>
    </row>
    <row r="25" spans="1:17">
      <c r="A25" s="460" t="s">
        <v>656</v>
      </c>
      <c r="B25" s="461">
        <f t="shared" ca="1" si="2"/>
        <v>20065.923834467139</v>
      </c>
      <c r="C25" s="461">
        <f t="shared" ca="1" si="3"/>
        <v>0</v>
      </c>
      <c r="D25" s="461">
        <f t="shared" si="4"/>
        <v>28480.902840702362</v>
      </c>
      <c r="E25" s="461">
        <f t="shared" si="5"/>
        <v>262.32662434759209</v>
      </c>
      <c r="F25" s="461">
        <f t="shared" si="6"/>
        <v>7442.4654283026421</v>
      </c>
      <c r="G25" s="461">
        <f t="shared" si="7"/>
        <v>0</v>
      </c>
      <c r="H25" s="461">
        <f t="shared" si="8"/>
        <v>0</v>
      </c>
      <c r="I25" s="461">
        <f t="shared" si="9"/>
        <v>0</v>
      </c>
      <c r="J25" s="461">
        <f t="shared" si="10"/>
        <v>194.54294246750649</v>
      </c>
      <c r="K25" s="461">
        <f t="shared" si="11"/>
        <v>0</v>
      </c>
      <c r="L25" s="461">
        <f t="shared" si="12"/>
        <v>0</v>
      </c>
      <c r="M25" s="461">
        <f t="shared" si="13"/>
        <v>0</v>
      </c>
      <c r="N25" s="461">
        <f t="shared" si="14"/>
        <v>0</v>
      </c>
      <c r="O25" s="461">
        <f t="shared" si="15"/>
        <v>0</v>
      </c>
      <c r="P25" s="462">
        <f t="shared" si="16"/>
        <v>0</v>
      </c>
      <c r="Q25" s="460">
        <f t="shared" ca="1" si="17"/>
        <v>56446.161670287249</v>
      </c>
    </row>
    <row r="26" spans="1:17" s="466" customFormat="1">
      <c r="A26" s="464" t="s">
        <v>574</v>
      </c>
      <c r="B26" s="822">
        <f t="shared" ca="1" si="2"/>
        <v>1.2424886091420135</v>
      </c>
      <c r="C26" s="465">
        <f t="shared" ca="1" si="3"/>
        <v>0</v>
      </c>
      <c r="D26" s="465">
        <f t="shared" si="4"/>
        <v>6.403608777669918</v>
      </c>
      <c r="E26" s="465">
        <f t="shared" si="5"/>
        <v>747.81837299968709</v>
      </c>
      <c r="F26" s="465">
        <f t="shared" si="6"/>
        <v>0</v>
      </c>
      <c r="G26" s="465">
        <f t="shared" si="7"/>
        <v>159529.08237454141</v>
      </c>
      <c r="H26" s="465">
        <f t="shared" si="8"/>
        <v>26402.806235010419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186687.35307993833</v>
      </c>
    </row>
    <row r="27" spans="1:17">
      <c r="A27" s="460" t="s">
        <v>564</v>
      </c>
      <c r="B27" s="461">
        <f t="shared" ca="1" si="2"/>
        <v>157.22316127278856</v>
      </c>
      <c r="C27" s="461">
        <f t="shared" ca="1" si="3"/>
        <v>0</v>
      </c>
      <c r="D27" s="461">
        <f t="shared" si="4"/>
        <v>0</v>
      </c>
      <c r="E27" s="461">
        <f t="shared" si="5"/>
        <v>0</v>
      </c>
      <c r="F27" s="461">
        <f t="shared" si="6"/>
        <v>0</v>
      </c>
      <c r="G27" s="461">
        <f t="shared" si="7"/>
        <v>6795.0901581253729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6952.3133193981612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125351.41907334195</v>
      </c>
      <c r="C31" s="471">
        <f t="shared" ca="1" si="18"/>
        <v>3.3666666666666671</v>
      </c>
      <c r="D31" s="471">
        <f t="shared" ca="1" si="18"/>
        <v>229884.12764538397</v>
      </c>
      <c r="E31" s="471">
        <f t="shared" si="18"/>
        <v>4631.6801431875665</v>
      </c>
      <c r="F31" s="471">
        <f t="shared" ca="1" si="18"/>
        <v>36164.919492002053</v>
      </c>
      <c r="G31" s="471">
        <f t="shared" si="18"/>
        <v>166324.17253266679</v>
      </c>
      <c r="H31" s="471">
        <f t="shared" si="18"/>
        <v>26402.806235010419</v>
      </c>
      <c r="I31" s="471">
        <f t="shared" si="18"/>
        <v>0</v>
      </c>
      <c r="J31" s="471">
        <f t="shared" si="18"/>
        <v>466.82484419696061</v>
      </c>
      <c r="K31" s="471">
        <f t="shared" si="18"/>
        <v>0</v>
      </c>
      <c r="L31" s="471">
        <f t="shared" ca="1" si="18"/>
        <v>0</v>
      </c>
      <c r="M31" s="471">
        <f t="shared" si="18"/>
        <v>0</v>
      </c>
      <c r="N31" s="471">
        <f t="shared" ca="1" si="18"/>
        <v>0</v>
      </c>
      <c r="O31" s="471">
        <f t="shared" si="18"/>
        <v>0</v>
      </c>
      <c r="P31" s="472">
        <f t="shared" si="18"/>
        <v>0</v>
      </c>
      <c r="Q31" s="472">
        <f t="shared" ca="1" si="18"/>
        <v>589229.31663245638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0.19459493032716335</v>
      </c>
      <c r="C17" s="511">
        <f ca="1">'EF ele_warmte'!B22</f>
        <v>0.22444444444444447</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3</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4.6900000000000004</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1</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19.066666666666666</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0.19459493032716335</v>
      </c>
      <c r="C17" s="511">
        <f ca="1">'EF ele_warmte'!B22</f>
        <v>0.22444444444444447</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0.19459493032716335</v>
      </c>
      <c r="C29" s="512">
        <f ca="1">'EF ele_warmte'!B22</f>
        <v>0.22444444444444447</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31005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52271</v>
      </c>
      <c r="C9" s="336">
        <v>53799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4621</v>
      </c>
    </row>
    <row r="15" spans="1:6">
      <c r="A15" s="1194" t="s">
        <v>185</v>
      </c>
      <c r="B15" s="333">
        <v>844</v>
      </c>
    </row>
    <row r="16" spans="1:6">
      <c r="A16" s="1194" t="s">
        <v>6</v>
      </c>
      <c r="B16" s="333">
        <v>1310</v>
      </c>
    </row>
    <row r="17" spans="1:6">
      <c r="A17" s="1194" t="s">
        <v>7</v>
      </c>
      <c r="B17" s="333">
        <v>1415</v>
      </c>
    </row>
    <row r="18" spans="1:6">
      <c r="A18" s="1194" t="s">
        <v>8</v>
      </c>
      <c r="B18" s="333">
        <v>2090</v>
      </c>
    </row>
    <row r="19" spans="1:6">
      <c r="A19" s="1194" t="s">
        <v>9</v>
      </c>
      <c r="B19" s="333">
        <v>1943</v>
      </c>
    </row>
    <row r="20" spans="1:6">
      <c r="A20" s="1194" t="s">
        <v>10</v>
      </c>
      <c r="B20" s="333">
        <v>1922</v>
      </c>
    </row>
    <row r="21" spans="1:6">
      <c r="A21" s="1194" t="s">
        <v>11</v>
      </c>
      <c r="B21" s="333">
        <v>6618</v>
      </c>
    </row>
    <row r="22" spans="1:6">
      <c r="A22" s="1194" t="s">
        <v>12</v>
      </c>
      <c r="B22" s="333">
        <v>17564</v>
      </c>
    </row>
    <row r="23" spans="1:6">
      <c r="A23" s="1194" t="s">
        <v>13</v>
      </c>
      <c r="B23" s="333">
        <v>307</v>
      </c>
    </row>
    <row r="24" spans="1:6">
      <c r="A24" s="1194" t="s">
        <v>14</v>
      </c>
      <c r="B24" s="333">
        <v>13</v>
      </c>
    </row>
    <row r="25" spans="1:6">
      <c r="A25" s="1194" t="s">
        <v>15</v>
      </c>
      <c r="B25" s="333">
        <v>1669</v>
      </c>
    </row>
    <row r="26" spans="1:6">
      <c r="A26" s="1194" t="s">
        <v>16</v>
      </c>
      <c r="B26" s="333">
        <v>823</v>
      </c>
    </row>
    <row r="27" spans="1:6">
      <c r="A27" s="1194" t="s">
        <v>17</v>
      </c>
      <c r="B27" s="333">
        <v>23</v>
      </c>
    </row>
    <row r="28" spans="1:6">
      <c r="A28" s="1194" t="s">
        <v>18</v>
      </c>
      <c r="B28" s="333">
        <v>114395</v>
      </c>
    </row>
    <row r="29" spans="1:6">
      <c r="A29" s="1194" t="s">
        <v>888</v>
      </c>
      <c r="B29" s="333">
        <v>383</v>
      </c>
    </row>
    <row r="30" spans="1:6">
      <c r="A30" s="1190" t="s">
        <v>889</v>
      </c>
      <c r="B30" s="1190">
        <v>79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8</v>
      </c>
      <c r="F35" s="333">
        <v>662713.55800715601</v>
      </c>
    </row>
    <row r="36" spans="1:6">
      <c r="A36" s="1194" t="s">
        <v>25</v>
      </c>
      <c r="B36" s="1194" t="s">
        <v>27</v>
      </c>
      <c r="C36" s="333">
        <v>9</v>
      </c>
      <c r="D36" s="333">
        <v>1383720.10119733</v>
      </c>
      <c r="E36" s="333">
        <v>11</v>
      </c>
      <c r="F36" s="333">
        <v>797518.49759884703</v>
      </c>
    </row>
    <row r="37" spans="1:6">
      <c r="A37" s="1194" t="s">
        <v>25</v>
      </c>
      <c r="B37" s="1194" t="s">
        <v>28</v>
      </c>
      <c r="C37" s="333">
        <v>0</v>
      </c>
      <c r="D37" s="333">
        <v>0</v>
      </c>
      <c r="E37" s="333">
        <v>0</v>
      </c>
      <c r="F37" s="333">
        <v>0</v>
      </c>
    </row>
    <row r="38" spans="1:6">
      <c r="A38" s="1194" t="s">
        <v>25</v>
      </c>
      <c r="B38" s="1194" t="s">
        <v>29</v>
      </c>
      <c r="C38" s="333">
        <v>7</v>
      </c>
      <c r="D38" s="333">
        <v>1093595.9933516199</v>
      </c>
      <c r="E38" s="333">
        <v>12</v>
      </c>
      <c r="F38" s="333">
        <v>210245.218801212</v>
      </c>
    </row>
    <row r="39" spans="1:6">
      <c r="A39" s="1194" t="s">
        <v>30</v>
      </c>
      <c r="B39" s="1194" t="s">
        <v>31</v>
      </c>
      <c r="C39" s="333">
        <v>42311</v>
      </c>
      <c r="D39" s="333">
        <v>652645601.50213099</v>
      </c>
      <c r="E39" s="333">
        <v>51864</v>
      </c>
      <c r="F39" s="333">
        <v>195325976.32814699</v>
      </c>
    </row>
    <row r="40" spans="1:6">
      <c r="A40" s="1194" t="s">
        <v>30</v>
      </c>
      <c r="B40" s="1194" t="s">
        <v>29</v>
      </c>
      <c r="C40" s="333">
        <v>0</v>
      </c>
      <c r="D40" s="333">
        <v>0</v>
      </c>
      <c r="E40" s="333">
        <v>1</v>
      </c>
      <c r="F40" s="333">
        <v>8426.4741407867004</v>
      </c>
    </row>
    <row r="41" spans="1:6">
      <c r="A41" s="1194" t="s">
        <v>32</v>
      </c>
      <c r="B41" s="1194" t="s">
        <v>33</v>
      </c>
      <c r="C41" s="333">
        <v>398</v>
      </c>
      <c r="D41" s="333">
        <v>11861223.243581099</v>
      </c>
      <c r="E41" s="333">
        <v>777</v>
      </c>
      <c r="F41" s="333">
        <v>15750344.4075293</v>
      </c>
    </row>
    <row r="42" spans="1:6">
      <c r="A42" s="1194" t="s">
        <v>32</v>
      </c>
      <c r="B42" s="1194" t="s">
        <v>34</v>
      </c>
      <c r="C42" s="333">
        <v>3</v>
      </c>
      <c r="D42" s="333">
        <v>131986.622973744</v>
      </c>
      <c r="E42" s="333">
        <v>4</v>
      </c>
      <c r="F42" s="333">
        <v>3282167.1546521699</v>
      </c>
    </row>
    <row r="43" spans="1:6">
      <c r="A43" s="1194" t="s">
        <v>32</v>
      </c>
      <c r="B43" s="1194" t="s">
        <v>35</v>
      </c>
      <c r="C43" s="333">
        <v>0</v>
      </c>
      <c r="D43" s="333">
        <v>0</v>
      </c>
      <c r="E43" s="333">
        <v>0</v>
      </c>
      <c r="F43" s="333">
        <v>0</v>
      </c>
    </row>
    <row r="44" spans="1:6">
      <c r="A44" s="1194" t="s">
        <v>32</v>
      </c>
      <c r="B44" s="1194" t="s">
        <v>36</v>
      </c>
      <c r="C44" s="333">
        <v>26</v>
      </c>
      <c r="D44" s="333">
        <v>14858684.681745101</v>
      </c>
      <c r="E44" s="333">
        <v>47</v>
      </c>
      <c r="F44" s="333">
        <v>4001847.7174766702</v>
      </c>
    </row>
    <row r="45" spans="1:6">
      <c r="A45" s="1194" t="s">
        <v>32</v>
      </c>
      <c r="B45" s="1194" t="s">
        <v>37</v>
      </c>
      <c r="C45" s="333">
        <v>3</v>
      </c>
      <c r="D45" s="333">
        <v>58078.343577709398</v>
      </c>
      <c r="E45" s="333">
        <v>16</v>
      </c>
      <c r="F45" s="333">
        <v>2830132.7159750899</v>
      </c>
    </row>
    <row r="46" spans="1:6">
      <c r="A46" s="1194" t="s">
        <v>32</v>
      </c>
      <c r="B46" s="1194" t="s">
        <v>38</v>
      </c>
      <c r="C46" s="333">
        <v>0</v>
      </c>
      <c r="D46" s="333">
        <v>0</v>
      </c>
      <c r="E46" s="333">
        <v>0</v>
      </c>
      <c r="F46" s="333">
        <v>0</v>
      </c>
    </row>
    <row r="47" spans="1:6">
      <c r="A47" s="1194" t="s">
        <v>32</v>
      </c>
      <c r="B47" s="1194" t="s">
        <v>39</v>
      </c>
      <c r="C47" s="333">
        <v>55</v>
      </c>
      <c r="D47" s="333">
        <v>1779168.30583953</v>
      </c>
      <c r="E47" s="333">
        <v>69</v>
      </c>
      <c r="F47" s="333">
        <v>3919546.9002179201</v>
      </c>
    </row>
    <row r="48" spans="1:6">
      <c r="A48" s="1194" t="s">
        <v>32</v>
      </c>
      <c r="B48" s="1194" t="s">
        <v>29</v>
      </c>
      <c r="C48" s="333">
        <v>142</v>
      </c>
      <c r="D48" s="333">
        <v>117172817.531652</v>
      </c>
      <c r="E48" s="333">
        <v>169</v>
      </c>
      <c r="F48" s="333">
        <v>56946986.612019598</v>
      </c>
    </row>
    <row r="49" spans="1:6">
      <c r="A49" s="1194" t="s">
        <v>32</v>
      </c>
      <c r="B49" s="1194" t="s">
        <v>40</v>
      </c>
      <c r="C49" s="333">
        <v>20</v>
      </c>
      <c r="D49" s="333">
        <v>516519.79405525001</v>
      </c>
      <c r="E49" s="333">
        <v>24</v>
      </c>
      <c r="F49" s="333">
        <v>349020.96913600602</v>
      </c>
    </row>
    <row r="50" spans="1:6">
      <c r="A50" s="1194" t="s">
        <v>32</v>
      </c>
      <c r="B50" s="1194" t="s">
        <v>41</v>
      </c>
      <c r="C50" s="333">
        <v>94</v>
      </c>
      <c r="D50" s="333">
        <v>9934790.3439020608</v>
      </c>
      <c r="E50" s="333">
        <v>128</v>
      </c>
      <c r="F50" s="333">
        <v>16036328.6553322</v>
      </c>
    </row>
    <row r="51" spans="1:6">
      <c r="A51" s="1194" t="s">
        <v>42</v>
      </c>
      <c r="B51" s="1194" t="s">
        <v>43</v>
      </c>
      <c r="C51" s="333">
        <v>123</v>
      </c>
      <c r="D51" s="333">
        <v>15316554.9497732</v>
      </c>
      <c r="E51" s="333">
        <v>329</v>
      </c>
      <c r="F51" s="333">
        <v>7822441.9654641096</v>
      </c>
    </row>
    <row r="52" spans="1:6">
      <c r="A52" s="1194" t="s">
        <v>42</v>
      </c>
      <c r="B52" s="1194" t="s">
        <v>29</v>
      </c>
      <c r="C52" s="333">
        <v>13</v>
      </c>
      <c r="D52" s="333">
        <v>1370084.91801505</v>
      </c>
      <c r="E52" s="333">
        <v>27</v>
      </c>
      <c r="F52" s="333">
        <v>789884.13637504098</v>
      </c>
    </row>
    <row r="53" spans="1:6">
      <c r="A53" s="1194" t="s">
        <v>44</v>
      </c>
      <c r="B53" s="1194" t="s">
        <v>45</v>
      </c>
      <c r="C53" s="333">
        <v>1849</v>
      </c>
      <c r="D53" s="333">
        <v>45644748.959591903</v>
      </c>
      <c r="E53" s="333">
        <v>2647</v>
      </c>
      <c r="F53" s="333">
        <v>16068348.2181885</v>
      </c>
    </row>
    <row r="54" spans="1:6">
      <c r="A54" s="1194" t="s">
        <v>46</v>
      </c>
      <c r="B54" s="1194" t="s">
        <v>47</v>
      </c>
      <c r="C54" s="333">
        <v>0</v>
      </c>
      <c r="D54" s="333">
        <v>0</v>
      </c>
      <c r="E54" s="333">
        <v>2</v>
      </c>
      <c r="F54" s="333">
        <v>8300311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452</v>
      </c>
      <c r="D57" s="333">
        <v>60432959.0138859</v>
      </c>
      <c r="E57" s="333">
        <v>645</v>
      </c>
      <c r="F57" s="333">
        <v>28933736.919962</v>
      </c>
    </row>
    <row r="58" spans="1:6">
      <c r="A58" s="1194" t="s">
        <v>49</v>
      </c>
      <c r="B58" s="1194" t="s">
        <v>51</v>
      </c>
      <c r="C58" s="333">
        <v>264</v>
      </c>
      <c r="D58" s="333">
        <v>43973276.0830044</v>
      </c>
      <c r="E58" s="333">
        <v>348</v>
      </c>
      <c r="F58" s="333">
        <v>30296673.261419501</v>
      </c>
    </row>
    <row r="59" spans="1:6">
      <c r="A59" s="1194" t="s">
        <v>49</v>
      </c>
      <c r="B59" s="1194" t="s">
        <v>52</v>
      </c>
      <c r="C59" s="333">
        <v>1292</v>
      </c>
      <c r="D59" s="333">
        <v>55533276.170066901</v>
      </c>
      <c r="E59" s="333">
        <v>2068</v>
      </c>
      <c r="F59" s="333">
        <v>85375941.796043098</v>
      </c>
    </row>
    <row r="60" spans="1:6">
      <c r="A60" s="1194" t="s">
        <v>49</v>
      </c>
      <c r="B60" s="1194" t="s">
        <v>53</v>
      </c>
      <c r="C60" s="333">
        <v>840</v>
      </c>
      <c r="D60" s="333">
        <v>60420657.498923399</v>
      </c>
      <c r="E60" s="333">
        <v>999</v>
      </c>
      <c r="F60" s="333">
        <v>43120763.658833504</v>
      </c>
    </row>
    <row r="61" spans="1:6">
      <c r="A61" s="1194" t="s">
        <v>49</v>
      </c>
      <c r="B61" s="1194" t="s">
        <v>54</v>
      </c>
      <c r="C61" s="333">
        <v>1603</v>
      </c>
      <c r="D61" s="333">
        <v>107388424.799202</v>
      </c>
      <c r="E61" s="333">
        <v>3364</v>
      </c>
      <c r="F61" s="333">
        <v>107136063.02998599</v>
      </c>
    </row>
    <row r="62" spans="1:6">
      <c r="A62" s="1194" t="s">
        <v>49</v>
      </c>
      <c r="B62" s="1194" t="s">
        <v>55</v>
      </c>
      <c r="C62" s="333">
        <v>150</v>
      </c>
      <c r="D62" s="333">
        <v>32351997.802616999</v>
      </c>
      <c r="E62" s="333">
        <v>169</v>
      </c>
      <c r="F62" s="333">
        <v>11252968.0134557</v>
      </c>
    </row>
    <row r="63" spans="1:6">
      <c r="A63" s="1194" t="s">
        <v>49</v>
      </c>
      <c r="B63" s="1194" t="s">
        <v>29</v>
      </c>
      <c r="C63" s="333">
        <v>387</v>
      </c>
      <c r="D63" s="333">
        <v>30281582.733339101</v>
      </c>
      <c r="E63" s="333">
        <v>353</v>
      </c>
      <c r="F63" s="333">
        <v>15939628.3604322</v>
      </c>
    </row>
    <row r="64" spans="1:6">
      <c r="A64" s="1194" t="s">
        <v>56</v>
      </c>
      <c r="B64" s="1194" t="s">
        <v>57</v>
      </c>
      <c r="C64" s="333">
        <v>0</v>
      </c>
      <c r="D64" s="333">
        <v>0</v>
      </c>
      <c r="E64" s="333">
        <v>0</v>
      </c>
      <c r="F64" s="333">
        <v>0</v>
      </c>
    </row>
    <row r="65" spans="1:6">
      <c r="A65" s="1194" t="s">
        <v>56</v>
      </c>
      <c r="B65" s="1194" t="s">
        <v>29</v>
      </c>
      <c r="C65" s="333">
        <v>13</v>
      </c>
      <c r="D65" s="333">
        <v>1567901.62876063</v>
      </c>
      <c r="E65" s="333">
        <v>14</v>
      </c>
      <c r="F65" s="333">
        <v>1267286.7640182399</v>
      </c>
    </row>
    <row r="66" spans="1:6">
      <c r="A66" s="1194" t="s">
        <v>56</v>
      </c>
      <c r="B66" s="1194" t="s">
        <v>58</v>
      </c>
      <c r="C66" s="333">
        <v>5</v>
      </c>
      <c r="D66" s="333">
        <v>74795.065870630002</v>
      </c>
      <c r="E66" s="333">
        <v>8</v>
      </c>
      <c r="F66" s="333">
        <v>61816.3984106348</v>
      </c>
    </row>
    <row r="67" spans="1:6">
      <c r="A67" s="1201" t="s">
        <v>56</v>
      </c>
      <c r="B67" s="1201" t="s">
        <v>59</v>
      </c>
      <c r="C67" s="333">
        <v>0</v>
      </c>
      <c r="D67" s="333">
        <v>0</v>
      </c>
      <c r="E67" s="333">
        <v>0</v>
      </c>
      <c r="F67" s="333">
        <v>0</v>
      </c>
    </row>
    <row r="68" spans="1:6">
      <c r="A68" s="1190" t="s">
        <v>56</v>
      </c>
      <c r="B68" s="1190" t="s">
        <v>60</v>
      </c>
      <c r="C68" s="333">
        <v>30</v>
      </c>
      <c r="D68" s="333">
        <v>1134024.64897045</v>
      </c>
      <c r="E68" s="333">
        <v>90</v>
      </c>
      <c r="F68" s="333">
        <v>2763771.9313799101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565993470</v>
      </c>
      <c r="E73" s="333">
        <v>578366420.49628794</v>
      </c>
      <c r="F73" s="333">
        <v>566998117</v>
      </c>
    </row>
    <row r="74" spans="1:6">
      <c r="A74" s="1194" t="s">
        <v>64</v>
      </c>
      <c r="B74" s="1194" t="s">
        <v>775</v>
      </c>
      <c r="C74" s="1205" t="s">
        <v>776</v>
      </c>
      <c r="D74" s="333">
        <v>56592171.400648169</v>
      </c>
      <c r="E74" s="333">
        <v>56381732.594612494</v>
      </c>
      <c r="F74" s="333">
        <v>56746576.858305395</v>
      </c>
    </row>
    <row r="75" spans="1:6">
      <c r="A75" s="1194" t="s">
        <v>65</v>
      </c>
      <c r="B75" s="1194" t="s">
        <v>773</v>
      </c>
      <c r="C75" s="1205" t="s">
        <v>777</v>
      </c>
      <c r="D75" s="333">
        <v>148955438</v>
      </c>
      <c r="E75" s="333">
        <v>156209294.93094966</v>
      </c>
      <c r="F75" s="333">
        <v>150834561</v>
      </c>
    </row>
    <row r="76" spans="1:6">
      <c r="A76" s="1194" t="s">
        <v>65</v>
      </c>
      <c r="B76" s="1194" t="s">
        <v>775</v>
      </c>
      <c r="C76" s="1205" t="s">
        <v>778</v>
      </c>
      <c r="D76" s="333">
        <v>5817428.4006481711</v>
      </c>
      <c r="E76" s="333">
        <v>5961095.4834503606</v>
      </c>
      <c r="F76" s="333">
        <v>6056361.8583053946</v>
      </c>
    </row>
    <row r="77" spans="1:6">
      <c r="A77" s="1194" t="s">
        <v>66</v>
      </c>
      <c r="B77" s="1194" t="s">
        <v>773</v>
      </c>
      <c r="C77" s="1205" t="s">
        <v>779</v>
      </c>
      <c r="D77" s="333">
        <v>84772691</v>
      </c>
      <c r="E77" s="333">
        <v>97773621.040989205</v>
      </c>
      <c r="F77" s="333">
        <v>86518880</v>
      </c>
    </row>
    <row r="78" spans="1:6">
      <c r="A78" s="1190" t="s">
        <v>66</v>
      </c>
      <c r="B78" s="1190" t="s">
        <v>775</v>
      </c>
      <c r="C78" s="1190" t="s">
        <v>780</v>
      </c>
      <c r="D78" s="1190">
        <v>13452727</v>
      </c>
      <c r="E78" s="1190">
        <v>15216620.008963902</v>
      </c>
      <c r="F78" s="336">
        <v>13961150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6977647.1987036569</v>
      </c>
      <c r="C83" s="333">
        <v>6286526.8349179998</v>
      </c>
      <c r="D83" s="333">
        <v>6233316.2833892116</v>
      </c>
    </row>
    <row r="84" spans="1:6">
      <c r="A84" s="1190" t="s">
        <v>338</v>
      </c>
      <c r="B84" s="336">
        <v>229205.94683378446</v>
      </c>
      <c r="C84" s="336">
        <v>234443.89398521619</v>
      </c>
      <c r="D84" s="336">
        <v>232303.6172614833</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61119.140387894906</v>
      </c>
    </row>
    <row r="91" spans="1:6">
      <c r="A91" s="1194" t="s">
        <v>68</v>
      </c>
      <c r="B91" s="333">
        <v>5929.3772688564277</v>
      </c>
    </row>
    <row r="92" spans="1:6">
      <c r="A92" s="1190" t="s">
        <v>69</v>
      </c>
      <c r="B92" s="336">
        <v>9916.4411262583144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33975</v>
      </c>
    </row>
    <row r="98" spans="1:6">
      <c r="A98" s="1194" t="s">
        <v>72</v>
      </c>
      <c r="B98" s="333">
        <v>8</v>
      </c>
    </row>
    <row r="99" spans="1:6">
      <c r="A99" s="1194" t="s">
        <v>73</v>
      </c>
      <c r="B99" s="333">
        <v>191</v>
      </c>
    </row>
    <row r="100" spans="1:6">
      <c r="A100" s="1194" t="s">
        <v>74</v>
      </c>
      <c r="B100" s="333">
        <v>3941</v>
      </c>
    </row>
    <row r="101" spans="1:6">
      <c r="A101" s="1194" t="s">
        <v>75</v>
      </c>
      <c r="B101" s="333">
        <v>356</v>
      </c>
    </row>
    <row r="102" spans="1:6">
      <c r="A102" s="1194" t="s">
        <v>76</v>
      </c>
      <c r="B102" s="333">
        <v>1147</v>
      </c>
    </row>
    <row r="103" spans="1:6">
      <c r="A103" s="1194" t="s">
        <v>77</v>
      </c>
      <c r="B103" s="333">
        <v>613</v>
      </c>
    </row>
    <row r="104" spans="1:6">
      <c r="A104" s="1194" t="s">
        <v>78</v>
      </c>
      <c r="B104" s="333">
        <v>8219</v>
      </c>
    </row>
    <row r="105" spans="1:6">
      <c r="A105" s="1190" t="s">
        <v>79</v>
      </c>
      <c r="B105" s="1190">
        <v>33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3</v>
      </c>
    </row>
    <row r="111" spans="1:6">
      <c r="A111" s="1190" t="s">
        <v>671</v>
      </c>
      <c r="B111" s="1190">
        <v>1</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11</v>
      </c>
      <c r="C123" s="333">
        <v>34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174</v>
      </c>
    </row>
    <row r="130" spans="1:6">
      <c r="A130" s="1194" t="s">
        <v>296</v>
      </c>
      <c r="B130" s="333">
        <v>4</v>
      </c>
    </row>
    <row r="131" spans="1:6">
      <c r="A131" s="1194" t="s">
        <v>297</v>
      </c>
      <c r="B131" s="333">
        <v>16</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644165.90330793557</v>
      </c>
      <c r="C3" s="43" t="s">
        <v>171</v>
      </c>
      <c r="D3" s="43"/>
      <c r="E3" s="156"/>
      <c r="F3" s="43"/>
      <c r="G3" s="43"/>
      <c r="H3" s="43"/>
      <c r="I3" s="43"/>
      <c r="J3" s="43"/>
      <c r="K3" s="96"/>
    </row>
    <row r="4" spans="1:11">
      <c r="A4" s="364" t="s">
        <v>172</v>
      </c>
      <c r="B4" s="49">
        <f>IF(ISERROR('SEAP template'!B69),0,'SEAP template'!B69)</f>
        <v>76967.958783009643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0.67333333333333334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0.19459493032716335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3.3666666666666671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0.22444444444444447</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8300.3109999999997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8300.3109999999997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0.19459493032716335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1615.1984407387874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195334.40280228778</v>
      </c>
      <c r="C5" s="17">
        <f>IF(ISERROR('Eigen informatie GS &amp; warmtenet'!B57),0,'Eigen informatie GS &amp; warmtenet'!B57)</f>
        <v>0</v>
      </c>
      <c r="D5" s="30">
        <f>(SUM(HH_hh_gas_kWh,HH_rest_gas_kWh)/1000)*0.902</f>
        <v>588686.33255492221</v>
      </c>
      <c r="E5" s="17">
        <f>B46*B57</f>
        <v>8703.2577351914424</v>
      </c>
      <c r="F5" s="17">
        <f>B51*B62</f>
        <v>0</v>
      </c>
      <c r="G5" s="18"/>
      <c r="H5" s="17"/>
      <c r="I5" s="17"/>
      <c r="J5" s="17">
        <f>B50*B61+C50*C61</f>
        <v>0</v>
      </c>
      <c r="K5" s="17"/>
      <c r="L5" s="17"/>
      <c r="M5" s="17"/>
      <c r="N5" s="17">
        <f>B48*B59+C48*C59</f>
        <v>46935.1679651085</v>
      </c>
      <c r="O5" s="17">
        <f>B69*B70*B71</f>
        <v>325.17333333333335</v>
      </c>
      <c r="P5" s="17">
        <f>B77*B78*B79/1000-B77*B78*B79/1000/B80</f>
        <v>343.2</v>
      </c>
    </row>
    <row r="6" spans="1:16">
      <c r="A6" s="16" t="s">
        <v>633</v>
      </c>
      <c r="B6" s="830">
        <f>kWh_PV_kleiner_dan_10kW</f>
        <v>5929.3772688564277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201263.7800711442</v>
      </c>
      <c r="C8" s="21">
        <f>C5</f>
        <v>0</v>
      </c>
      <c r="D8" s="21">
        <f>D5</f>
        <v>588686.33255492221</v>
      </c>
      <c r="E8" s="21">
        <f>E5</f>
        <v>8703.2577351914424</v>
      </c>
      <c r="F8" s="21">
        <f>F5</f>
        <v>0</v>
      </c>
      <c r="G8" s="21"/>
      <c r="H8" s="21"/>
      <c r="I8" s="21"/>
      <c r="J8" s="21">
        <f>J5</f>
        <v>0</v>
      </c>
      <c r="K8" s="21"/>
      <c r="L8" s="21">
        <f>L5</f>
        <v>0</v>
      </c>
      <c r="M8" s="21">
        <f>M5</f>
        <v>0</v>
      </c>
      <c r="N8" s="21">
        <f>N5</f>
        <v>46935.1679651085</v>
      </c>
      <c r="O8" s="21">
        <f>O5</f>
        <v>325.17333333333335</v>
      </c>
      <c r="P8" s="21">
        <f>P5</f>
        <v>343.2</v>
      </c>
    </row>
    <row r="9" spans="1:16">
      <c r="B9" s="19"/>
      <c r="C9" s="19"/>
      <c r="D9" s="260"/>
      <c r="E9" s="19"/>
      <c r="F9" s="19"/>
      <c r="G9" s="19"/>
      <c r="H9" s="19"/>
      <c r="I9" s="19"/>
      <c r="J9" s="19"/>
      <c r="K9" s="19"/>
      <c r="L9" s="19"/>
      <c r="M9" s="19"/>
      <c r="N9" s="19"/>
      <c r="O9" s="19"/>
      <c r="P9" s="19"/>
    </row>
    <row r="10" spans="1:16">
      <c r="A10" s="24" t="s">
        <v>215</v>
      </c>
      <c r="B10" s="25">
        <f ca="1">'EF ele_warmte'!B12</f>
        <v>0.19459493032716335</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39164.911260325833</v>
      </c>
      <c r="C12" s="23">
        <f ca="1">C10*C8</f>
        <v>0</v>
      </c>
      <c r="D12" s="23">
        <f>D8*D10</f>
        <v>118914.63917609429</v>
      </c>
      <c r="E12" s="23">
        <f>E10*E8</f>
        <v>1975.6395058884575</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33975</v>
      </c>
      <c r="C18" s="167" t="s">
        <v>111</v>
      </c>
      <c r="D18" s="229"/>
      <c r="E18" s="15"/>
    </row>
    <row r="19" spans="1:7">
      <c r="A19" s="172" t="s">
        <v>72</v>
      </c>
      <c r="B19" s="37">
        <f>aantalw2001_ander</f>
        <v>8</v>
      </c>
      <c r="C19" s="167" t="s">
        <v>111</v>
      </c>
      <c r="D19" s="230"/>
      <c r="E19" s="15"/>
    </row>
    <row r="20" spans="1:7">
      <c r="A20" s="172" t="s">
        <v>73</v>
      </c>
      <c r="B20" s="37">
        <f>aantalw2001_propaan</f>
        <v>191</v>
      </c>
      <c r="C20" s="168">
        <f>IF(ISERROR(B20/SUM($B$20,$B$21,$B$22)*100),0,B20/SUM($B$20,$B$21,$B$22)*100)</f>
        <v>4.2557932263814617</v>
      </c>
      <c r="D20" s="230"/>
      <c r="E20" s="15"/>
    </row>
    <row r="21" spans="1:7">
      <c r="A21" s="172" t="s">
        <v>74</v>
      </c>
      <c r="B21" s="37">
        <f>aantalw2001_elektriciteit</f>
        <v>3941</v>
      </c>
      <c r="C21" s="168">
        <f>IF(ISERROR(B21/SUM($B$20,$B$21,$B$22)*100),0,B21/SUM($B$20,$B$21,$B$22)*100)</f>
        <v>87.811942959001783</v>
      </c>
      <c r="D21" s="230"/>
      <c r="E21" s="15"/>
    </row>
    <row r="22" spans="1:7">
      <c r="A22" s="172" t="s">
        <v>75</v>
      </c>
      <c r="B22" s="37">
        <f>aantalw2001_hout</f>
        <v>356</v>
      </c>
      <c r="C22" s="168">
        <f>IF(ISERROR(B22/SUM($B$20,$B$21,$B$22)*100),0,B22/SUM($B$20,$B$21,$B$22)*100)</f>
        <v>7.9322638146167552</v>
      </c>
      <c r="D22" s="230"/>
      <c r="E22" s="15"/>
    </row>
    <row r="23" spans="1:7">
      <c r="A23" s="172" t="s">
        <v>76</v>
      </c>
      <c r="B23" s="37">
        <f>aantalw2001_niet_gespec</f>
        <v>1147</v>
      </c>
      <c r="C23" s="167" t="s">
        <v>111</v>
      </c>
      <c r="D23" s="229"/>
      <c r="E23" s="15"/>
    </row>
    <row r="24" spans="1:7">
      <c r="A24" s="172" t="s">
        <v>77</v>
      </c>
      <c r="B24" s="37">
        <f>aantalw2001_steenkool</f>
        <v>613</v>
      </c>
      <c r="C24" s="167" t="s">
        <v>111</v>
      </c>
      <c r="D24" s="230"/>
      <c r="E24" s="15"/>
    </row>
    <row r="25" spans="1:7">
      <c r="A25" s="172" t="s">
        <v>78</v>
      </c>
      <c r="B25" s="37">
        <f>aantalw2001_stookolie</f>
        <v>8219</v>
      </c>
      <c r="C25" s="167" t="s">
        <v>111</v>
      </c>
      <c r="D25" s="229"/>
      <c r="E25" s="52"/>
    </row>
    <row r="26" spans="1:7">
      <c r="A26" s="172" t="s">
        <v>79</v>
      </c>
      <c r="B26" s="37">
        <f>aantalw2001_WP</f>
        <v>33</v>
      </c>
      <c r="C26" s="167" t="s">
        <v>111</v>
      </c>
      <c r="D26" s="229"/>
      <c r="E26" s="15"/>
    </row>
    <row r="27" spans="1:7" s="15" customFormat="1">
      <c r="A27" s="172"/>
      <c r="B27" s="29"/>
      <c r="C27" s="36"/>
      <c r="D27" s="229"/>
    </row>
    <row r="28" spans="1:7" s="15" customFormat="1">
      <c r="A28" s="231" t="s">
        <v>713</v>
      </c>
      <c r="B28" s="37">
        <f>aantalHuishoudens2011</f>
        <v>52271</v>
      </c>
      <c r="C28" s="36"/>
      <c r="D28" s="229"/>
    </row>
    <row r="29" spans="1:7" s="15" customFormat="1">
      <c r="A29" s="231" t="s">
        <v>714</v>
      </c>
      <c r="B29" s="37">
        <f>SUM(HH_hh_gas_aantal,HH_rest_gas_aantal)</f>
        <v>42311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42311</v>
      </c>
      <c r="C32" s="168">
        <f>IF(ISERROR(B32/SUM($B$32,$B$34,$B$35,$B$36,$B$38,$B$39)*100),0,B32/SUM($B$32,$B$34,$B$35,$B$36,$B$38,$B$39)*100)</f>
        <v>80.97334124356496</v>
      </c>
      <c r="D32" s="234"/>
      <c r="G32" s="15"/>
    </row>
    <row r="33" spans="1:7">
      <c r="A33" s="172" t="s">
        <v>72</v>
      </c>
      <c r="B33" s="34" t="s">
        <v>111</v>
      </c>
      <c r="C33" s="168"/>
      <c r="D33" s="234"/>
      <c r="G33" s="15"/>
    </row>
    <row r="34" spans="1:7">
      <c r="A34" s="172" t="s">
        <v>73</v>
      </c>
      <c r="B34" s="33">
        <f>IF((($B$28-$B$32-$B$39-$B$77-$B$38)*C20/100)&lt;0,0,($B$28-$B$32-$B$39-$B$77-$B$38)*C20/100)</f>
        <v>423.11096256684488</v>
      </c>
      <c r="C34" s="168">
        <f>IF(ISERROR(B34/SUM($B$32,$B$34,$B$35,$B$36,$B$38,$B$39)*100),0,B34/SUM($B$32,$B$34,$B$35,$B$36,$B$38,$B$39)*100)</f>
        <v>0.80973525456307749</v>
      </c>
      <c r="D34" s="234"/>
      <c r="G34" s="15"/>
    </row>
    <row r="35" spans="1:7">
      <c r="A35" s="172" t="s">
        <v>74</v>
      </c>
      <c r="B35" s="33">
        <f>IF((($B$28-$B$32-$B$39-$B$77-$B$38)*C21/100)&lt;0,0,($B$28-$B$32-$B$39-$B$77-$B$38)*C21/100)</f>
        <v>8730.2633689839568</v>
      </c>
      <c r="C35" s="168">
        <f>IF(ISERROR(B35/SUM($B$32,$B$34,$B$35,$B$36,$B$38,$B$39)*100),0,B35/SUM($B$32,$B$34,$B$35,$B$36,$B$38,$B$39)*100)</f>
        <v>16.707678734204652</v>
      </c>
      <c r="D35" s="234"/>
      <c r="G35" s="15"/>
    </row>
    <row r="36" spans="1:7">
      <c r="A36" s="172" t="s">
        <v>75</v>
      </c>
      <c r="B36" s="33">
        <f>IF((($B$28-$B$32-$B$39-$B$77-$B$38)*C22/100)&lt;0,0,($B$28-$B$32-$B$39-$B$77-$B$38)*C22/100)</f>
        <v>788.62566844919786</v>
      </c>
      <c r="C36" s="168">
        <f>IF(ISERROR(B36/SUM($B$32,$B$34,$B$35,$B$36,$B$38,$B$39)*100),0,B36/SUM($B$32,$B$34,$B$35,$B$36,$B$38,$B$39)*100)</f>
        <v>1.5092447676673069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42311</v>
      </c>
      <c r="C44" s="34" t="s">
        <v>111</v>
      </c>
      <c r="D44" s="175"/>
    </row>
    <row r="45" spans="1:7">
      <c r="A45" s="172" t="s">
        <v>72</v>
      </c>
      <c r="B45" s="33" t="str">
        <f t="shared" si="0"/>
        <v>-</v>
      </c>
      <c r="C45" s="34" t="s">
        <v>111</v>
      </c>
      <c r="D45" s="175"/>
    </row>
    <row r="46" spans="1:7">
      <c r="A46" s="172" t="s">
        <v>73</v>
      </c>
      <c r="B46" s="33">
        <f t="shared" si="0"/>
        <v>423.11096256684488</v>
      </c>
      <c r="C46" s="34" t="s">
        <v>111</v>
      </c>
      <c r="D46" s="175"/>
    </row>
    <row r="47" spans="1:7">
      <c r="A47" s="172" t="s">
        <v>74</v>
      </c>
      <c r="B47" s="33">
        <f t="shared" si="0"/>
        <v>8730.2633689839568</v>
      </c>
      <c r="C47" s="34" t="s">
        <v>111</v>
      </c>
      <c r="D47" s="175"/>
    </row>
    <row r="48" spans="1:7">
      <c r="A48" s="172" t="s">
        <v>75</v>
      </c>
      <c r="B48" s="33">
        <f t="shared" si="0"/>
        <v>788.62566844919786</v>
      </c>
      <c r="C48" s="33">
        <f>B48*10</f>
        <v>7886.2566844919784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208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322055.77504013199</v>
      </c>
      <c r="C5" s="17">
        <f>IF(ISERROR('Eigen informatie GS &amp; warmtenet'!B58),0,'Eigen informatie GS &amp; warmtenet'!B58)</f>
        <v>0</v>
      </c>
      <c r="D5" s="30">
        <f>SUM(D6:D12)</f>
        <v>352124.72103913693</v>
      </c>
      <c r="E5" s="17">
        <f>SUM(E6:E12)</f>
        <v>7160.4514422598513</v>
      </c>
      <c r="F5" s="17">
        <f>SUM(F6:F12)</f>
        <v>63340.456170610654</v>
      </c>
      <c r="G5" s="18"/>
      <c r="H5" s="17"/>
      <c r="I5" s="17"/>
      <c r="J5" s="17">
        <f>SUM(J6:J12)</f>
        <v>0</v>
      </c>
      <c r="K5" s="17"/>
      <c r="L5" s="17"/>
      <c r="M5" s="17"/>
      <c r="N5" s="17">
        <f>SUM(N6:N12)</f>
        <v>8283.7554719354466</v>
      </c>
      <c r="O5" s="17">
        <f>B38*B39*B40</f>
        <v>6.2533333333333339</v>
      </c>
      <c r="P5" s="17">
        <f>B46*B47*B48/1000-B46*B47*B48/1000/B49</f>
        <v>305.06666666666666</v>
      </c>
      <c r="R5" s="32"/>
    </row>
    <row r="6" spans="1:18">
      <c r="A6" s="32" t="s">
        <v>54</v>
      </c>
      <c r="B6" s="37">
        <f>B26</f>
        <v>107136.06302998599</v>
      </c>
      <c r="C6" s="33"/>
      <c r="D6" s="37">
        <f>IF(ISERROR(TER_kantoor_gas_kWh/1000),0,TER_kantoor_gas_kWh/1000)*0.902</f>
        <v>96864.359168880197</v>
      </c>
      <c r="E6" s="33">
        <f>$C$26*'E Balans VL '!I12/100/3.6*1000000</f>
        <v>3750.1836521769669</v>
      </c>
      <c r="F6" s="33">
        <f>$C$26*('E Balans VL '!L12+'E Balans VL '!N12)/100/3.6*1000000</f>
        <v>16244.127344079348</v>
      </c>
      <c r="G6" s="34"/>
      <c r="H6" s="33"/>
      <c r="I6" s="33"/>
      <c r="J6" s="33">
        <f>$C$26*('E Balans VL '!D12+'E Balans VL '!E12)/100/3.6*1000000</f>
        <v>0</v>
      </c>
      <c r="K6" s="33"/>
      <c r="L6" s="33"/>
      <c r="M6" s="33"/>
      <c r="N6" s="33">
        <f>$C$26*'E Balans VL '!Y12/100/3.6*1000000</f>
        <v>828.12823455692376</v>
      </c>
      <c r="O6" s="33"/>
      <c r="P6" s="33"/>
      <c r="R6" s="32"/>
    </row>
    <row r="7" spans="1:18">
      <c r="A7" s="32" t="s">
        <v>53</v>
      </c>
      <c r="B7" s="37">
        <f t="shared" ref="B7:B12" si="0">B27</f>
        <v>43120.763658833501</v>
      </c>
      <c r="C7" s="33"/>
      <c r="D7" s="37">
        <f>IF(ISERROR(TER_horeca_gas_kWh/1000),0,TER_horeca_gas_kWh/1000)*0.902</f>
        <v>54499.433064028904</v>
      </c>
      <c r="E7" s="33">
        <f>$C$27*'E Balans VL '!I9/100/3.6*1000000</f>
        <v>2432.5844368764642</v>
      </c>
      <c r="F7" s="33">
        <f>$C$27*('E Balans VL '!L9+'E Balans VL '!N9)/100/3.6*1000000</f>
        <v>7511.875662738792</v>
      </c>
      <c r="G7" s="34"/>
      <c r="H7" s="33"/>
      <c r="I7" s="33"/>
      <c r="J7" s="33">
        <f>$C$27*('E Balans VL '!D9+'E Balans VL '!E9)/100/3.6*1000000</f>
        <v>0</v>
      </c>
      <c r="K7" s="33"/>
      <c r="L7" s="33"/>
      <c r="M7" s="33"/>
      <c r="N7" s="33">
        <f>$C$27*'E Balans VL '!Y9/100/3.6*1000000</f>
        <v>0</v>
      </c>
      <c r="O7" s="33"/>
      <c r="P7" s="33"/>
      <c r="R7" s="32"/>
    </row>
    <row r="8" spans="1:18">
      <c r="A8" s="6" t="s">
        <v>52</v>
      </c>
      <c r="B8" s="37">
        <f t="shared" si="0"/>
        <v>85375.941796043102</v>
      </c>
      <c r="C8" s="33"/>
      <c r="D8" s="37">
        <f>IF(ISERROR(TER_handel_gas_kWh/1000),0,TER_handel_gas_kWh/1000)*0.902</f>
        <v>50091.015105400344</v>
      </c>
      <c r="E8" s="33">
        <f>$C$28*'E Balans VL '!I13/100/3.6*1000000</f>
        <v>438.3114111110022</v>
      </c>
      <c r="F8" s="33">
        <f>$C$28*('E Balans VL '!L13+'E Balans VL '!N13)/100/3.6*1000000</f>
        <v>13163.651031227953</v>
      </c>
      <c r="G8" s="34"/>
      <c r="H8" s="33"/>
      <c r="I8" s="33"/>
      <c r="J8" s="33">
        <f>$C$28*('E Balans VL '!D13+'E Balans VL '!E13)/100/3.6*1000000</f>
        <v>0</v>
      </c>
      <c r="K8" s="33"/>
      <c r="L8" s="33"/>
      <c r="M8" s="33"/>
      <c r="N8" s="33">
        <f>$C$28*'E Balans VL '!Y13/100/3.6*1000000</f>
        <v>39.931370131656784</v>
      </c>
      <c r="O8" s="33"/>
      <c r="P8" s="33"/>
      <c r="R8" s="32"/>
    </row>
    <row r="9" spans="1:18">
      <c r="A9" s="32" t="s">
        <v>51</v>
      </c>
      <c r="B9" s="37">
        <f t="shared" si="0"/>
        <v>30296.673261419503</v>
      </c>
      <c r="C9" s="33"/>
      <c r="D9" s="37">
        <f>IF(ISERROR(TER_gezond_gas_kWh/1000),0,TER_gezond_gas_kWh/1000)*0.902</f>
        <v>39663.89502686997</v>
      </c>
      <c r="E9" s="33">
        <f>$C$29*'E Balans VL '!I10/100/3.6*1000000</f>
        <v>12.557755301684395</v>
      </c>
      <c r="F9" s="33">
        <f>$C$29*('E Balans VL '!L10+'E Balans VL '!N10)/100/3.6*1000000</f>
        <v>7461.6361120323681</v>
      </c>
      <c r="G9" s="34"/>
      <c r="H9" s="33"/>
      <c r="I9" s="33"/>
      <c r="J9" s="33">
        <f>$C$29*('E Balans VL '!D10+'E Balans VL '!E10)/100/3.6*1000000</f>
        <v>0</v>
      </c>
      <c r="K9" s="33"/>
      <c r="L9" s="33"/>
      <c r="M9" s="33"/>
      <c r="N9" s="33">
        <f>$C$29*'E Balans VL '!Y10/100/3.6*1000000</f>
        <v>261.83824503564108</v>
      </c>
      <c r="O9" s="33"/>
      <c r="P9" s="33"/>
      <c r="R9" s="32"/>
    </row>
    <row r="10" spans="1:18">
      <c r="A10" s="32" t="s">
        <v>50</v>
      </c>
      <c r="B10" s="37">
        <f t="shared" si="0"/>
        <v>28933.736919962001</v>
      </c>
      <c r="C10" s="33"/>
      <c r="D10" s="37">
        <f>IF(ISERROR(TER_ander_gas_kWh/1000),0,TER_ander_gas_kWh/1000)*0.902</f>
        <v>54510.529030525082</v>
      </c>
      <c r="E10" s="33">
        <f>$C$30*'E Balans VL '!I14/100/3.6*1000000</f>
        <v>176.38077413742553</v>
      </c>
      <c r="F10" s="33">
        <f>$C$30*('E Balans VL '!L14+'E Balans VL '!N14)/100/3.6*1000000</f>
        <v>7670.7300047181106</v>
      </c>
      <c r="G10" s="34"/>
      <c r="H10" s="33"/>
      <c r="I10" s="33"/>
      <c r="J10" s="33">
        <f>$C$30*('E Balans VL '!D14+'E Balans VL '!E14)/100/3.6*1000000</f>
        <v>0</v>
      </c>
      <c r="K10" s="33"/>
      <c r="L10" s="33"/>
      <c r="M10" s="33"/>
      <c r="N10" s="33">
        <f>$C$30*'E Balans VL '!Y14/100/3.6*1000000</f>
        <v>6668.6011480146444</v>
      </c>
      <c r="O10" s="33"/>
      <c r="P10" s="33"/>
      <c r="R10" s="32"/>
    </row>
    <row r="11" spans="1:18">
      <c r="A11" s="32" t="s">
        <v>55</v>
      </c>
      <c r="B11" s="37">
        <f t="shared" si="0"/>
        <v>11252.9680134557</v>
      </c>
      <c r="C11" s="33"/>
      <c r="D11" s="37">
        <f>IF(ISERROR(TER_onderwijs_gas_kWh/1000),0,TER_onderwijs_gas_kWh/1000)*0.902</f>
        <v>29181.502017960534</v>
      </c>
      <c r="E11" s="33">
        <f>$C$31*'E Balans VL '!I11/100/3.6*1000000</f>
        <v>8.5753475744878553</v>
      </c>
      <c r="F11" s="33">
        <f>$C$31*('E Balans VL '!L11+'E Balans VL '!N11)/100/3.6*1000000</f>
        <v>8143.2643428427409</v>
      </c>
      <c r="G11" s="34"/>
      <c r="H11" s="33"/>
      <c r="I11" s="33"/>
      <c r="J11" s="33">
        <f>$C$31*('E Balans VL '!D11+'E Balans VL '!E11)/100/3.6*1000000</f>
        <v>0</v>
      </c>
      <c r="K11" s="33"/>
      <c r="L11" s="33"/>
      <c r="M11" s="33"/>
      <c r="N11" s="33">
        <f>$C$31*'E Balans VL '!Y11/100/3.6*1000000</f>
        <v>33.16518614600281</v>
      </c>
      <c r="O11" s="33"/>
      <c r="P11" s="33"/>
      <c r="R11" s="32"/>
    </row>
    <row r="12" spans="1:18">
      <c r="A12" s="32" t="s">
        <v>261</v>
      </c>
      <c r="B12" s="37">
        <f t="shared" si="0"/>
        <v>15939.6283604322</v>
      </c>
      <c r="C12" s="33"/>
      <c r="D12" s="37">
        <f>IF(ISERROR(TER_rest_gas_kWh/1000),0,TER_rest_gas_kWh/1000)*0.902</f>
        <v>27313.987625471873</v>
      </c>
      <c r="E12" s="33">
        <f>$C$32*'E Balans VL '!I8/100/3.6*1000000</f>
        <v>341.85806508181963</v>
      </c>
      <c r="F12" s="33">
        <f>$C$32*('E Balans VL '!L8+'E Balans VL '!N8)/100/3.6*1000000</f>
        <v>3145.171672971338</v>
      </c>
      <c r="G12" s="34"/>
      <c r="H12" s="33"/>
      <c r="I12" s="33"/>
      <c r="J12" s="33">
        <f>$C$32*('E Balans VL '!D8+'E Balans VL '!E8)/100/3.6*1000000</f>
        <v>0</v>
      </c>
      <c r="K12" s="33"/>
      <c r="L12" s="33"/>
      <c r="M12" s="33"/>
      <c r="N12" s="33">
        <f>$C$32*'E Balans VL '!Y8/100/3.6*1000000</f>
        <v>452.09128805057674</v>
      </c>
      <c r="O12" s="33"/>
      <c r="P12" s="33"/>
      <c r="R12" s="32"/>
    </row>
    <row r="13" spans="1:18">
      <c r="A13" s="16" t="s">
        <v>497</v>
      </c>
      <c r="B13" s="248">
        <f ca="1">'lokale energieproductie'!N90+'lokale energieproductie'!N59</f>
        <v>3</v>
      </c>
      <c r="C13" s="248">
        <f ca="1">'lokale energieproductie'!O90+'lokale energieproductie'!O59</f>
        <v>15</v>
      </c>
      <c r="D13" s="311">
        <f ca="1">('lokale energieproductie'!P59+'lokale energieproductie'!P90)*(-1)</f>
        <v>-20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322058.77504013199</v>
      </c>
      <c r="C16" s="21">
        <f ca="1">C5+C13+C14</f>
        <v>15</v>
      </c>
      <c r="D16" s="21">
        <f t="shared" ref="D16:N16" ca="1" si="1">MAX((D5+D13+D14),0)</f>
        <v>352104.72103913693</v>
      </c>
      <c r="E16" s="21">
        <f t="shared" si="1"/>
        <v>7160.4514422598513</v>
      </c>
      <c r="F16" s="21">
        <f t="shared" ca="1" si="1"/>
        <v>63340.456170610654</v>
      </c>
      <c r="G16" s="21">
        <f t="shared" si="1"/>
        <v>0</v>
      </c>
      <c r="H16" s="21">
        <f t="shared" si="1"/>
        <v>0</v>
      </c>
      <c r="I16" s="21">
        <f t="shared" si="1"/>
        <v>0</v>
      </c>
      <c r="J16" s="21">
        <f t="shared" si="1"/>
        <v>0</v>
      </c>
      <c r="K16" s="21">
        <f t="shared" si="1"/>
        <v>0</v>
      </c>
      <c r="L16" s="21">
        <f t="shared" ca="1" si="1"/>
        <v>0</v>
      </c>
      <c r="M16" s="21">
        <f t="shared" si="1"/>
        <v>0</v>
      </c>
      <c r="N16" s="21">
        <f t="shared" ca="1" si="1"/>
        <v>8283.7554719354466</v>
      </c>
      <c r="O16" s="21">
        <f>O5</f>
        <v>6.2533333333333339</v>
      </c>
      <c r="P16" s="21">
        <f>P5</f>
        <v>305.06666666666666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0.19459493032716335</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62671.004890186057</v>
      </c>
      <c r="C20" s="23">
        <f t="shared" ref="C20:P20" ca="1" si="2">C16*C18</f>
        <v>3.3666666666666671</v>
      </c>
      <c r="D20" s="23">
        <f t="shared" ca="1" si="2"/>
        <v>71125.153649905667</v>
      </c>
      <c r="E20" s="23">
        <f t="shared" si="2"/>
        <v>1625.4224773929864</v>
      </c>
      <c r="F20" s="23">
        <f t="shared" ca="1" si="2"/>
        <v>16911.901797553044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107136.06302998599</v>
      </c>
      <c r="C26" s="39">
        <f>IF(ISERROR(B26*3.6/1000000/'E Balans VL '!Z12*100),0,B26*3.6/1000000/'E Balans VL '!Z12*100)</f>
        <v>2.2545007746793044</v>
      </c>
      <c r="D26" s="238" t="s">
        <v>720</v>
      </c>
      <c r="F26" s="6"/>
    </row>
    <row r="27" spans="1:18">
      <c r="A27" s="232" t="s">
        <v>53</v>
      </c>
      <c r="B27" s="33">
        <f>IF(ISERROR(TER_horeca_ele_kWh/1000),0,TER_horeca_ele_kWh/1000)</f>
        <v>43120.763658833501</v>
      </c>
      <c r="C27" s="39">
        <f>IF(ISERROR(B27*3.6/1000000/'E Balans VL '!Z9*100),0,B27*3.6/1000000/'E Balans VL '!Z9*100)</f>
        <v>3.6509138907696448</v>
      </c>
      <c r="D27" s="238" t="s">
        <v>720</v>
      </c>
      <c r="F27" s="6"/>
    </row>
    <row r="28" spans="1:18">
      <c r="A28" s="172" t="s">
        <v>52</v>
      </c>
      <c r="B28" s="33">
        <f>IF(ISERROR(TER_handel_ele_kWh/1000),0,TER_handel_ele_kWh/1000)</f>
        <v>85375.941796043102</v>
      </c>
      <c r="C28" s="39">
        <f>IF(ISERROR(B28*3.6/1000000/'E Balans VL '!Z13*100),0,B28*3.6/1000000/'E Balans VL '!Z13*100)</f>
        <v>2.3636211429196958</v>
      </c>
      <c r="D28" s="238" t="s">
        <v>720</v>
      </c>
      <c r="F28" s="6"/>
    </row>
    <row r="29" spans="1:18">
      <c r="A29" s="232" t="s">
        <v>51</v>
      </c>
      <c r="B29" s="33">
        <f>IF(ISERROR(TER_gezond_ele_kWh/1000),0,TER_gezond_ele_kWh/1000)</f>
        <v>30296.673261419503</v>
      </c>
      <c r="C29" s="39">
        <f>IF(ISERROR(B29*3.6/1000000/'E Balans VL '!Z10*100),0,B29*3.6/1000000/'E Balans VL '!Z10*100)</f>
        <v>3.9382316462015363</v>
      </c>
      <c r="D29" s="238" t="s">
        <v>720</v>
      </c>
      <c r="F29" s="6"/>
    </row>
    <row r="30" spans="1:18">
      <c r="A30" s="232" t="s">
        <v>50</v>
      </c>
      <c r="B30" s="33">
        <f>IF(ISERROR(TER_ander_ele_kWh/1000),0,TER_ander_ele_kWh/1000)</f>
        <v>28933.736919962001</v>
      </c>
      <c r="C30" s="39">
        <f>IF(ISERROR(B30*3.6/1000000/'E Balans VL '!Z14*100),0,B30*3.6/1000000/'E Balans VL '!Z14*100)</f>
        <v>2.2426299539344057</v>
      </c>
      <c r="D30" s="238" t="s">
        <v>720</v>
      </c>
      <c r="F30" s="6"/>
    </row>
    <row r="31" spans="1:18">
      <c r="A31" s="232" t="s">
        <v>55</v>
      </c>
      <c r="B31" s="33">
        <f>IF(ISERROR(TER_onderwijs_ele_kWh/1000),0,TER_onderwijs_ele_kWh/1000)</f>
        <v>11252.9680134557</v>
      </c>
      <c r="C31" s="39">
        <f>IF(ISERROR(B31*3.6/1000000/'E Balans VL '!Z11*100),0,B31*3.6/1000000/'E Balans VL '!Z11*100)</f>
        <v>2.1528845274912571</v>
      </c>
      <c r="D31" s="238" t="s">
        <v>720</v>
      </c>
    </row>
    <row r="32" spans="1:18">
      <c r="A32" s="232" t="s">
        <v>261</v>
      </c>
      <c r="B32" s="33">
        <f>IF(ISERROR(TER_rest_ele_kWh/1000),0,TER_rest_ele_kWh/1000)</f>
        <v>15939.6283604322</v>
      </c>
      <c r="C32" s="39">
        <f>IF(ISERROR(B32*3.6/1000000/'E Balans VL '!Z8*100),0,B32*3.6/1000000/'E Balans VL '!Z8*100)</f>
        <v>0.13143447612045378</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4</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16</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103116.37513233896</v>
      </c>
      <c r="C5" s="17">
        <f>IF(ISERROR('Eigen informatie GS &amp; warmtenet'!B59),0,'Eigen informatie GS &amp; warmtenet'!B59)</f>
        <v>0</v>
      </c>
      <c r="D5" s="30">
        <f>SUM(D6:D15)</f>
        <v>140994.56851832851</v>
      </c>
      <c r="E5" s="17">
        <f>SUM(E6:E15)</f>
        <v>1155.6238958043705</v>
      </c>
      <c r="F5" s="17">
        <f>SUM(F6:F15)</f>
        <v>27874.402353193414</v>
      </c>
      <c r="G5" s="18"/>
      <c r="H5" s="17"/>
      <c r="I5" s="17"/>
      <c r="J5" s="17">
        <f>SUM(J6:J15)</f>
        <v>549.55633465397318</v>
      </c>
      <c r="K5" s="17"/>
      <c r="L5" s="17"/>
      <c r="M5" s="17"/>
      <c r="N5" s="17">
        <f>SUM(N6:N15)</f>
        <v>2459.5835245576664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4001.8477174766704</v>
      </c>
      <c r="C8" s="33"/>
      <c r="D8" s="37">
        <f>IF( ISERROR(IND_metaal_Gas_kWH/1000),0,IND_metaal_Gas_kWH/1000)*0.902</f>
        <v>13402.53358293408</v>
      </c>
      <c r="E8" s="33">
        <f>C30*'E Balans VL '!I18/100/3.6*1000000</f>
        <v>28.120100943061342</v>
      </c>
      <c r="F8" s="33">
        <f>C30*'E Balans VL '!L18/100/3.6*1000000+C30*'E Balans VL '!N18/100/3.6*1000000</f>
        <v>439.37946626527264</v>
      </c>
      <c r="G8" s="34"/>
      <c r="H8" s="33"/>
      <c r="I8" s="33"/>
      <c r="J8" s="40">
        <f>C30*'E Balans VL '!D18/100/3.6*1000000+C30*'E Balans VL '!E18/100/3.6*1000000</f>
        <v>82.566743961188379</v>
      </c>
      <c r="K8" s="33"/>
      <c r="L8" s="33"/>
      <c r="M8" s="33"/>
      <c r="N8" s="33">
        <f>C30*'E Balans VL '!Y18/100/3.6*1000000</f>
        <v>14.999213457866031</v>
      </c>
      <c r="O8" s="33"/>
      <c r="P8" s="33"/>
      <c r="R8" s="32"/>
    </row>
    <row r="9" spans="1:18">
      <c r="A9" s="6" t="s">
        <v>33</v>
      </c>
      <c r="B9" s="37">
        <f t="shared" si="0"/>
        <v>15750.344407529301</v>
      </c>
      <c r="C9" s="33"/>
      <c r="D9" s="37">
        <f>IF( ISERROR(IND_andere_gas_kWh/1000),0,IND_andere_gas_kWh/1000)*0.902</f>
        <v>10698.823365710152</v>
      </c>
      <c r="E9" s="33">
        <f>C31*'E Balans VL '!I19/100/3.6*1000000</f>
        <v>264.54632911240208</v>
      </c>
      <c r="F9" s="33">
        <f>C31*'E Balans VL '!L19/100/3.6*1000000+C31*'E Balans VL '!N19/100/3.6*1000000</f>
        <v>12312.722185171193</v>
      </c>
      <c r="G9" s="34"/>
      <c r="H9" s="33"/>
      <c r="I9" s="33"/>
      <c r="J9" s="40">
        <f>C31*'E Balans VL '!D19/100/3.6*1000000+C31*'E Balans VL '!E19/100/3.6*1000000</f>
        <v>1.420542031206534</v>
      </c>
      <c r="K9" s="33"/>
      <c r="L9" s="33"/>
      <c r="M9" s="33"/>
      <c r="N9" s="33">
        <f>C31*'E Balans VL '!Y19/100/3.6*1000000</f>
        <v>1167.3532126276243</v>
      </c>
      <c r="O9" s="33"/>
      <c r="P9" s="33"/>
      <c r="R9" s="32"/>
    </row>
    <row r="10" spans="1:18">
      <c r="A10" s="6" t="s">
        <v>41</v>
      </c>
      <c r="B10" s="37">
        <f t="shared" si="0"/>
        <v>16036.3286553322</v>
      </c>
      <c r="C10" s="33"/>
      <c r="D10" s="37">
        <f>IF( ISERROR(IND_voed_gas_kWh/1000),0,IND_voed_gas_kWh/1000)*0.902</f>
        <v>8961.1808901996592</v>
      </c>
      <c r="E10" s="33">
        <f>C32*'E Balans VL '!I20/100/3.6*1000000</f>
        <v>146.30879875519867</v>
      </c>
      <c r="F10" s="33">
        <f>C32*'E Balans VL '!L20/100/3.6*1000000+C32*'E Balans VL '!N20/100/3.6*1000000</f>
        <v>2587.1613991115291</v>
      </c>
      <c r="G10" s="34"/>
      <c r="H10" s="33"/>
      <c r="I10" s="33"/>
      <c r="J10" s="40">
        <f>C32*'E Balans VL '!D20/100/3.6*1000000+C32*'E Balans VL '!E20/100/3.6*1000000</f>
        <v>66.048115328651861</v>
      </c>
      <c r="K10" s="33"/>
      <c r="L10" s="33"/>
      <c r="M10" s="33"/>
      <c r="N10" s="33">
        <f>C32*'E Balans VL '!Y20/100/3.6*1000000</f>
        <v>234.59884322746993</v>
      </c>
      <c r="O10" s="33"/>
      <c r="P10" s="33"/>
      <c r="R10" s="32"/>
    </row>
    <row r="11" spans="1:18">
      <c r="A11" s="6" t="s">
        <v>40</v>
      </c>
      <c r="B11" s="37">
        <f t="shared" si="0"/>
        <v>349.02096913600604</v>
      </c>
      <c r="C11" s="33"/>
      <c r="D11" s="37">
        <f>IF( ISERROR(IND_textiel_gas_kWh/1000),0,IND_textiel_gas_kWh/1000)*0.902</f>
        <v>465.90085423783552</v>
      </c>
      <c r="E11" s="33">
        <f>C33*'E Balans VL '!I21/100/3.6*1000000</f>
        <v>0.79605208997745558</v>
      </c>
      <c r="F11" s="33">
        <f>C33*'E Balans VL '!L21/100/3.6*1000000+C33*'E Balans VL '!N21/100/3.6*1000000</f>
        <v>7.4606469307726195</v>
      </c>
      <c r="G11" s="34"/>
      <c r="H11" s="33"/>
      <c r="I11" s="33"/>
      <c r="J11" s="40">
        <f>C33*'E Balans VL '!D21/100/3.6*1000000+C33*'E Balans VL '!E21/100/3.6*1000000</f>
        <v>0</v>
      </c>
      <c r="K11" s="33"/>
      <c r="L11" s="33"/>
      <c r="M11" s="33"/>
      <c r="N11" s="33">
        <f>C33*'E Balans VL '!Y21/100/3.6*1000000</f>
        <v>2.4759076687903954</v>
      </c>
      <c r="O11" s="33"/>
      <c r="P11" s="33"/>
      <c r="R11" s="32"/>
    </row>
    <row r="12" spans="1:18">
      <c r="A12" s="6" t="s">
        <v>37</v>
      </c>
      <c r="B12" s="37">
        <f t="shared" si="0"/>
        <v>2830.1327159750899</v>
      </c>
      <c r="C12" s="33"/>
      <c r="D12" s="37">
        <f>IF( ISERROR(IND_min_gas_kWh/1000),0,IND_min_gas_kWh/1000)*0.902</f>
        <v>52.386665907093878</v>
      </c>
      <c r="E12" s="33">
        <f>C34*'E Balans VL '!I22/100/3.6*1000000</f>
        <v>70.196492254382477</v>
      </c>
      <c r="F12" s="33">
        <f>C34*'E Balans VL '!L22/100/3.6*1000000+C34*'E Balans VL '!N22/100/3.6*1000000</f>
        <v>300.72869958252505</v>
      </c>
      <c r="G12" s="34"/>
      <c r="H12" s="33"/>
      <c r="I12" s="33"/>
      <c r="J12" s="40">
        <f>C34*'E Balans VL '!D22/100/3.6*1000000+C34*'E Balans VL '!E22/100/3.6*1000000</f>
        <v>16.076814441643307</v>
      </c>
      <c r="K12" s="33"/>
      <c r="L12" s="33"/>
      <c r="M12" s="33"/>
      <c r="N12" s="33">
        <f>C34*'E Balans VL '!Y22/100/3.6*1000000</f>
        <v>0</v>
      </c>
      <c r="O12" s="33"/>
      <c r="P12" s="33"/>
      <c r="R12" s="32"/>
    </row>
    <row r="13" spans="1:18">
      <c r="A13" s="6" t="s">
        <v>39</v>
      </c>
      <c r="B13" s="37">
        <f t="shared" si="0"/>
        <v>3919.5469002179202</v>
      </c>
      <c r="C13" s="33"/>
      <c r="D13" s="37">
        <f>IF( ISERROR(IND_papier_gas_kWh/1000),0,IND_papier_gas_kWh/1000)*0.902</f>
        <v>1604.809811867256</v>
      </c>
      <c r="E13" s="33">
        <f>C35*'E Balans VL '!I23/100/3.6*1000000</f>
        <v>120.59422901332567</v>
      </c>
      <c r="F13" s="33">
        <f>C35*'E Balans VL '!L23/100/3.6*1000000+C35*'E Balans VL '!N23/100/3.6*1000000</f>
        <v>832.25678698731758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3282.1671546521698</v>
      </c>
      <c r="C14" s="33"/>
      <c r="D14" s="37">
        <f>IF( ISERROR(IND_chemie_gas_kWh/1000),0,IND_chemie_gas_kWh/1000)*0.902</f>
        <v>119.05193392231709</v>
      </c>
      <c r="E14" s="33">
        <f>C36*'E Balans VL '!I24/100/3.6*1000000</f>
        <v>11.128807301693898</v>
      </c>
      <c r="F14" s="33">
        <f>C36*'E Balans VL '!L24/100/3.6*1000000+C36*'E Balans VL '!N24/100/3.6*1000000</f>
        <v>10.533269622722596</v>
      </c>
      <c r="G14" s="34"/>
      <c r="H14" s="33"/>
      <c r="I14" s="33"/>
      <c r="J14" s="40">
        <f>C36*'E Balans VL '!D24/100/3.6*1000000+C36*'E Balans VL '!E24/100/3.6*1000000</f>
        <v>0</v>
      </c>
      <c r="K14" s="33"/>
      <c r="L14" s="33"/>
      <c r="M14" s="33"/>
      <c r="N14" s="33">
        <f>C36*'E Balans VL '!Y24/100/3.6*1000000</f>
        <v>15.346524132028325</v>
      </c>
      <c r="O14" s="33"/>
      <c r="P14" s="33"/>
      <c r="R14" s="32"/>
    </row>
    <row r="15" spans="1:18">
      <c r="A15" s="6" t="s">
        <v>271</v>
      </c>
      <c r="B15" s="37">
        <f t="shared" si="0"/>
        <v>56946.986612019602</v>
      </c>
      <c r="C15" s="33"/>
      <c r="D15" s="37">
        <f>IF( ISERROR(IND_rest_gas_kWh/1000),0,IND_rest_gas_kWh/1000)*0.902</f>
        <v>105689.88141355012</v>
      </c>
      <c r="E15" s="33">
        <f>C37*'E Balans VL '!I15/100/3.6*1000000</f>
        <v>513.93308633432889</v>
      </c>
      <c r="F15" s="33">
        <f>C37*'E Balans VL '!L15/100/3.6*1000000+C37*'E Balans VL '!N15/100/3.6*1000000</f>
        <v>11384.159899522081</v>
      </c>
      <c r="G15" s="34"/>
      <c r="H15" s="33"/>
      <c r="I15" s="33"/>
      <c r="J15" s="40">
        <f>C37*'E Balans VL '!D15/100/3.6*1000000+C37*'E Balans VL '!E15/100/3.6*1000000</f>
        <v>383.4441188912831</v>
      </c>
      <c r="K15" s="33"/>
      <c r="L15" s="33"/>
      <c r="M15" s="33"/>
      <c r="N15" s="33">
        <f>C37*'E Balans VL '!Y15/100/3.6*1000000</f>
        <v>1024.8098234438871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103116.37513233896</v>
      </c>
      <c r="C18" s="21">
        <f>C5+C16</f>
        <v>0</v>
      </c>
      <c r="D18" s="21">
        <f>MAX((D5+D16),0)</f>
        <v>140994.56851832851</v>
      </c>
      <c r="E18" s="21">
        <f>MAX((E5+E16),0)</f>
        <v>1155.6238958043705</v>
      </c>
      <c r="F18" s="21">
        <f>MAX((F5+F16),0)</f>
        <v>27874.402353193414</v>
      </c>
      <c r="G18" s="21"/>
      <c r="H18" s="21"/>
      <c r="I18" s="21"/>
      <c r="J18" s="21">
        <f>MAX((J5+J16),0)</f>
        <v>549.55633465397318</v>
      </c>
      <c r="K18" s="21"/>
      <c r="L18" s="21">
        <f>MAX((L5+L16),0)</f>
        <v>0</v>
      </c>
      <c r="M18" s="21"/>
      <c r="N18" s="21">
        <f>MAX((N5+N16),0)</f>
        <v>2459.5835245576664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0.19459493032716335</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20065.923834467139</v>
      </c>
      <c r="C22" s="23">
        <f ca="1">C18*C20</f>
        <v>0</v>
      </c>
      <c r="D22" s="23">
        <f>D18*D20</f>
        <v>28480.902840702362</v>
      </c>
      <c r="E22" s="23">
        <f>E18*E20</f>
        <v>262.32662434759209</v>
      </c>
      <c r="F22" s="23">
        <f>F18*F20</f>
        <v>7442.4654283026421</v>
      </c>
      <c r="G22" s="23"/>
      <c r="H22" s="23"/>
      <c r="I22" s="23"/>
      <c r="J22" s="23">
        <f>J18*J20</f>
        <v>194.54294246750649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4001.8477174766704</v>
      </c>
      <c r="C30" s="39">
        <f>IF(ISERROR(B30*3.6/1000000/'E Balans VL '!Z18*100),0,B30*3.6/1000000/'E Balans VL '!Z18*100)</f>
        <v>0.26640544628541873</v>
      </c>
      <c r="D30" s="238" t="s">
        <v>720</v>
      </c>
    </row>
    <row r="31" spans="1:18">
      <c r="A31" s="6" t="s">
        <v>33</v>
      </c>
      <c r="B31" s="37">
        <f>IF( ISERROR(IND_ander_ele_kWh/1000),0,IND_ander_ele_kWh/1000)</f>
        <v>15750.344407529301</v>
      </c>
      <c r="C31" s="39">
        <f>IF(ISERROR(B31*3.6/1000000/'E Balans VL '!Z19*100),0,B31*3.6/1000000/'E Balans VL '!Z19*100)</f>
        <v>0.69815034980798951</v>
      </c>
      <c r="D31" s="238" t="s">
        <v>720</v>
      </c>
    </row>
    <row r="32" spans="1:18">
      <c r="A32" s="172" t="s">
        <v>41</v>
      </c>
      <c r="B32" s="37">
        <f>IF( ISERROR(IND_voed_ele_kWh/1000),0,IND_voed_ele_kWh/1000)</f>
        <v>16036.3286553322</v>
      </c>
      <c r="C32" s="39">
        <f>IF(ISERROR(B32*3.6/1000000/'E Balans VL '!Z20*100),0,B32*3.6/1000000/'E Balans VL '!Z20*100)</f>
        <v>0.53565937936114993</v>
      </c>
      <c r="D32" s="238" t="s">
        <v>720</v>
      </c>
    </row>
    <row r="33" spans="1:5">
      <c r="A33" s="172" t="s">
        <v>40</v>
      </c>
      <c r="B33" s="37">
        <f>IF( ISERROR(IND_textiel_ele_kWh/1000),0,IND_textiel_ele_kWh/1000)</f>
        <v>349.02096913600604</v>
      </c>
      <c r="C33" s="39">
        <f>IF(ISERROR(B33*3.6/1000000/'E Balans VL '!Z21*100),0,B33*3.6/1000000/'E Balans VL '!Z21*100)</f>
        <v>4.5949415443063329E-2</v>
      </c>
      <c r="D33" s="238" t="s">
        <v>720</v>
      </c>
    </row>
    <row r="34" spans="1:5">
      <c r="A34" s="172" t="s">
        <v>37</v>
      </c>
      <c r="B34" s="37">
        <f>IF( ISERROR(IND_min_ele_kWh/1000),0,IND_min_ele_kWh/1000)</f>
        <v>2830.1327159750899</v>
      </c>
      <c r="C34" s="39">
        <f>IF(ISERROR(B34*3.6/1000000/'E Balans VL '!Z22*100),0,B34*3.6/1000000/'E Balans VL '!Z22*100)</f>
        <v>0.55042972601637574</v>
      </c>
      <c r="D34" s="238" t="s">
        <v>720</v>
      </c>
    </row>
    <row r="35" spans="1:5">
      <c r="A35" s="172" t="s">
        <v>39</v>
      </c>
      <c r="B35" s="37">
        <f>IF( ISERROR(IND_papier_ele_kWh/1000),0,IND_papier_ele_kWh/1000)</f>
        <v>3919.5469002179202</v>
      </c>
      <c r="C35" s="39">
        <f>IF(ISERROR(B35*3.6/1000000/'E Balans VL '!Z22*100),0,B35*3.6/1000000/'E Balans VL '!Z22*100)</f>
        <v>0.76230881831701125</v>
      </c>
      <c r="D35" s="238" t="s">
        <v>720</v>
      </c>
    </row>
    <row r="36" spans="1:5">
      <c r="A36" s="172" t="s">
        <v>34</v>
      </c>
      <c r="B36" s="37">
        <f>IF( ISERROR(IND_chemie_ele_kWh/1000),0,IND_chemie_ele_kWh/1000)</f>
        <v>3282.1671546521698</v>
      </c>
      <c r="C36" s="39">
        <f>IF(ISERROR(B36*3.6/1000000/'E Balans VL '!Z24*100),0,B36*3.6/1000000/'E Balans VL '!Z24*100)</f>
        <v>7.7074124974976593E-2</v>
      </c>
      <c r="D36" s="238" t="s">
        <v>720</v>
      </c>
    </row>
    <row r="37" spans="1:5">
      <c r="A37" s="172" t="s">
        <v>271</v>
      </c>
      <c r="B37" s="37">
        <f>IF( ISERROR(IND_rest_ele_kWh/1000),0,IND_rest_ele_kWh/1000)</f>
        <v>56946.986612019602</v>
      </c>
      <c r="C37" s="39">
        <f>IF(ISERROR(B37*3.6/1000000/'E Balans VL '!Z15*100),0,B37*3.6/1000000/'E Balans VL '!Z15*100)</f>
        <v>0.4235928058163676</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8612.3261018391513</v>
      </c>
      <c r="C5" s="17">
        <f>'Eigen informatie GS &amp; warmtenet'!B60</f>
        <v>0</v>
      </c>
      <c r="D5" s="30">
        <f>IF(ISERROR(SUM(LB_lb_gas_kWh,LB_rest_gas_kWh,onbekend_gas_kWh)/1000),0,SUM(LB_lb_gas_kWh,LB_rest_gas_kWh,onbekend_gas_kWh)/1000)*0.902</f>
        <v>56222.912722296896</v>
      </c>
      <c r="E5" s="17">
        <f>B17*'E Balans VL '!I25/3.6*1000000/100</f>
        <v>90.190143431027067</v>
      </c>
      <c r="F5" s="17">
        <f>B17*('E Balans VL '!L25/3.6*1000000+'E Balans VL '!N25/3.6*1000000)/100</f>
        <v>44234.278150360937</v>
      </c>
      <c r="G5" s="18"/>
      <c r="H5" s="17"/>
      <c r="I5" s="17"/>
      <c r="J5" s="17">
        <f>('E Balans VL '!D25+'E Balans VL '!E25)/3.6*1000000*landbouw!B17/100</f>
        <v>769.15791448998334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8612.3261018391513</v>
      </c>
      <c r="C8" s="21">
        <f>C5+C6</f>
        <v>0</v>
      </c>
      <c r="D8" s="21">
        <f>MAX((D5+D6),0)</f>
        <v>56222.912722296896</v>
      </c>
      <c r="E8" s="21">
        <f>MAX((E5+E6),0)</f>
        <v>90.190143431027067</v>
      </c>
      <c r="F8" s="21">
        <f>MAX((F5+F6),0)</f>
        <v>44234.278150360937</v>
      </c>
      <c r="G8" s="21"/>
      <c r="H8" s="21"/>
      <c r="I8" s="21"/>
      <c r="J8" s="21">
        <f>MAX((J5+J6),0)</f>
        <v>769.15791448998334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0.19459493032716335</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1675.9149977422001</v>
      </c>
      <c r="C12" s="23">
        <f ca="1">C8*C10</f>
        <v>0</v>
      </c>
      <c r="D12" s="23">
        <f>D8*D10</f>
        <v>11357.028369903974</v>
      </c>
      <c r="E12" s="23">
        <f>E8*E10</f>
        <v>20.473162558843146</v>
      </c>
      <c r="F12" s="23">
        <f>F8*F10</f>
        <v>11810.552266146371</v>
      </c>
      <c r="G12" s="23"/>
      <c r="H12" s="23"/>
      <c r="I12" s="23"/>
      <c r="J12" s="23">
        <f>J8*J10</f>
        <v>272.28190172945409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1.3256032356892953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624.53806680398111</v>
      </c>
      <c r="C26" s="248">
        <f>B26*'GWP N2O_CH4'!B5</f>
        <v>13115.299402883604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202.51781851163975</v>
      </c>
      <c r="C27" s="248">
        <f>B27*'GWP N2O_CH4'!B5</f>
        <v>4252.8741887444348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9.6032948099518034</v>
      </c>
      <c r="C28" s="248">
        <f>B28*'GWP N2O_CH4'!B4</f>
        <v>2977.0213910850589</v>
      </c>
      <c r="D28" s="50"/>
    </row>
    <row r="29" spans="1:4">
      <c r="A29" s="41" t="s">
        <v>278</v>
      </c>
      <c r="B29" s="248">
        <f>B34*'ha_N2O bodem landbouw'!B4</f>
        <v>41.575425192402619</v>
      </c>
      <c r="C29" s="248">
        <f>B29*'GWP N2O_CH4'!B4</f>
        <v>12888.381809644812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6.8708850520706327E-3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2.2985999611557568E-5</v>
      </c>
      <c r="C5" s="446" t="s">
        <v>212</v>
      </c>
      <c r="D5" s="431">
        <f>SUM(D6:D11)</f>
        <v>1.1412372079015695E-4</v>
      </c>
      <c r="E5" s="431">
        <f>SUM(E6:E11)</f>
        <v>1.1859674637880501E-2</v>
      </c>
      <c r="F5" s="444" t="s">
        <v>212</v>
      </c>
      <c r="G5" s="431">
        <f>SUM(G6:G11)</f>
        <v>2.1509539196567378</v>
      </c>
      <c r="H5" s="431">
        <f>SUM(H6:H11)</f>
        <v>0.38172731906039159</v>
      </c>
      <c r="I5" s="446" t="s">
        <v>212</v>
      </c>
      <c r="J5" s="446" t="s">
        <v>212</v>
      </c>
      <c r="K5" s="446" t="s">
        <v>212</v>
      </c>
      <c r="L5" s="446" t="s">
        <v>212</v>
      </c>
      <c r="M5" s="431">
        <f>SUM(M6:M11)</f>
        <v>0.11054378154955918</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1.6268068410096951E-5</v>
      </c>
      <c r="C6" s="432"/>
      <c r="D6" s="432">
        <f>vkm_2011_GW_PW*SUMIFS(TableVerdeelsleutelVkm[CNG],TableVerdeelsleutelVkm[Voertuigtype],"Lichte voertuigen")*SUMIFS(TableECFTransport[EnergieConsumptieFactor (PJ per km)],TableECFTransport[Index],CONCATENATE($A6,"_CNG_CNG"))</f>
        <v>7.0129751917743827E-5</v>
      </c>
      <c r="E6" s="434">
        <f>vkm_2011_GW_PW*SUMIFS(TableVerdeelsleutelVkm[LPG],TableVerdeelsleutelVkm[Voertuigtype],"Lichte voertuigen")*SUMIFS(TableECFTransport[EnergieConsumptieFactor (PJ per km)],TableECFTransport[Index],CONCATENATE($A6,"_LPG_LPG"))</f>
        <v>7.2965703799148145E-3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0.89749818785013036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0.2362926739879779</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4.9688151167441581E-2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0.52923381612191056</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1.8146694161266062E-4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2.2861909244251275E-2</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4.2813519658450385E-6</v>
      </c>
      <c r="C8" s="432"/>
      <c r="D8" s="434">
        <f>vkm_2011_NGW_PW*SUMIFS(TableVerdeelsleutelVkm[CNG],TableVerdeelsleutelVkm[Voertuigtype],"Lichte voertuigen")*SUMIFS(TableECFTransport[EnergieConsumptieFactor (PJ per km)],TableECFTransport[Index],CONCATENATE($A8,"_CNG_CNG"))</f>
        <v>3.3111250268529149E-5</v>
      </c>
      <c r="E8" s="434">
        <f>vkm_2011_NGW_PW*SUMIFS(TableVerdeelsleutelVkm[LPG],TableVerdeelsleutelVkm[Voertuigtype],"Lichte voertuigen")*SUMIFS(TableECFTransport[EnergieConsumptieFactor (PJ per km)],TableECFTransport[Index],CONCATENATE($A8,"_LPG_LPG"))</f>
        <v>3.1455609889255226E-3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0.3669778264342719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0.10649531408452954</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2.0773969301418213E-2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7.5594645015957959E-2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2.251765879736912E-5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3.2653895981088325E-3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2.4365792356155806E-6</v>
      </c>
      <c r="C10" s="432"/>
      <c r="D10" s="434">
        <f>vkm_2011_SW_PW*SUMIFS(TableVerdeelsleutelVkm[CNG],TableVerdeelsleutelVkm[Voertuigtype],"Lichte voertuigen")*SUMIFS(TableECFTransport[EnergieConsumptieFactor (PJ per km)],TableECFTransport[Index],CONCATENATE($A10,"_CNG_CNG"))</f>
        <v>1.0882718603883962E-5</v>
      </c>
      <c r="E10" s="434">
        <f>vkm_2011_SW_PW*SUMIFS(TableVerdeelsleutelVkm[LPG],TableVerdeelsleutelVkm[Voertuigtype],"Lichte voertuigen")*SUMIFS(TableECFTransport[EnergieConsumptieFactor (PJ per km)],TableECFTransport[Index],CONCATENATE($A10,"_LPG_LPG"))</f>
        <v>1.4175432690401637E-3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0.16029777804635284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3.869095041598937E-2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8.7120687297954202E-3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0.12135166618811415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4.4395971484764498E-5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5.2422935085438618E-3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6.3849998920993238</v>
      </c>
      <c r="C14" s="21"/>
      <c r="D14" s="21">
        <f t="shared" ref="D14:M14" si="0">((D5)*10^9/3600)+D12</f>
        <v>31.701033552821375</v>
      </c>
      <c r="E14" s="21">
        <f t="shared" si="0"/>
        <v>3294.3540660779167</v>
      </c>
      <c r="F14" s="21"/>
      <c r="G14" s="21">
        <f t="shared" si="0"/>
        <v>597487.1999046494</v>
      </c>
      <c r="H14" s="21">
        <f t="shared" si="0"/>
        <v>106035.36640566433</v>
      </c>
      <c r="I14" s="21"/>
      <c r="J14" s="21"/>
      <c r="K14" s="21"/>
      <c r="L14" s="21"/>
      <c r="M14" s="21">
        <f t="shared" si="0"/>
        <v>30706.605985988663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0.19459493032716335</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1.2424886091420135</v>
      </c>
      <c r="C18" s="23"/>
      <c r="D18" s="23">
        <f t="shared" ref="D18:M18" si="1">D14*D16</f>
        <v>6.403608777669918</v>
      </c>
      <c r="E18" s="23">
        <f t="shared" si="1"/>
        <v>747.81837299968709</v>
      </c>
      <c r="F18" s="23"/>
      <c r="G18" s="23">
        <f t="shared" si="1"/>
        <v>159529.08237454141</v>
      </c>
      <c r="H18" s="23">
        <f t="shared" si="1"/>
        <v>26402.806235010419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2.9086234653207246E-3</v>
      </c>
      <c r="C50" s="322">
        <f t="shared" ref="C50:P50" si="2">SUM(C51:C52)</f>
        <v>0</v>
      </c>
      <c r="D50" s="322">
        <f t="shared" si="2"/>
        <v>0</v>
      </c>
      <c r="E50" s="322">
        <f t="shared" si="2"/>
        <v>0</v>
      </c>
      <c r="F50" s="322">
        <f t="shared" si="2"/>
        <v>0</v>
      </c>
      <c r="G50" s="322">
        <f t="shared" si="2"/>
        <v>9.1619193143263444E-2</v>
      </c>
      <c r="H50" s="322">
        <f t="shared" si="2"/>
        <v>0</v>
      </c>
      <c r="I50" s="322">
        <f t="shared" si="2"/>
        <v>0</v>
      </c>
      <c r="J50" s="322">
        <f t="shared" si="2"/>
        <v>0</v>
      </c>
      <c r="K50" s="322">
        <f t="shared" si="2"/>
        <v>0</v>
      </c>
      <c r="L50" s="322">
        <f t="shared" si="2"/>
        <v>0</v>
      </c>
      <c r="M50" s="322">
        <f t="shared" si="2"/>
        <v>3.905328166259641E-3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9.1619193143263444E-2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3.905328166259641E-3</v>
      </c>
      <c r="N51" s="324"/>
      <c r="O51" s="324"/>
      <c r="P51" s="327"/>
    </row>
    <row r="52" spans="1:18">
      <c r="A52" s="4" t="s">
        <v>331</v>
      </c>
      <c r="B52" s="328">
        <f>vkm_2011_tram*SUMIFS(TableECFTransport[EnergieConsumptieFactor (PJ per km)],TableECFTransport[Index],"Tram_gemiddeld_Electric_Electric")</f>
        <v>2.9086234653207246E-3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807.95096258909018</v>
      </c>
      <c r="C54" s="21">
        <f t="shared" ref="C54:P54" si="3">(C50)*10^9/3600</f>
        <v>0</v>
      </c>
      <c r="D54" s="21">
        <f t="shared" si="3"/>
        <v>0</v>
      </c>
      <c r="E54" s="21">
        <f t="shared" si="3"/>
        <v>0</v>
      </c>
      <c r="F54" s="21">
        <f t="shared" si="3"/>
        <v>0</v>
      </c>
      <c r="G54" s="21">
        <f t="shared" si="3"/>
        <v>25449.775873128736</v>
      </c>
      <c r="H54" s="21">
        <f t="shared" si="3"/>
        <v>0</v>
      </c>
      <c r="I54" s="21">
        <f t="shared" si="3"/>
        <v>0</v>
      </c>
      <c r="J54" s="21">
        <f t="shared" si="3"/>
        <v>0</v>
      </c>
      <c r="K54" s="21">
        <f t="shared" si="3"/>
        <v>0</v>
      </c>
      <c r="L54" s="21">
        <f t="shared" si="3"/>
        <v>0</v>
      </c>
      <c r="M54" s="21">
        <f t="shared" si="3"/>
        <v>1084.8133795165668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0.19459493032716335</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157.22316127278856</v>
      </c>
      <c r="C58" s="23">
        <f t="shared" ref="C58:P58" ca="1" si="4">C54*C56</f>
        <v>0</v>
      </c>
      <c r="D58" s="23">
        <f t="shared" si="4"/>
        <v>0</v>
      </c>
      <c r="E58" s="23">
        <f t="shared" si="4"/>
        <v>0</v>
      </c>
      <c r="F58" s="23">
        <f t="shared" si="4"/>
        <v>0</v>
      </c>
      <c r="G58" s="23">
        <f t="shared" si="4"/>
        <v>6795.0901581253729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61119.140387894906</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15845.818395114742</v>
      </c>
      <c r="C6" s="1124"/>
      <c r="D6" s="1127"/>
      <c r="E6" s="1127"/>
      <c r="F6" s="1130"/>
      <c r="G6" s="1133"/>
      <c r="H6" s="1121"/>
      <c r="I6" s="1127"/>
      <c r="J6" s="1127"/>
      <c r="K6" s="1127"/>
      <c r="L6" s="1157"/>
      <c r="M6" s="559"/>
      <c r="N6" s="1169"/>
      <c r="O6" s="1170"/>
      <c r="Q6" s="557"/>
      <c r="R6" s="1154"/>
      <c r="S6" s="1154"/>
    </row>
    <row r="7" spans="1:19" s="547" customFormat="1">
      <c r="A7" s="560" t="s">
        <v>253</v>
      </c>
      <c r="B7" s="561">
        <f>N57</f>
        <v>3</v>
      </c>
      <c r="C7" s="562">
        <f>B100</f>
        <v>3.333333333333333</v>
      </c>
      <c r="D7" s="563"/>
      <c r="E7" s="563">
        <f>E100</f>
        <v>0</v>
      </c>
      <c r="F7" s="564"/>
      <c r="G7" s="565"/>
      <c r="H7" s="563">
        <f>I100</f>
        <v>0</v>
      </c>
      <c r="I7" s="563">
        <f>G100+F100</f>
        <v>0</v>
      </c>
      <c r="J7" s="563">
        <f>H100+D100+C100</f>
        <v>0</v>
      </c>
      <c r="K7" s="563"/>
      <c r="L7" s="566"/>
      <c r="M7" s="567">
        <f>C7*$C$11+D7*$D$11+E7*$E$11+F7*$F$11+G7*$G$11+H7*$H$11+I7*$I$11+J7*$J$11</f>
        <v>0.67333333333333334</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76967.958783009643</v>
      </c>
      <c r="C9" s="578">
        <f t="shared" ref="C9:L9" si="0">SUM(C7:C8)</f>
        <v>3.333333333333333</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0.67333333333333334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15</v>
      </c>
      <c r="C16" s="594">
        <f>B101</f>
        <v>16.666666666666668</v>
      </c>
      <c r="D16" s="595"/>
      <c r="E16" s="595">
        <f>E101</f>
        <v>0</v>
      </c>
      <c r="F16" s="596"/>
      <c r="G16" s="597"/>
      <c r="H16" s="594">
        <f>I101</f>
        <v>0</v>
      </c>
      <c r="I16" s="595">
        <f>G101+F101</f>
        <v>0</v>
      </c>
      <c r="J16" s="595">
        <f>H101+D101+C101</f>
        <v>0</v>
      </c>
      <c r="K16" s="595"/>
      <c r="L16" s="598"/>
      <c r="M16" s="599">
        <f>C16*$C$21+E16*$E$21+H16*$H$21+I16*$I$21+J16*$J$21+D16*$D$21+F16*$F$21+G16*$G$21+K16*$K$21+L16*$L$21</f>
        <v>3.3666666666666671</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15</v>
      </c>
      <c r="C19" s="577">
        <f>SUM(C16:C18)</f>
        <v>16.666666666666668</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3.3666666666666671</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31005</v>
      </c>
      <c r="C27" s="839">
        <v>8200</v>
      </c>
      <c r="D27" s="656" t="s">
        <v>894</v>
      </c>
      <c r="E27" s="655" t="s">
        <v>895</v>
      </c>
      <c r="F27" s="655" t="s">
        <v>896</v>
      </c>
      <c r="G27" s="655" t="s">
        <v>897</v>
      </c>
      <c r="H27" s="655" t="s">
        <v>897</v>
      </c>
      <c r="I27" s="655" t="s">
        <v>895</v>
      </c>
      <c r="J27" s="838">
        <v>40515</v>
      </c>
      <c r="K27" s="838">
        <v>40634</v>
      </c>
      <c r="L27" s="655" t="s">
        <v>898</v>
      </c>
      <c r="M27" s="655">
        <v>1</v>
      </c>
      <c r="N27" s="655">
        <v>3</v>
      </c>
      <c r="O27" s="655">
        <v>15</v>
      </c>
      <c r="P27" s="655">
        <v>20</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v>
      </c>
      <c r="N57" s="613">
        <f>SUM(N27:N56)</f>
        <v>3</v>
      </c>
      <c r="O57" s="613">
        <f t="shared" ref="O57:W57" si="2">SUM(O27:O56)</f>
        <v>15</v>
      </c>
      <c r="P57" s="613">
        <f t="shared" si="2"/>
        <v>20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v>
      </c>
      <c r="N59" s="613">
        <f ca="1">SUMIF($Z$27:AB56,"tertiair",N27:N56)</f>
        <v>3</v>
      </c>
      <c r="O59" s="613">
        <f ca="1">SUMIF($Z$27:AC56,"tertiair",O27:O56)</f>
        <v>15</v>
      </c>
      <c r="P59" s="613">
        <f ca="1">SUMIF($Z$27:AD56,"tertiair",P27:P56)</f>
        <v>20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0.83333333333333337</v>
      </c>
      <c r="C97" s="638">
        <f>IF(ISERROR(N57/(O57+N57)),0,N57/(N57+O57))</f>
        <v>0.16666666666666666</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3.333333333333333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16.666666666666668</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2018-06-27T09:01:01Z</dcterms:modified>
</cp:coreProperties>
</file>