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H68"/>
  <c r="H69" s="1"/>
  <c r="C97" i="18"/>
  <c r="I100" s="1"/>
  <c r="H7" s="1"/>
  <c r="I67" i="14" s="1"/>
  <c r="F16" i="16"/>
  <c r="D13" i="15"/>
  <c r="B16" i="18"/>
  <c r="B78" i="14" s="1"/>
  <c r="C13" i="15"/>
  <c r="D12" i="22"/>
  <c r="E17" i="14"/>
  <c r="D13" i="48"/>
  <c r="D30" s="1"/>
  <c r="D31" i="20"/>
  <c r="E43" i="14" s="1"/>
  <c r="I101" i="18"/>
  <c r="H16" s="1"/>
  <c r="I78" i="14" s="1"/>
  <c r="E101" i="18"/>
  <c r="E16" s="1"/>
  <c r="F78" i="14" s="1"/>
  <c r="F101" i="18"/>
  <c r="H101"/>
  <c r="D101"/>
  <c r="G101"/>
  <c r="I16" s="1"/>
  <c r="J78" i="14" s="1"/>
  <c r="C101" i="18"/>
  <c r="B101"/>
  <c r="C16" s="1"/>
  <c r="D78" i="14" s="1"/>
  <c r="O78"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C100" i="18"/>
  <c r="G100"/>
  <c r="B81" i="14"/>
  <c r="E31" i="20"/>
  <c r="F43" i="14" s="1"/>
  <c r="H14" i="22"/>
  <c r="F8" i="17"/>
  <c r="G22" i="14" s="1"/>
  <c r="D100" i="18"/>
  <c r="H100"/>
  <c r="E9" i="14"/>
  <c r="J9"/>
  <c r="J15" s="1"/>
  <c r="N9"/>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N15"/>
  <c r="H15"/>
  <c r="L15"/>
  <c r="M46"/>
  <c r="P20"/>
  <c r="K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H9" i="18"/>
  <c r="B10" i="48"/>
  <c r="C18" i="14"/>
  <c r="J12" i="17"/>
  <c r="K48" i="14" s="1"/>
  <c r="P24" i="48"/>
  <c r="E5" i="17"/>
  <c r="C8"/>
  <c r="G24" i="48"/>
  <c r="K14"/>
  <c r="I24"/>
  <c r="G81" i="14"/>
  <c r="D79"/>
  <c r="H79"/>
  <c r="H81" s="1"/>
  <c r="L79"/>
  <c r="L81" s="1"/>
  <c r="F79"/>
  <c r="F81" s="1"/>
  <c r="J79"/>
  <c r="E68"/>
  <c r="E69" s="1"/>
  <c r="I68"/>
  <c r="I69" s="1"/>
  <c r="M68"/>
  <c r="M69" s="1"/>
  <c r="D19" i="18"/>
  <c r="H19"/>
  <c r="L19"/>
  <c r="B68" i="14"/>
  <c r="G68"/>
  <c r="G69" s="1"/>
  <c r="K68"/>
  <c r="E81"/>
  <c r="I81"/>
  <c r="M81"/>
  <c r="B19" i="18"/>
  <c r="F19"/>
  <c r="D11" i="14"/>
  <c r="C4" i="48"/>
  <c r="M8" i="18"/>
  <c r="M17"/>
  <c r="M18"/>
  <c r="D13" i="14"/>
  <c r="F7" i="48" l="1"/>
  <c r="F24" s="1"/>
  <c r="L30"/>
  <c r="L23"/>
  <c r="B100" i="18"/>
  <c r="C7" s="1"/>
  <c r="B35" i="13"/>
  <c r="N8" i="17"/>
  <c r="N5"/>
  <c r="L5"/>
  <c r="L8" s="1"/>
  <c r="J81" i="14"/>
  <c r="G31" i="20"/>
  <c r="H43" i="14" s="1"/>
  <c r="F12" i="17"/>
  <c r="G48" i="14" s="1"/>
  <c r="F100" i="18"/>
  <c r="I7" s="1"/>
  <c r="E9"/>
  <c r="Q13" i="14"/>
  <c r="J41"/>
  <c r="G13" i="48"/>
  <c r="G30" s="1"/>
  <c r="E19" i="18"/>
  <c r="H17" i="14"/>
  <c r="I19" i="18"/>
  <c r="J16"/>
  <c r="K78" i="14" s="1"/>
  <c r="D81"/>
  <c r="O79"/>
  <c r="O81" s="1"/>
  <c r="B17" i="6" s="1"/>
  <c r="M23" i="48"/>
  <c r="L27"/>
  <c r="B9" i="18"/>
  <c r="M31" i="20"/>
  <c r="N43" i="14" s="1"/>
  <c r="M12" i="22"/>
  <c r="O18" i="16"/>
  <c r="B34" i="13"/>
  <c r="K22" i="14"/>
  <c r="M13"/>
  <c r="L8" i="48"/>
  <c r="L25" s="1"/>
  <c r="L22" i="16"/>
  <c r="M39" i="14" s="1"/>
  <c r="J19" i="18"/>
  <c r="C7" i="48"/>
  <c r="D22" i="14"/>
  <c r="M22" i="48"/>
  <c r="B36" i="13"/>
  <c r="B48" s="1"/>
  <c r="C48" s="1"/>
  <c r="N5" s="1"/>
  <c r="N8" s="1"/>
  <c r="N4" i="48" s="1"/>
  <c r="N21" s="1"/>
  <c r="J7" i="18"/>
  <c r="O68" i="14"/>
  <c r="C68"/>
  <c r="E8" i="17"/>
  <c r="F22" i="14" s="1"/>
  <c r="D8" i="48"/>
  <c r="D25" s="1"/>
  <c r="D18" i="16"/>
  <c r="D22" s="1"/>
  <c r="E39" i="14" s="1"/>
  <c r="M16" i="18"/>
  <c r="M19" s="1"/>
  <c r="C79" i="14"/>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O28" i="48"/>
  <c r="H22"/>
  <c r="D5"/>
  <c r="D22" s="1"/>
  <c r="B46" i="13"/>
  <c r="E5" s="1"/>
  <c r="E8" s="1"/>
  <c r="E12" s="1"/>
  <c r="F37" i="14" s="1"/>
  <c r="K31" i="48"/>
  <c r="L26"/>
  <c r="M29"/>
  <c r="M25"/>
  <c r="M24"/>
  <c r="I31"/>
  <c r="C50" i="13"/>
  <c r="J5" s="1"/>
  <c r="J8" s="1"/>
  <c r="E12" i="17"/>
  <c r="F48" i="14" s="1"/>
  <c r="C5" i="48"/>
  <c r="L7" l="1"/>
  <c r="L24" s="1"/>
  <c r="L12" i="17"/>
  <c r="M48" i="14" s="1"/>
  <c r="M22"/>
  <c r="D67"/>
  <c r="C9" i="18"/>
  <c r="K81" i="14"/>
  <c r="C78"/>
  <c r="R17"/>
  <c r="E7" i="48"/>
  <c r="E24" s="1"/>
  <c r="C81" i="14"/>
  <c r="O22"/>
  <c r="N12" i="17"/>
  <c r="O48" i="14" s="1"/>
  <c r="N7" i="48"/>
  <c r="N24" s="1"/>
  <c r="E13" i="14"/>
  <c r="E15" s="1"/>
  <c r="E23" s="1"/>
  <c r="C14" i="48"/>
  <c r="E19" i="14"/>
  <c r="E20" s="1"/>
  <c r="R22"/>
  <c r="E20" i="15"/>
  <c r="F36" i="14" s="1"/>
  <c r="E16" i="15"/>
  <c r="K67" i="14"/>
  <c r="K69" s="1"/>
  <c r="J9" i="18"/>
  <c r="J67" i="14"/>
  <c r="I9" i="18"/>
  <c r="M7"/>
  <c r="M9" s="1"/>
  <c r="K10" i="14"/>
  <c r="J16" i="15"/>
  <c r="J20" s="1"/>
  <c r="K36"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O67" i="14" l="1"/>
  <c r="D69"/>
  <c r="Q7" i="48"/>
  <c r="L31"/>
  <c r="J5"/>
  <c r="J22" s="1"/>
  <c r="M9"/>
  <c r="Q9"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M26" i="48"/>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N22" i="16"/>
  <c r="O39" i="14" s="1"/>
  <c r="O41" s="1"/>
  <c r="Q4" i="48"/>
  <c r="N22"/>
  <c r="R11" i="14"/>
  <c r="J21" i="48"/>
  <c r="R10" i="14"/>
  <c r="Q5" i="48" l="1"/>
  <c r="F22" i="16"/>
  <c r="G39" i="14" s="1"/>
  <c r="G41" s="1"/>
  <c r="F8" i="48"/>
  <c r="N25"/>
  <c r="N31" s="1"/>
  <c r="N14"/>
  <c r="E8"/>
  <c r="Q8" s="1"/>
  <c r="Q14"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<sst xmlns="http://schemas.openxmlformats.org/spreadsheetml/2006/main" count="2038" uniqueCount="901">
  <si>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</si>
  <si>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</si>
  <si>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</si>
  <si>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</si>
  <si>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</si>
  <si>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</si>
  <si>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</si>
  <si>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</si>
  <si>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</si>
  <si>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</si>
  <si>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</si>
  <si>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</si>
  <si>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</si>
  <si>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</si>
  <si>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</si>
  <si>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</si>
  <si>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</si>
  <si>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</si>
  <si>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</si>
  <si>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</si>
  <si>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</si>
  <si>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</si>
  <si>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</si>
  <si>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</si>
  <si>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</si>
  <si>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</si>
  <si>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</si>
  <si>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</si>
  <si>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</si>
  <si>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</si>
  <si>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</si>
  <si>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</si>
  <si>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</si>
  <si>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</si>
  <si>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</si>
  <si>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</si>
  <si>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</si>
  <si>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</si>
  <si>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</si>
  <si>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</si>
  <si>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</si>
  <si>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</si>
  <si>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</si>
  <si>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</si>
  <si>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</si>
  <si>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</si>
  <si>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</si>
  <si>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</si>
  <si>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</si>
  <si>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</si>
  <si>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</si>
  <si>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</si>
  <si>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</si>
  <si>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</si>
  <si>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</si>
  <si>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</si>
  <si>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</si>
  <si>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</si>
  <si>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</si>
  <si>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</si>
  <si>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</si>
  <si>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</si>
  <si>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</si>
  <si>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</si>
  <si>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</si>
  <si>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</si>
  <si>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</si>
  <si>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</si>
  <si>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</si>
  <si>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</si>
  <si>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</si>
  <si>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</si>
  <si>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</si>
  <si>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</si>
  <si>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</si>
  <si>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</si>
  <si>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</si>
  <si>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</si>
  <si>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</si>
  <si>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</si>
  <si>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</si>
  <si>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</si>
  <si>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</si>
  <si>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</si>
  <si>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</si>
  <si>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</si>
  <si>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</si>
  <si>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</si>
  <si>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</si>
  <si>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</si>
  <si>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</si>
  <si>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</si>
  <si>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</si>
  <si>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</si>
  <si>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</si>
  <si>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</si>
  <si>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</si>
  <si>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</si>
  <si>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</si>
  <si>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</si>
  <si>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</si>
  <si>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</si>
  <si>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</si>
  <si>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</si>
  <si>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</si>
  <si>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</si>
  <si>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</si>
  <si>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</si>
  <si>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</si>
  <si>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</si>
  <si>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</si>
  <si>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</si>
  <si>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</si>
  <si>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</si>
  <si>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</si>
  <si>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</si>
  <si>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</si>
  <si>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</si>
  <si>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</si>
  <si>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</si>
  <si>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</si>
  <si>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</si>
  <si>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</si>
  <si>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</si>
  <si>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</si>
  <si>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</si>
  <si>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</si>
  <si>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</si>
  <si>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</si>
  <si>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</si>
  <si>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</si>
  <si>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</si>
  <si>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</si>
  <si>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</si>
  <si>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</si>
  <si>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</si>
  <si>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</si>
  <si>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</si>
  <si>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</si>
  <si>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</si>
  <si>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</si>
  <si>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</si>
  <si>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</si>
  <si>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</si>
  <si>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</si>
  <si>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</si>
  <si>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</si>
  <si>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</si>
  <si>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</si>
  <si>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</si>
  <si>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</si>
  <si>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</si>
  <si>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</si>
  <si>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</si>
  <si>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</si>
  <si>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</si>
  <si>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</si>
  <si>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</si>
  <si>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</si>
  <si>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</si>
  <si>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</si>
  <si>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</si>
  <si>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</si>
  <si>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</si>
  <si>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</si>
  <si>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</si>
  <si>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</si>
  <si>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</si>
  <si>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</si>
  <si>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</si>
  <si>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</si>
  <si>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</si>
  <si>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</si>
  <si>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</si>
  <si>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</si>
  <si>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</si>
  <si>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</si>
  <si>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</si>
  <si>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</si>
  <si>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</si>
  <si>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</si>
  <si>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</si>
  <si>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</si>
  <si>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</si>
  <si>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</si>
  <si>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</si>
  <si>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</si>
  <si>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</si>
  <si>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</si>
  <si>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</si>
  <si>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</si>
  <si>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</si>
  <si>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</si>
  <si>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</si>
  <si>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</si>
  <si>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</si>
  <si>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</si>
  <si>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</si>
  <si>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</si>
  <si>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</si>
  <si>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</si>
  <si>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</si>
  <si>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</si>
  <si>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</si>
  <si>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</si>
  <si>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</si>
  <si>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</si>
  <si>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</si>
  <si>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</si>
  <si>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</si>
  <si>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</si>
  <si>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</si>
  <si>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</si>
  <si>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</si>
  <si>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</si>
  <si>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</si>
  <si>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</si>
  <si>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</si>
  <si>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</si>
  <si>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</si>
  <si>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</si>
  <si>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</si>
  <si>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</si>
  <si>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</si>
  <si>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</si>
  <si>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</si>
  <si>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</si>
  <si>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</si>
  <si>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</si>
  <si>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</si>
  <si>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</si>
  <si>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</si>
  <si>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</si>
  <si>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</si>
  <si>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</si>
  <si>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</si>
  <si>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</si>
  <si>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</si>
  <si>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</si>
  <si>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</si>
  <si>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</si>
  <si>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</si>
  <si>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</si>
  <si>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</si>
  <si>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</si>
  <si>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</si>
  <si>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</si>
  <si>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</si>
  <si>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</si>
  <si>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</si>
  <si>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</si>
  <si>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</si>
  <si>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</si>
  <si>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</si>
  <si>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</si>
  <si>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</si>
  <si>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</si>
  <si>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</si>
  <si>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</si>
  <si>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</si>
  <si>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</si>
  <si>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</si>
  <si>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</si>
  <si>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</si>
  <si>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</si>
  <si>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</si>
  <si>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</si>
  <si>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</si>
  <si>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</si>
  <si>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</si>
  <si>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</si>
  <si>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</si>
  <si>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</si>
  <si>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</si>
  <si>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</si>
  <si>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</si>
  <si>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</si>
  <si>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</si>
  <si>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</si>
  <si>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</si>
  <si>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</si>
  <si>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</si>
  <si>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</si>
  <si>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</si>
  <si>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</si>
  <si>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</si>
  <si>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</si>
  <si>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</si>
  <si>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</si>
  <si>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</si>
  <si>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</si>
  <si>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</si>
  <si>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</si>
  <si>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</si>
  <si>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</si>
  <si>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</si>
  <si>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</si>
  <si>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</si>
  <si>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</si>
  <si>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</si>
  <si>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</si>
  <si>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</si>
  <si>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</si>
  <si>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</si>
  <si>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</si>
  <si>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</si>
  <si>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</si>
  <si>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</si>
  <si>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</si>
  <si>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</si>
  <si>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</si>
  <si>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</si>
  <si>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</si>
  <si>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</si>
  <si>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</si>
  <si>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</si>
  <si>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</si>
  <si>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</si>
  <si>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</si>
  <si>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</si>
  <si>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</si>
  <si>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</si>
  <si>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</si>
  <si>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</si>
  <si>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</si>
  <si>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</si>
  <si>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</si>
  <si>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</si>
  <si>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</si>
  <si>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</si>
  <si>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</si>
  <si>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</si>
  <si>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</si>
  <si>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</si>
  <si>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</si>
  <si>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</si>
  <si>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</si>
  <si>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</si>
  <si>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</si>
  <si>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</si>
  <si>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</si>
  <si>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</si>
  <si>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</si>
  <si>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</si>
  <si>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</si>
  <si>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</si>
  <si>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</si>
  <si>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</si>
  <si>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</si>
  <si>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</si>
  <si>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</si>
  <si>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</si>
  <si>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</si>
  <si>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</si>
  <si>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</si>
  <si>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</si>
  <si>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</si>
  <si>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</si>
  <si>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</si>
  <si>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</si>
  <si>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</si>
  <si>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</si>
  <si>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</si>
  <si>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</si>
  <si>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</si>
  <si>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</si>
  <si>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</si>
  <si>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</si>
  <si>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</si>
  <si>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</si>
  <si>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</si>
  <si>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</si>
  <si>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</si>
  <si>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</si>
  <si>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</si>
  <si>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</si>
  <si>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</si>
  <si>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</si>
  <si>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</si>
  <si>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</si>
  <si>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</si>
  <si>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</si>
  <si>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</si>
  <si>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</si>
  <si>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</si>
  <si>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</si>
  <si>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</si>
  <si>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</si>
  <si>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</si>
  <si>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</si>
  <si>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</si>
  <si>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</si>
  <si>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</si>
  <si>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</si>
  <si>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</si>
  <si>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</si>
  <si>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</si>
  <si>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</si>
  <si>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</si>
  <si>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</si>
  <si>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</si>
  <si>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</si>
  <si>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</si>
  <si>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</si>
  <si>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</si>
  <si>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</si>
  <si>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</si>
  <si>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</si>
  <si>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</si>
  <si>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</si>
  <si>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</si>
  <si>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</si>
  <si>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</si>
  <si>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</si>
  <si>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</si>
  <si>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</si>
  <si>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</si>
  <si>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</si>
  <si>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</si>
  <si>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</si>
  <si>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</si>
  <si>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</si>
  <si>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</si>
  <si>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</si>
  <si>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</si>
  <si>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</si>
  <si>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</si>
  <si>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</si>
  <si>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</si>
  <si>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</si>
  <si>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</si>
  <si>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</si>
  <si>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</si>
  <si>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</si>
  <si>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</si>
  <si>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</si>
  <si>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</si>
  <si>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</si>
  <si>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</si>
  <si>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</si>
  <si>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</si>
  <si>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</si>
  <si>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</si>
  <si>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</si>
  <si>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</si>
  <si>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</si>
  <si>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</si>
  <si>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</si>
  <si>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</si>
  <si>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</si>
  <si>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</si>
  <si>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</si>
  <si>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</si>
  <si>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</si>
  <si>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</si>
  <si>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</si>
  <si>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</si>
  <si>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</si>
  <si>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</si>
  <si>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</si>
  <si>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</si>
  <si>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</si>
  <si>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</si>
  <si>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</si>
  <si>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</si>
  <si>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</si>
  <si>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</si>
  <si>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</si>
  <si>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</si>
  <si>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</si>
  <si>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</si>
  <si>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</si>
  <si>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</si>
  <si>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</si>
  <si>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</si>
  <si>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</si>
  <si>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</si>
  <si>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</si>
  <si>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</si>
  <si>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</si>
  <si>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</si>
  <si>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</si>
  <si>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</si>
  <si>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</si>
  <si>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</si>
  <si>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</si>
  <si>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</si>
  <si>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</si>
  <si>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</si>
  <si>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</si>
  <si>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</si>
  <si>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</si>
  <si>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</si>
  <si>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</si>
  <si>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</si>
  <si>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</si>
  <si>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</si>
  <si>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</si>
  <si>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</si>
  <si>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</si>
  <si>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</si>
  <si>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</si>
  <si>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</si>
  <si>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</si>
  <si>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</si>
  <si>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</si>
  <si>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</si>
  <si>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</si>
  <si>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</si>
  <si>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</si>
  <si>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</si>
  <si>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</si>
  <si>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</si>
  <si>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</si>
  <si>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</si>
  <si>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</si>
  <si>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</si>
  <si>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</si>
  <si>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</si>
  <si>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</si>
  <si>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</si>
  <si>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</si>
  <si>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</si>
  <si>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</si>
  <si>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</si>
  <si>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</si>
  <si>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</si>
  <si>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</si>
  <si>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</si>
  <si>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</si>
  <si>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</si>
  <si>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</si>
  <si>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</si>
  <si>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</si>
  <si>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</si>
  <si>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</si>
  <si>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</si>
  <si>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</si>
  <si>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</si>
  <si>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</si>
  <si>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</si>
  <si>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</si>
  <si>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</si>
  <si>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</si>
  <si>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</si>
  <si>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</si>
  <si>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</si>
  <si>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</si>
  <si>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</si>
  <si>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</si>
  <si>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</si>
  <si>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</si>
  <si>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</si>
  <si>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</si>
  <si>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</si>
  <si>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</si>
  <si>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</si>
  <si>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</si>
  <si>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</si>
  <si>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</si>
  <si>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</si>
  <si>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</si>
  <si>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</si>
  <si>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</si>
  <si>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</si>
  <si>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</si>
  <si>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</si>
  <si>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</si>
  <si>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</si>
  <si>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</si>
  <si>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</si>
  <si>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</si>
  <si>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</si>
  <si>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</si>
  <si>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</si>
  <si>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</si>
  <si>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</si>
  <si>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</si>
  <si>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</si>
  <si>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</si>
  <si>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</si>
  <si>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</si>
  <si>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</si>
  <si>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</si>
  <si>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</si>
  <si>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</si>
  <si>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</si>
  <si>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</si>
  <si>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</si>
  <si>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</si>
  <si>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</si>
  <si>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</si>
  <si>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</si>
  <si>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</si>
  <si>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</si>
  <si>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</si>
  <si>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</si>
  <si>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</si>
  <si>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</si>
  <si>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</si>
  <si>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</si>
  <si>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</si>
  <si>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</si>
  <si>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</si>
  <si>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</si>
  <si>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</si>
  <si>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</si>
  <si>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</si>
  <si>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</si>
  <si>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</si>
  <si>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</si>
  <si>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</si>
  <si>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</si>
  <si>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</si>
  <si>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</si>
  <si>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</si>
  <si>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</si>
  <si>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</si>
  <si>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</si>
  <si>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</si>
  <si>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</si>
  <si>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</si>
  <si>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</si>
  <si>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</si>
  <si>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</si>
  <si>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</si>
  <si>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</si>
  <si>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</si>
  <si>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</si>
  <si>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</si>
  <si>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</si>
  <si>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</si>
  <si>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</si>
  <si>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</si>
  <si>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</si>
  <si>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</si>
  <si>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</si>
  <si>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</si>
  <si>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</si>
  <si>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</si>
  <si>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</si>
  <si>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</si>
  <si>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</si>
  <si>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</si>
  <si>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</si>
  <si>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</si>
  <si>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</si>
  <si>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</si>
  <si>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</si>
  <si>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</si>
  <si>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</si>
  <si>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</si>
  <si>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</si>
  <si>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</si>
  <si>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</si>
  <si>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</si>
  <si>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</si>
  <si>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</si>
  <si>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</si>
  <si>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</si>
  <si>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</si>
  <si>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</si>
  <si>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</si>
  <si>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</si>
  <si>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</si>
  <si>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</si>
  <si>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</si>
  <si>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</si>
  <si>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</si>
  <si>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</si>
  <si>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</si>
  <si>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</si>
  <si>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</si>
  <si>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</si>
  <si>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</si>
  <si>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</si>
  <si>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</si>
  <si>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</si>
  <si>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</si>
  <si>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</si>
  <si>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</si>
  <si>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</si>
  <si>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</si>
  <si>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</si>
  <si>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</si>
  <si>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</si>
  <si>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</si>
  <si>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</si>
  <si>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</si>
  <si>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</si>
  <si>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</si>
  <si>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</si>
  <si>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</si>
  <si>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</si>
  <si>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</si>
  <si>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</si>
  <si>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</si>
  <si>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</si>
  <si>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</si>
  <si>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</si>
  <si>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</si>
  <si>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</si>
  <si>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</si>
  <si>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</si>
  <si>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</si>
  <si>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</si>
  <si>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</si>
  <si>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</si>
  <si>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</si>
  <si>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</si>
  <si>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</si>
  <si>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</si>
  <si>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</si>
  <si>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</si>
  <si>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</si>
  <si>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</si>
  <si>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</si>
  <si>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</si>
  <si>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</si>
  <si>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</si>
  <si>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</si>
  <si>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</si>
  <si>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</si>
  <si>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</si>
  <si>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</si>
  <si>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</si>
  <si>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</si>
  <si>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</si>
  <si>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</si>
  <si>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</si>
  <si>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</si>
  <si>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</si>
  <si>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</si>
  <si>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</si>
  <si>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</si>
  <si>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</si>
  <si>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</si>
  <si>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</si>
  <si>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</si>
  <si>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</si>
  <si>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</si>
  <si>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</si>
  <si>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</si>
  <si>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</si>
  <si>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</si>
  <si>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</si>
  <si>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</si>
  <si>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</si>
  <si>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</si>
  <si>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</si>
  <si>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</si>
  <si>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</si>
  <si>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</si>
  <si>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</si>
  <si>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</si>
  <si>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</si>
  <si>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</si>
  <si>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</si>
  <si>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</si>
  <si>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</si>
  <si>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</si>
  <si>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</si>
  <si>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</si>
  <si>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</si>
  <si>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</si>
  <si>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</si>
  <si>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</si>
  <si>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</si>
  <si>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</si>
  <si>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</si>
  <si>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</si>
  <si>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</si>
  <si>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</si>
  <si>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</si>
  <si>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</si>
  <si>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</si>
  <si>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</si>
  <si>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</si>
  <si>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</si>
  <si>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</si>
  <si>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</si>
  <si>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</si>
  <si>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</si>
  <si>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</si>
  <si>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</si>
  <si>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</si>
  <si>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</si>
  <si>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</si>
  <si>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</si>
  <si>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</si>
  <si>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</si>
  <si>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</si>
  <si>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</si>
  <si>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</si>
  <si>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</si>
  <si>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</si>
  <si>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</si>
  <si>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</si>
  <si>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</si>
  <si>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</si>
  <si>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</si>
  <si>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</si>
  <si>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</si>
  <si>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</si>
  <si>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</si>
  <si>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</si>
  <si>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</si>
  <si>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</si>
  <si>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</si>
  <si>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</si>
  <si>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</si>
  <si>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</si>
  <si>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</si>
  <si>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</si>
  <si>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</si>
  <si>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</si>
  <si>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</si>
  <si>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</si>
  <si>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</si>
  <si>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</si>
  <si>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</si>
  <si>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</si>
  <si>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</si>
  <si>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</si>
  <si>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</si>
  <si>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</si>
  <si>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</si>
  <si>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</si>
  <si>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</si>
  <si>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</si>
  <si>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</si>
  <si>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</si>
  <si>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</si>
  <si>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</si>
  <si>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</si>
  <si>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</si>
  <si>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</si>
  <si>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</si>
  <si>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</si>
  <si>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</si>
  <si>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</si>
  <si>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</si>
  <si>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</si>
  <si>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</si>
  <si>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</si>
  <si>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</si>
  <si>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</si>
  <si>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</si>
  <si>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</si>
  <si>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</si>
  <si>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</si>
  <si>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</si>
  <si>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</si>
  <si>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</si>
  <si>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</si>
  <si>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</si>
  <si>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</si>
  <si>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</si>
  <si>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</si>
  <si>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</si>
  <si>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</si>
  <si>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</si>
  <si>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</si>
  <si>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</si>
  <si>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</si>
  <si>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</si>
  <si>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</si>
  <si>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</si>
  <si>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</si>
  <si>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</si>
  <si>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</si>
  <si>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</si>
  <si>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</si>
  <si>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</si>
  <si>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</si>
  <si>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</si>
  <si>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</si>
  <si>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</si>
  <si>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</si>
  <si>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</si>
  <si>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</si>
  <si>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</si>
  <si>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</si>
  <si>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</si>
  <si>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</si>
  <si>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24062</t>
  </si>
  <si>
    <t>LEUVEN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</si>
  <si>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</si>
  <si>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</si>
  <si>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</si>
  <si>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</si>
  <si>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</si>
  <si>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</si>
  <si>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</si>
  <si>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Aquafin NV</t>
  </si>
  <si>
    <t>Dijkstraat 8, 2630 Aartselaar</t>
  </si>
  <si>
    <t>BGS-0016 RWZI Leuven</t>
  </si>
  <si>
    <t>biogas - RWZI</t>
  </si>
  <si>
    <t>niet WKK interne verbrandingsmotor (gas)</t>
  </si>
  <si>
    <t>Aarschotsesteenweg 208, 3010 Kessel-Lo</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</si>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</sst>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24062</v>
      </c>
      <c r="B6" s="396"/>
      <c r="C6" s="397"/>
    </row>
    <row r="7" spans="1:7" s="394" customFormat="1" ht="15.75" customHeight="1">
      <c r="A7" s="398" t="str">
        <f>txtMunicipality</f>
        <v>LEUVEN</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24062</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47908</v>
      </c>
      <c r="C9" s="336">
        <v>48019</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1099</v>
      </c>
    </row>
    <row r="15" spans="1:6">
      <c r="A15" s="1194" t="s">
        <v>185</v>
      </c>
      <c r="B15" s="333">
        <v>1</v>
      </c>
    </row>
    <row r="16" spans="1:6">
      <c r="A16" s="1194" t="s">
        <v>6</v>
      </c>
      <c r="B16" s="333">
        <v>91</v>
      </c>
    </row>
    <row r="17" spans="1:6">
      <c r="A17" s="1194" t="s">
        <v>7</v>
      </c>
      <c r="B17" s="333">
        <v>158</v>
      </c>
    </row>
    <row r="18" spans="1:6">
      <c r="A18" s="1194" t="s">
        <v>8</v>
      </c>
      <c r="B18" s="333">
        <v>181</v>
      </c>
    </row>
    <row r="19" spans="1:6">
      <c r="A19" s="1194" t="s">
        <v>9</v>
      </c>
      <c r="B19" s="333">
        <v>156</v>
      </c>
    </row>
    <row r="20" spans="1:6">
      <c r="A20" s="1194" t="s">
        <v>10</v>
      </c>
      <c r="B20" s="333">
        <v>119</v>
      </c>
    </row>
    <row r="21" spans="1:6">
      <c r="A21" s="1194" t="s">
        <v>11</v>
      </c>
      <c r="B21" s="333">
        <v>12</v>
      </c>
    </row>
    <row r="22" spans="1:6">
      <c r="A22" s="1194" t="s">
        <v>12</v>
      </c>
      <c r="B22" s="333">
        <v>20</v>
      </c>
    </row>
    <row r="23" spans="1:6">
      <c r="A23" s="1194" t="s">
        <v>13</v>
      </c>
      <c r="B23" s="333">
        <v>0</v>
      </c>
    </row>
    <row r="24" spans="1:6">
      <c r="A24" s="1194" t="s">
        <v>14</v>
      </c>
      <c r="B24" s="333">
        <v>1</v>
      </c>
    </row>
    <row r="25" spans="1:6">
      <c r="A25" s="1194" t="s">
        <v>15</v>
      </c>
      <c r="B25" s="333">
        <v>6</v>
      </c>
    </row>
    <row r="26" spans="1:6">
      <c r="A26" s="1194" t="s">
        <v>16</v>
      </c>
      <c r="B26" s="333">
        <v>42</v>
      </c>
    </row>
    <row r="27" spans="1:6">
      <c r="A27" s="1194" t="s">
        <v>17</v>
      </c>
      <c r="B27" s="333">
        <v>0</v>
      </c>
    </row>
    <row r="28" spans="1:6">
      <c r="A28" s="1194" t="s">
        <v>18</v>
      </c>
      <c r="B28" s="333">
        <v>0</v>
      </c>
    </row>
    <row r="29" spans="1:6">
      <c r="A29" s="1194" t="s">
        <v>888</v>
      </c>
      <c r="B29" s="333">
        <v>52</v>
      </c>
    </row>
    <row r="30" spans="1:6">
      <c r="A30" s="1190" t="s">
        <v>889</v>
      </c>
      <c r="B30" s="1190">
        <v>4</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11</v>
      </c>
      <c r="D36" s="333">
        <v>3755866.4471320701</v>
      </c>
      <c r="E36" s="333">
        <v>10</v>
      </c>
      <c r="F36" s="333">
        <v>864189.88286026998</v>
      </c>
    </row>
    <row r="37" spans="1:6">
      <c r="A37" s="1194" t="s">
        <v>25</v>
      </c>
      <c r="B37" s="1194" t="s">
        <v>28</v>
      </c>
      <c r="C37" s="333">
        <v>0</v>
      </c>
      <c r="D37" s="333">
        <v>0</v>
      </c>
      <c r="E37" s="333">
        <v>0</v>
      </c>
      <c r="F37" s="333">
        <v>0</v>
      </c>
    </row>
    <row r="38" spans="1:6">
      <c r="A38" s="1194" t="s">
        <v>25</v>
      </c>
      <c r="B38" s="1194" t="s">
        <v>29</v>
      </c>
      <c r="C38" s="333">
        <v>6</v>
      </c>
      <c r="D38" s="333">
        <v>1434684.9008387199</v>
      </c>
      <c r="E38" s="333">
        <v>7</v>
      </c>
      <c r="F38" s="333">
        <v>39464.768247005799</v>
      </c>
    </row>
    <row r="39" spans="1:6">
      <c r="A39" s="1194" t="s">
        <v>30</v>
      </c>
      <c r="B39" s="1194" t="s">
        <v>31</v>
      </c>
      <c r="C39" s="333">
        <v>27826</v>
      </c>
      <c r="D39" s="333">
        <v>435781236.70552403</v>
      </c>
      <c r="E39" s="333">
        <v>45587</v>
      </c>
      <c r="F39" s="333">
        <v>150630991.97509399</v>
      </c>
    </row>
    <row r="40" spans="1:6">
      <c r="A40" s="1194" t="s">
        <v>30</v>
      </c>
      <c r="B40" s="1194" t="s">
        <v>29</v>
      </c>
      <c r="C40" s="333">
        <v>1</v>
      </c>
      <c r="D40" s="333">
        <v>11116.6278631856</v>
      </c>
      <c r="E40" s="333">
        <v>1</v>
      </c>
      <c r="F40" s="333">
        <v>1658.6288346585</v>
      </c>
    </row>
    <row r="41" spans="1:6">
      <c r="A41" s="1194" t="s">
        <v>32</v>
      </c>
      <c r="B41" s="1194" t="s">
        <v>33</v>
      </c>
      <c r="C41" s="333">
        <v>287</v>
      </c>
      <c r="D41" s="333">
        <v>26079943.391145099</v>
      </c>
      <c r="E41" s="333">
        <v>568</v>
      </c>
      <c r="F41" s="333">
        <v>42147734.837778203</v>
      </c>
    </row>
    <row r="42" spans="1:6">
      <c r="A42" s="1194" t="s">
        <v>32</v>
      </c>
      <c r="B42" s="1194" t="s">
        <v>34</v>
      </c>
      <c r="C42" s="333">
        <v>0</v>
      </c>
      <c r="D42" s="333">
        <v>0</v>
      </c>
      <c r="E42" s="333">
        <v>3</v>
      </c>
      <c r="F42" s="333">
        <v>34993</v>
      </c>
    </row>
    <row r="43" spans="1:6">
      <c r="A43" s="1194" t="s">
        <v>32</v>
      </c>
      <c r="B43" s="1194" t="s">
        <v>35</v>
      </c>
      <c r="C43" s="333">
        <v>0</v>
      </c>
      <c r="D43" s="333">
        <v>0</v>
      </c>
      <c r="E43" s="333">
        <v>0</v>
      </c>
      <c r="F43" s="333">
        <v>0</v>
      </c>
    </row>
    <row r="44" spans="1:6">
      <c r="A44" s="1194" t="s">
        <v>32</v>
      </c>
      <c r="B44" s="1194" t="s">
        <v>36</v>
      </c>
      <c r="C44" s="333">
        <v>5</v>
      </c>
      <c r="D44" s="333">
        <v>207014.06819633301</v>
      </c>
      <c r="E44" s="333">
        <v>18</v>
      </c>
      <c r="F44" s="333">
        <v>2310307.4202318699</v>
      </c>
    </row>
    <row r="45" spans="1:6">
      <c r="A45" s="1194" t="s">
        <v>32</v>
      </c>
      <c r="B45" s="1194" t="s">
        <v>37</v>
      </c>
      <c r="C45" s="333">
        <v>3</v>
      </c>
      <c r="D45" s="333">
        <v>68479.005983573603</v>
      </c>
      <c r="E45" s="333">
        <v>8</v>
      </c>
      <c r="F45" s="333">
        <v>46792.344271241403</v>
      </c>
    </row>
    <row r="46" spans="1:6">
      <c r="A46" s="1194" t="s">
        <v>32</v>
      </c>
      <c r="B46" s="1194" t="s">
        <v>38</v>
      </c>
      <c r="C46" s="333">
        <v>0</v>
      </c>
      <c r="D46" s="333">
        <v>0</v>
      </c>
      <c r="E46" s="333">
        <v>0</v>
      </c>
      <c r="F46" s="333">
        <v>0</v>
      </c>
    </row>
    <row r="47" spans="1:6">
      <c r="A47" s="1194" t="s">
        <v>32</v>
      </c>
      <c r="B47" s="1194" t="s">
        <v>39</v>
      </c>
      <c r="C47" s="333">
        <v>29</v>
      </c>
      <c r="D47" s="333">
        <v>1388425.8517926</v>
      </c>
      <c r="E47" s="333">
        <v>48</v>
      </c>
      <c r="F47" s="333">
        <v>1487734.08175801</v>
      </c>
    </row>
    <row r="48" spans="1:6">
      <c r="A48" s="1194" t="s">
        <v>32</v>
      </c>
      <c r="B48" s="1194" t="s">
        <v>29</v>
      </c>
      <c r="C48" s="333">
        <v>113</v>
      </c>
      <c r="D48" s="333">
        <v>88487011.5127635</v>
      </c>
      <c r="E48" s="333">
        <v>123</v>
      </c>
      <c r="F48" s="333">
        <v>47723280.8944185</v>
      </c>
    </row>
    <row r="49" spans="1:6">
      <c r="A49" s="1194" t="s">
        <v>32</v>
      </c>
      <c r="B49" s="1194" t="s">
        <v>40</v>
      </c>
      <c r="C49" s="333">
        <v>8</v>
      </c>
      <c r="D49" s="333">
        <v>243417.81130657301</v>
      </c>
      <c r="E49" s="333">
        <v>12</v>
      </c>
      <c r="F49" s="333">
        <v>111069.261696835</v>
      </c>
    </row>
    <row r="50" spans="1:6">
      <c r="A50" s="1194" t="s">
        <v>32</v>
      </c>
      <c r="B50" s="1194" t="s">
        <v>41</v>
      </c>
      <c r="C50" s="333">
        <v>45</v>
      </c>
      <c r="D50" s="333">
        <v>6863139.2485401398</v>
      </c>
      <c r="E50" s="333">
        <v>78</v>
      </c>
      <c r="F50" s="333">
        <v>11440299.3851182</v>
      </c>
    </row>
    <row r="51" spans="1:6">
      <c r="A51" s="1194" t="s">
        <v>42</v>
      </c>
      <c r="B51" s="1194" t="s">
        <v>43</v>
      </c>
      <c r="C51" s="333">
        <v>5</v>
      </c>
      <c r="D51" s="333">
        <v>369292.51406117302</v>
      </c>
      <c r="E51" s="333">
        <v>20</v>
      </c>
      <c r="F51" s="333">
        <v>150793.81234293501</v>
      </c>
    </row>
    <row r="52" spans="1:6">
      <c r="A52" s="1194" t="s">
        <v>42</v>
      </c>
      <c r="B52" s="1194" t="s">
        <v>29</v>
      </c>
      <c r="C52" s="333">
        <v>16</v>
      </c>
      <c r="D52" s="333">
        <v>528142.65395983402</v>
      </c>
      <c r="E52" s="333">
        <v>13</v>
      </c>
      <c r="F52" s="333">
        <v>128872.376533906</v>
      </c>
    </row>
    <row r="53" spans="1:6">
      <c r="A53" s="1194" t="s">
        <v>44</v>
      </c>
      <c r="B53" s="1194" t="s">
        <v>45</v>
      </c>
      <c r="C53" s="333">
        <v>1565</v>
      </c>
      <c r="D53" s="333">
        <v>38080758.804918997</v>
      </c>
      <c r="E53" s="333">
        <v>2694</v>
      </c>
      <c r="F53" s="333">
        <v>12797371.409416899</v>
      </c>
    </row>
    <row r="54" spans="1:6">
      <c r="A54" s="1194" t="s">
        <v>46</v>
      </c>
      <c r="B54" s="1194" t="s">
        <v>47</v>
      </c>
      <c r="C54" s="333">
        <v>0</v>
      </c>
      <c r="D54" s="333">
        <v>0</v>
      </c>
      <c r="E54" s="333">
        <v>1</v>
      </c>
      <c r="F54" s="333">
        <v>5496795</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241</v>
      </c>
      <c r="D57" s="333">
        <v>18510255.5703816</v>
      </c>
      <c r="E57" s="333">
        <v>432</v>
      </c>
      <c r="F57" s="333">
        <v>28916881.163075</v>
      </c>
    </row>
    <row r="58" spans="1:6">
      <c r="A58" s="1194" t="s">
        <v>49</v>
      </c>
      <c r="B58" s="1194" t="s">
        <v>51</v>
      </c>
      <c r="C58" s="333">
        <v>202</v>
      </c>
      <c r="D58" s="333">
        <v>19546286.5057026</v>
      </c>
      <c r="E58" s="333">
        <v>309</v>
      </c>
      <c r="F58" s="333">
        <v>11942310.9185757</v>
      </c>
    </row>
    <row r="59" spans="1:6">
      <c r="A59" s="1194" t="s">
        <v>49</v>
      </c>
      <c r="B59" s="1194" t="s">
        <v>52</v>
      </c>
      <c r="C59" s="333">
        <v>597</v>
      </c>
      <c r="D59" s="333">
        <v>31127075.933873799</v>
      </c>
      <c r="E59" s="333">
        <v>1173</v>
      </c>
      <c r="F59" s="333">
        <v>44503048.573564701</v>
      </c>
    </row>
    <row r="60" spans="1:6">
      <c r="A60" s="1194" t="s">
        <v>49</v>
      </c>
      <c r="B60" s="1194" t="s">
        <v>53</v>
      </c>
      <c r="C60" s="333">
        <v>539</v>
      </c>
      <c r="D60" s="333">
        <v>166270522.10202101</v>
      </c>
      <c r="E60" s="333">
        <v>626</v>
      </c>
      <c r="F60" s="333">
        <v>218176938.87086001</v>
      </c>
    </row>
    <row r="61" spans="1:6">
      <c r="A61" s="1194" t="s">
        <v>49</v>
      </c>
      <c r="B61" s="1194" t="s">
        <v>54</v>
      </c>
      <c r="C61" s="333">
        <v>1495</v>
      </c>
      <c r="D61" s="333">
        <v>144133908.91937301</v>
      </c>
      <c r="E61" s="333">
        <v>3291</v>
      </c>
      <c r="F61" s="333">
        <v>119309799.27556901</v>
      </c>
    </row>
    <row r="62" spans="1:6">
      <c r="A62" s="1194" t="s">
        <v>49</v>
      </c>
      <c r="B62" s="1194" t="s">
        <v>55</v>
      </c>
      <c r="C62" s="333">
        <v>82</v>
      </c>
      <c r="D62" s="333">
        <v>19451231.120998599</v>
      </c>
      <c r="E62" s="333">
        <v>111</v>
      </c>
      <c r="F62" s="333">
        <v>8377309.56710687</v>
      </c>
    </row>
    <row r="63" spans="1:6">
      <c r="A63" s="1194" t="s">
        <v>49</v>
      </c>
      <c r="B63" s="1194" t="s">
        <v>29</v>
      </c>
      <c r="C63" s="333">
        <v>406</v>
      </c>
      <c r="D63" s="333">
        <v>75602142.229825005</v>
      </c>
      <c r="E63" s="333">
        <v>419</v>
      </c>
      <c r="F63" s="333">
        <v>13313223.8761147</v>
      </c>
    </row>
    <row r="64" spans="1:6">
      <c r="A64" s="1194" t="s">
        <v>56</v>
      </c>
      <c r="B64" s="1194" t="s">
        <v>57</v>
      </c>
      <c r="C64" s="333">
        <v>0</v>
      </c>
      <c r="D64" s="333">
        <v>0</v>
      </c>
      <c r="E64" s="333">
        <v>0</v>
      </c>
      <c r="F64" s="333">
        <v>0</v>
      </c>
    </row>
    <row r="65" spans="1:6">
      <c r="A65" s="1194" t="s">
        <v>56</v>
      </c>
      <c r="B65" s="1194" t="s">
        <v>29</v>
      </c>
      <c r="C65" s="333">
        <v>9</v>
      </c>
      <c r="D65" s="333">
        <v>1416062.7209938399</v>
      </c>
      <c r="E65" s="333">
        <v>9</v>
      </c>
      <c r="F65" s="333">
        <v>441999.44602233602</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4</v>
      </c>
      <c r="D68" s="333">
        <v>963374.37665431702</v>
      </c>
      <c r="E68" s="333">
        <v>23</v>
      </c>
      <c r="F68" s="333">
        <v>760472.61517347302</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173974490</v>
      </c>
      <c r="E73" s="333">
        <v>199881438.02433458</v>
      </c>
      <c r="F73" s="333">
        <v>171818355</v>
      </c>
    </row>
    <row r="74" spans="1:6">
      <c r="A74" s="1194" t="s">
        <v>64</v>
      </c>
      <c r="B74" s="1194" t="s">
        <v>775</v>
      </c>
      <c r="C74" s="1205" t="s">
        <v>776</v>
      </c>
      <c r="D74" s="333">
        <v>5438518.0515509099</v>
      </c>
      <c r="E74" s="333">
        <v>6542007.0372506846</v>
      </c>
      <c r="F74" s="333">
        <v>6237643.7674972331</v>
      </c>
    </row>
    <row r="75" spans="1:6">
      <c r="A75" s="1194" t="s">
        <v>65</v>
      </c>
      <c r="B75" s="1194" t="s">
        <v>773</v>
      </c>
      <c r="C75" s="1205" t="s">
        <v>777</v>
      </c>
      <c r="D75" s="333">
        <v>109962217</v>
      </c>
      <c r="E75" s="333">
        <v>126372646.0874704</v>
      </c>
      <c r="F75" s="333">
        <v>109290397</v>
      </c>
    </row>
    <row r="76" spans="1:6">
      <c r="A76" s="1194" t="s">
        <v>65</v>
      </c>
      <c r="B76" s="1194" t="s">
        <v>775</v>
      </c>
      <c r="C76" s="1205" t="s">
        <v>778</v>
      </c>
      <c r="D76" s="333">
        <v>378316.2</v>
      </c>
      <c r="E76" s="333">
        <v>818371.3312086598</v>
      </c>
      <c r="F76" s="333">
        <v>656591.76749723312</v>
      </c>
    </row>
    <row r="77" spans="1:6">
      <c r="A77" s="1194" t="s">
        <v>66</v>
      </c>
      <c r="B77" s="1194" t="s">
        <v>773</v>
      </c>
      <c r="C77" s="1205" t="s">
        <v>779</v>
      </c>
      <c r="D77" s="333">
        <v>366300888</v>
      </c>
      <c r="E77" s="333">
        <v>394661232.63375366</v>
      </c>
      <c r="F77" s="333">
        <v>363903560</v>
      </c>
    </row>
    <row r="78" spans="1:6">
      <c r="A78" s="1190" t="s">
        <v>66</v>
      </c>
      <c r="B78" s="1190" t="s">
        <v>775</v>
      </c>
      <c r="C78" s="1190" t="s">
        <v>780</v>
      </c>
      <c r="D78" s="1190">
        <v>34471722</v>
      </c>
      <c r="E78" s="1190">
        <v>37352927.311322875</v>
      </c>
      <c r="F78" s="336">
        <v>33380411</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7247149.8968981802</v>
      </c>
      <c r="C83" s="333">
        <v>6670104.9103517374</v>
      </c>
      <c r="D83" s="333">
        <v>6710214.4650055338</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3958.2530237195201</v>
      </c>
    </row>
    <row r="92" spans="1:6">
      <c r="A92" s="1190" t="s">
        <v>69</v>
      </c>
      <c r="B92" s="336">
        <v>1743.7787581692264</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21126</v>
      </c>
    </row>
    <row r="98" spans="1:6">
      <c r="A98" s="1194" t="s">
        <v>72</v>
      </c>
      <c r="B98" s="333">
        <v>27</v>
      </c>
    </row>
    <row r="99" spans="1:6">
      <c r="A99" s="1194" t="s">
        <v>73</v>
      </c>
      <c r="B99" s="333">
        <v>177</v>
      </c>
    </row>
    <row r="100" spans="1:6">
      <c r="A100" s="1194" t="s">
        <v>74</v>
      </c>
      <c r="B100" s="333">
        <v>3087</v>
      </c>
    </row>
    <row r="101" spans="1:6">
      <c r="A101" s="1194" t="s">
        <v>75</v>
      </c>
      <c r="B101" s="333">
        <v>75</v>
      </c>
    </row>
    <row r="102" spans="1:6">
      <c r="A102" s="1194" t="s">
        <v>76</v>
      </c>
      <c r="B102" s="333">
        <v>1071</v>
      </c>
    </row>
    <row r="103" spans="1:6">
      <c r="A103" s="1194" t="s">
        <v>77</v>
      </c>
      <c r="B103" s="333">
        <v>267</v>
      </c>
    </row>
    <row r="104" spans="1:6">
      <c r="A104" s="1194" t="s">
        <v>78</v>
      </c>
      <c r="B104" s="333">
        <v>12359</v>
      </c>
    </row>
    <row r="105" spans="1:6">
      <c r="A105" s="1190" t="s">
        <v>79</v>
      </c>
      <c r="B105" s="1190">
        <v>69</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1</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13</v>
      </c>
      <c r="C123" s="333">
        <v>25</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218</v>
      </c>
    </row>
    <row r="130" spans="1:6">
      <c r="A130" s="1194" t="s">
        <v>296</v>
      </c>
      <c r="B130" s="333">
        <v>6</v>
      </c>
    </row>
    <row r="131" spans="1:6">
      <c r="A131" s="1194" t="s">
        <v>297</v>
      </c>
      <c r="B131" s="333">
        <v>10</v>
      </c>
    </row>
    <row r="132" spans="1:6">
      <c r="A132" s="1190" t="s">
        <v>298</v>
      </c>
      <c r="B132" s="336">
        <v>11</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711618.27980203507</v>
      </c>
      <c r="C3" s="43" t="s">
        <v>171</v>
      </c>
      <c r="D3" s="43"/>
      <c r="E3" s="156"/>
      <c r="F3" s="43"/>
      <c r="G3" s="43"/>
      <c r="H3" s="43"/>
      <c r="I3" s="43"/>
      <c r="J3" s="43"/>
      <c r="K3" s="96"/>
    </row>
    <row r="4" spans="1:11">
      <c r="A4" s="364" t="s">
        <v>172</v>
      </c>
      <c r="B4" s="49">
        <f>IF(ISERROR('SEAP template'!B69),0,'SEAP template'!B69)</f>
        <v>7106.031781888747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0.21879315249710238</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5496.7950000000001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5496.7950000000001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0.21879315249710238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1202.6611066803098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150632.65060392866</v>
      </c>
      <c r="C5" s="17">
        <f>IF(ISERROR('Eigen informatie GS &amp; warmtenet'!B57),0,'Eigen informatie GS &amp; warmtenet'!B57)</f>
        <v>0</v>
      </c>
      <c r="D5" s="30">
        <f>(SUM(HH_hh_gas_kWh,HH_rest_gas_kWh)/1000)*0.902</f>
        <v>393084.70270671527</v>
      </c>
      <c r="E5" s="17">
        <f>B46*B57</f>
        <v>14969.943317862764</v>
      </c>
      <c r="F5" s="17">
        <f>B51*B62</f>
        <v>144294.00609668973</v>
      </c>
      <c r="G5" s="18"/>
      <c r="H5" s="17"/>
      <c r="I5" s="17"/>
      <c r="J5" s="17">
        <f>B50*B61+C50*C61</f>
        <v>0</v>
      </c>
      <c r="K5" s="17"/>
      <c r="L5" s="17"/>
      <c r="M5" s="17"/>
      <c r="N5" s="17">
        <f>B48*B59+C48*C59</f>
        <v>18353.041806145851</v>
      </c>
      <c r="O5" s="17">
        <f>B69*B70*B71</f>
        <v>379.89000000000004</v>
      </c>
      <c r="P5" s="17">
        <f>B77*B78*B79/1000-B77*B78*B79/1000/B80</f>
        <v>457.6</v>
      </c>
    </row>
    <row r="6" spans="1:16">
      <c r="A6" s="16" t="s">
        <v>633</v>
      </c>
      <c r="B6" s="830">
        <f>kWh_PV_kleiner_dan_10kW</f>
        <v>3958.2530237195201</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154590.90362764819</v>
      </c>
      <c r="C8" s="21">
        <f>C5</f>
        <v>0</v>
      </c>
      <c r="D8" s="21">
        <f>D5</f>
        <v>393084.70270671527</v>
      </c>
      <c r="E8" s="21">
        <f>E5</f>
        <v>14969.943317862764</v>
      </c>
      <c r="F8" s="21">
        <f>F5</f>
        <v>144294.00609668973</v>
      </c>
      <c r="G8" s="21"/>
      <c r="H8" s="21"/>
      <c r="I8" s="21"/>
      <c r="J8" s="21">
        <f>J5</f>
        <v>0</v>
      </c>
      <c r="K8" s="21"/>
      <c r="L8" s="21">
        <f>L5</f>
        <v>0</v>
      </c>
      <c r="M8" s="21">
        <f>M5</f>
        <v>0</v>
      </c>
      <c r="N8" s="21">
        <f>N5</f>
        <v>18353.041806145851</v>
      </c>
      <c r="O8" s="21">
        <f>O5</f>
        <v>379.89000000000004</v>
      </c>
      <c r="P8" s="21">
        <f>P5</f>
        <v>457.6</v>
      </c>
    </row>
    <row r="9" spans="1:16">
      <c r="B9" s="19"/>
      <c r="C9" s="19"/>
      <c r="D9" s="260"/>
      <c r="E9" s="19"/>
      <c r="F9" s="19"/>
      <c r="G9" s="19"/>
      <c r="H9" s="19"/>
      <c r="I9" s="19"/>
      <c r="J9" s="19"/>
      <c r="K9" s="19"/>
      <c r="L9" s="19"/>
      <c r="M9" s="19"/>
      <c r="N9" s="19"/>
      <c r="O9" s="19"/>
      <c r="P9" s="19"/>
    </row>
    <row r="10" spans="1:16">
      <c r="A10" s="24" t="s">
        <v>215</v>
      </c>
      <c r="B10" s="25">
        <f ca="1">'EF ele_warmte'!B12</f>
        <v>0.21879315249710238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33823.431152068886</v>
      </c>
      <c r="C12" s="23">
        <f ca="1">C10*C8</f>
        <v>0</v>
      </c>
      <c r="D12" s="23">
        <f>D8*D10</f>
        <v>79403.109946756493</v>
      </c>
      <c r="E12" s="23">
        <f>E10*E8</f>
        <v>3398.1771331548475</v>
      </c>
      <c r="F12" s="23">
        <f>F10*F8</f>
        <v>38526.499627816163</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21126</v>
      </c>
      <c r="C18" s="167" t="s">
        <v>111</v>
      </c>
      <c r="D18" s="229"/>
      <c r="E18" s="15"/>
    </row>
    <row r="19" spans="1:7">
      <c r="A19" s="172" t="s">
        <v>72</v>
      </c>
      <c r="B19" s="37">
        <f>aantalw2001_ander</f>
        <v>27</v>
      </c>
      <c r="C19" s="167" t="s">
        <v>111</v>
      </c>
      <c r="D19" s="230"/>
      <c r="E19" s="15"/>
    </row>
    <row r="20" spans="1:7">
      <c r="A20" s="172" t="s">
        <v>73</v>
      </c>
      <c r="B20" s="37">
        <f>aantalw2001_propaan</f>
        <v>177</v>
      </c>
      <c r="C20" s="168">
        <f>IF(ISERROR(B20/SUM($B$20,$B$21,$B$22)*100),0,B20/SUM($B$20,$B$21,$B$22)*100)</f>
        <v>5.3009883198562449</v>
      </c>
      <c r="D20" s="230"/>
      <c r="E20" s="15"/>
    </row>
    <row r="21" spans="1:7">
      <c r="A21" s="172" t="s">
        <v>74</v>
      </c>
      <c r="B21" s="37">
        <f>aantalw2001_elektriciteit</f>
        <v>3087</v>
      </c>
      <c r="C21" s="168">
        <f>IF(ISERROR(B21/SUM($B$20,$B$21,$B$22)*100),0,B21/SUM($B$20,$B$21,$B$22)*100)</f>
        <v>92.452830188679243</v>
      </c>
      <c r="D21" s="230"/>
      <c r="E21" s="15"/>
    </row>
    <row r="22" spans="1:7">
      <c r="A22" s="172" t="s">
        <v>75</v>
      </c>
      <c r="B22" s="37">
        <f>aantalw2001_hout</f>
        <v>75</v>
      </c>
      <c r="C22" s="168">
        <f>IF(ISERROR(B22/SUM($B$20,$B$21,$B$22)*100),0,B22/SUM($B$20,$B$21,$B$22)*100)</f>
        <v>2.2461814914645104</v>
      </c>
      <c r="D22" s="230"/>
      <c r="E22" s="15"/>
    </row>
    <row r="23" spans="1:7">
      <c r="A23" s="172" t="s">
        <v>76</v>
      </c>
      <c r="B23" s="37">
        <f>aantalw2001_niet_gespec</f>
        <v>1071</v>
      </c>
      <c r="C23" s="167" t="s">
        <v>111</v>
      </c>
      <c r="D23" s="229"/>
      <c r="E23" s="15"/>
    </row>
    <row r="24" spans="1:7">
      <c r="A24" s="172" t="s">
        <v>77</v>
      </c>
      <c r="B24" s="37">
        <f>aantalw2001_steenkool</f>
        <v>267</v>
      </c>
      <c r="C24" s="167" t="s">
        <v>111</v>
      </c>
      <c r="D24" s="230"/>
      <c r="E24" s="15"/>
    </row>
    <row r="25" spans="1:7">
      <c r="A25" s="172" t="s">
        <v>78</v>
      </c>
      <c r="B25" s="37">
        <f>aantalw2001_stookolie</f>
        <v>12359</v>
      </c>
      <c r="C25" s="167" t="s">
        <v>111</v>
      </c>
      <c r="D25" s="229"/>
      <c r="E25" s="52"/>
    </row>
    <row r="26" spans="1:7">
      <c r="A26" s="172" t="s">
        <v>79</v>
      </c>
      <c r="B26" s="37">
        <f>aantalw2001_WP</f>
        <v>69</v>
      </c>
      <c r="C26" s="167" t="s">
        <v>111</v>
      </c>
      <c r="D26" s="229"/>
      <c r="E26" s="15"/>
    </row>
    <row r="27" spans="1:7" s="15" customFormat="1">
      <c r="A27" s="172"/>
      <c r="B27" s="29"/>
      <c r="C27" s="36"/>
      <c r="D27" s="229"/>
    </row>
    <row r="28" spans="1:7" s="15" customFormat="1">
      <c r="A28" s="231" t="s">
        <v>713</v>
      </c>
      <c r="B28" s="37">
        <f>aantalHuishoudens2011</f>
        <v>47908</v>
      </c>
      <c r="C28" s="36"/>
      <c r="D28" s="229"/>
    </row>
    <row r="29" spans="1:7" s="15" customFormat="1">
      <c r="A29" s="231" t="s">
        <v>714</v>
      </c>
      <c r="B29" s="37">
        <f>SUM(HH_hh_gas_aantal,HH_rest_gas_aantal)</f>
        <v>27827</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27827</v>
      </c>
      <c r="C32" s="168">
        <f>IF(ISERROR(B32/SUM($B$32,$B$34,$B$35,$B$36,$B$38,$B$39)*100),0,B32/SUM($B$32,$B$34,$B$35,$B$36,$B$38,$B$39)*100)</f>
        <v>58.11335728009356</v>
      </c>
      <c r="D32" s="234"/>
      <c r="G32" s="15"/>
    </row>
    <row r="33" spans="1:7">
      <c r="A33" s="172" t="s">
        <v>72</v>
      </c>
      <c r="B33" s="34" t="s">
        <v>111</v>
      </c>
      <c r="C33" s="168"/>
      <c r="D33" s="234"/>
      <c r="G33" s="15"/>
    </row>
    <row r="34" spans="1:7">
      <c r="A34" s="172" t="s">
        <v>73</v>
      </c>
      <c r="B34" s="33">
        <f>IF((($B$28-$B$32-$B$39-$B$77-$B$38)*C20/100)&lt;0,0,($B$28-$B$32-$B$39-$B$77-$B$38)*C20/100)</f>
        <v>727.76738544474415</v>
      </c>
      <c r="C34" s="168">
        <f>IF(ISERROR(B34/SUM($B$32,$B$34,$B$35,$B$36,$B$38,$B$39)*100),0,B34/SUM($B$32,$B$34,$B$35,$B$36,$B$38,$B$39)*100)</f>
        <v>1.5198550360135832</v>
      </c>
      <c r="D34" s="234"/>
      <c r="G34" s="15"/>
    </row>
    <row r="35" spans="1:7">
      <c r="A35" s="172" t="s">
        <v>74</v>
      </c>
      <c r="B35" s="33">
        <f>IF((($B$28-$B$32-$B$39-$B$77-$B$38)*C21/100)&lt;0,0,($B$28-$B$32-$B$39-$B$77-$B$38)*C21/100)</f>
        <v>12692.756603773585</v>
      </c>
      <c r="C35" s="168">
        <f>IF(ISERROR(B35/SUM($B$32,$B$34,$B$35,$B$36,$B$38,$B$39)*100),0,B35/SUM($B$32,$B$34,$B$35,$B$36,$B$38,$B$39)*100)</f>
        <v>26.507302238270793</v>
      </c>
      <c r="D35" s="234"/>
      <c r="G35" s="15"/>
    </row>
    <row r="36" spans="1:7">
      <c r="A36" s="172" t="s">
        <v>75</v>
      </c>
      <c r="B36" s="33">
        <f>IF((($B$28-$B$32-$B$39-$B$77-$B$38)*C22/100)&lt;0,0,($B$28-$B$32-$B$39-$B$77-$B$38)*C22/100)</f>
        <v>308.3760107816712</v>
      </c>
      <c r="C36" s="168">
        <f>IF(ISERROR(B36/SUM($B$32,$B$34,$B$35,$B$36,$B$38,$B$39)*100),0,B36/SUM($B$32,$B$34,$B$35,$B$36,$B$38,$B$39)*100)</f>
        <v>0.64400637119219617</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6328.0999999999995</v>
      </c>
      <c r="C39" s="168">
        <f>IF(ISERROR(B39/SUM($B$32,$B$34,$B$35,$B$36,$B$38,$B$39)*100),0,B39/SUM($B$32,$B$34,$B$35,$B$36,$B$38,$B$39)*100)</f>
        <v>13.21547907442987</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27827</v>
      </c>
      <c r="C44" s="34" t="s">
        <v>111</v>
      </c>
      <c r="D44" s="175"/>
    </row>
    <row r="45" spans="1:7">
      <c r="A45" s="172" t="s">
        <v>72</v>
      </c>
      <c r="B45" s="33" t="str">
        <f t="shared" si="0"/>
        <v>-</v>
      </c>
      <c r="C45" s="34" t="s">
        <v>111</v>
      </c>
      <c r="D45" s="175"/>
    </row>
    <row r="46" spans="1:7">
      <c r="A46" s="172" t="s">
        <v>73</v>
      </c>
      <c r="B46" s="33">
        <f t="shared" si="0"/>
        <v>727.76738544474415</v>
      </c>
      <c r="C46" s="34" t="s">
        <v>111</v>
      </c>
      <c r="D46" s="175"/>
    </row>
    <row r="47" spans="1:7">
      <c r="A47" s="172" t="s">
        <v>74</v>
      </c>
      <c r="B47" s="33">
        <f t="shared" si="0"/>
        <v>12692.756603773585</v>
      </c>
      <c r="C47" s="34" t="s">
        <v>111</v>
      </c>
      <c r="D47" s="175"/>
    </row>
    <row r="48" spans="1:7">
      <c r="A48" s="172" t="s">
        <v>75</v>
      </c>
      <c r="B48" s="33">
        <f t="shared" si="0"/>
        <v>308.3760107816712</v>
      </c>
      <c r="C48" s="33">
        <f>B48*10</f>
        <v>3083.7601078167118</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6328.0999999999995</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243</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24</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444539.51224486594</v>
      </c>
      <c r="C5" s="17">
        <f>IF(ISERROR('Eigen informatie GS &amp; warmtenet'!B58),0,'Eigen informatie GS &amp; warmtenet'!B58)</f>
        <v>0</v>
      </c>
      <c r="D5" s="30">
        <f>SUM(D6:D12)</f>
        <v>428126.56298872241</v>
      </c>
      <c r="E5" s="17">
        <f>SUM(E6:E12)</f>
        <v>17186.008235254118</v>
      </c>
      <c r="F5" s="17">
        <f>SUM(F6:F12)</f>
        <v>82255.936684717119</v>
      </c>
      <c r="G5" s="18"/>
      <c r="H5" s="17"/>
      <c r="I5" s="17"/>
      <c r="J5" s="17">
        <f>SUM(J6:J12)</f>
        <v>0</v>
      </c>
      <c r="K5" s="17"/>
      <c r="L5" s="17"/>
      <c r="M5" s="17"/>
      <c r="N5" s="17">
        <f>SUM(N6:N12)</f>
        <v>8113.2586444728649</v>
      </c>
      <c r="O5" s="17">
        <f>B38*B39*B40</f>
        <v>9.3800000000000008</v>
      </c>
      <c r="P5" s="17">
        <f>B46*B47*B48/1000-B46*B47*B48/1000/B49</f>
        <v>190.66666666666669</v>
      </c>
      <c r="R5" s="32"/>
    </row>
    <row r="6" spans="1:18">
      <c r="A6" s="32" t="s">
        <v>54</v>
      </c>
      <c r="B6" s="37">
        <f>B26</f>
        <v>119309.79927556901</v>
      </c>
      <c r="C6" s="33"/>
      <c r="D6" s="37">
        <f>IF(ISERROR(TER_kantoor_gas_kWh/1000),0,TER_kantoor_gas_kWh/1000)*0.902</f>
        <v>130008.78584527445</v>
      </c>
      <c r="E6" s="33">
        <f>$C$26*'E Balans VL '!I12/100/3.6*1000000</f>
        <v>4176.3123091663665</v>
      </c>
      <c r="F6" s="33">
        <f>$C$26*('E Balans VL '!L12+'E Balans VL '!N12)/100/3.6*1000000</f>
        <v>18089.927126465758</v>
      </c>
      <c r="G6" s="34"/>
      <c r="H6" s="33"/>
      <c r="I6" s="33"/>
      <c r="J6" s="33">
        <f>$C$26*('E Balans VL '!D12+'E Balans VL '!E12)/100/3.6*1000000</f>
        <v>0</v>
      </c>
      <c r="K6" s="33"/>
      <c r="L6" s="33"/>
      <c r="M6" s="33"/>
      <c r="N6" s="33">
        <f>$C$26*'E Balans VL '!Y12/100/3.6*1000000</f>
        <v>922.22740546069895</v>
      </c>
      <c r="O6" s="33"/>
      <c r="P6" s="33"/>
      <c r="R6" s="32"/>
    </row>
    <row r="7" spans="1:18">
      <c r="A7" s="32" t="s">
        <v>53</v>
      </c>
      <c r="B7" s="37">
        <f t="shared" ref="B7:B12" si="0">B27</f>
        <v>218176.93887086</v>
      </c>
      <c r="C7" s="33"/>
      <c r="D7" s="37">
        <f>IF(ISERROR(TER_horeca_gas_kWh/1000),0,TER_horeca_gas_kWh/1000)*0.902</f>
        <v>149976.01093602294</v>
      </c>
      <c r="E7" s="33">
        <f>$C$27*'E Balans VL '!I9/100/3.6*1000000</f>
        <v>12308.080399078885</v>
      </c>
      <c r="F7" s="33">
        <f>$C$27*('E Balans VL '!L9+'E Balans VL '!N9)/100/3.6*1000000</f>
        <v>38007.630157985899</v>
      </c>
      <c r="G7" s="34"/>
      <c r="H7" s="33"/>
      <c r="I7" s="33"/>
      <c r="J7" s="33">
        <f>$C$27*('E Balans VL '!D9+'E Balans VL '!E9)/100/3.6*1000000</f>
        <v>0</v>
      </c>
      <c r="K7" s="33"/>
      <c r="L7" s="33"/>
      <c r="M7" s="33"/>
      <c r="N7" s="33">
        <f>$C$27*'E Balans VL '!Y9/100/3.6*1000000</f>
        <v>0</v>
      </c>
      <c r="O7" s="33"/>
      <c r="P7" s="33"/>
      <c r="R7" s="32"/>
    </row>
    <row r="8" spans="1:18">
      <c r="A8" s="6" t="s">
        <v>52</v>
      </c>
      <c r="B8" s="37">
        <f t="shared" si="0"/>
        <v>44503.048573564702</v>
      </c>
      <c r="C8" s="33"/>
      <c r="D8" s="37">
        <f>IF(ISERROR(TER_handel_gas_kWh/1000),0,TER_handel_gas_kWh/1000)*0.902</f>
        <v>28076.622492354167</v>
      </c>
      <c r="E8" s="33">
        <f>$C$28*'E Balans VL '!I13/100/3.6*1000000</f>
        <v>228.47412993252229</v>
      </c>
      <c r="F8" s="33">
        <f>$C$28*('E Balans VL '!L13+'E Balans VL '!N13)/100/3.6*1000000</f>
        <v>6861.6824473536126</v>
      </c>
      <c r="G8" s="34"/>
      <c r="H8" s="33"/>
      <c r="I8" s="33"/>
      <c r="J8" s="33">
        <f>$C$28*('E Balans VL '!D13+'E Balans VL '!E13)/100/3.6*1000000</f>
        <v>0</v>
      </c>
      <c r="K8" s="33"/>
      <c r="L8" s="33"/>
      <c r="M8" s="33"/>
      <c r="N8" s="33">
        <f>$C$28*'E Balans VL '!Y13/100/3.6*1000000</f>
        <v>20.814619050685231</v>
      </c>
      <c r="O8" s="33"/>
      <c r="P8" s="33"/>
      <c r="R8" s="32"/>
    </row>
    <row r="9" spans="1:18">
      <c r="A9" s="32" t="s">
        <v>51</v>
      </c>
      <c r="B9" s="37">
        <f t="shared" si="0"/>
        <v>11942.3109185757</v>
      </c>
      <c r="C9" s="33"/>
      <c r="D9" s="37">
        <f>IF(ISERROR(TER_gezond_gas_kWh/1000),0,TER_gezond_gas_kWh/1000)*0.902</f>
        <v>17630.750428143743</v>
      </c>
      <c r="E9" s="33">
        <f>$C$29*'E Balans VL '!I10/100/3.6*1000000</f>
        <v>4.9500028256594426</v>
      </c>
      <c r="F9" s="33">
        <f>$C$29*('E Balans VL '!L10+'E Balans VL '!N10)/100/3.6*1000000</f>
        <v>2941.2199036597399</v>
      </c>
      <c r="G9" s="34"/>
      <c r="H9" s="33"/>
      <c r="I9" s="33"/>
      <c r="J9" s="33">
        <f>$C$29*('E Balans VL '!D10+'E Balans VL '!E10)/100/3.6*1000000</f>
        <v>0</v>
      </c>
      <c r="K9" s="33"/>
      <c r="L9" s="33"/>
      <c r="M9" s="33"/>
      <c r="N9" s="33">
        <f>$C$29*'E Balans VL '!Y10/100/3.6*1000000</f>
        <v>103.21112505021374</v>
      </c>
      <c r="O9" s="33"/>
      <c r="P9" s="33"/>
      <c r="R9" s="32"/>
    </row>
    <row r="10" spans="1:18">
      <c r="A10" s="32" t="s">
        <v>50</v>
      </c>
      <c r="B10" s="37">
        <f t="shared" si="0"/>
        <v>28916.881163074999</v>
      </c>
      <c r="C10" s="33"/>
      <c r="D10" s="37">
        <f>IF(ISERROR(TER_ander_gas_kWh/1000),0,TER_ander_gas_kWh/1000)*0.902</f>
        <v>16696.250524484203</v>
      </c>
      <c r="E10" s="33">
        <f>$C$30*'E Balans VL '!I14/100/3.6*1000000</f>
        <v>176.27802102756542</v>
      </c>
      <c r="F10" s="33">
        <f>$C$30*('E Balans VL '!L14+'E Balans VL '!N14)/100/3.6*1000000</f>
        <v>7666.2613126696906</v>
      </c>
      <c r="G10" s="34"/>
      <c r="H10" s="33"/>
      <c r="I10" s="33"/>
      <c r="J10" s="33">
        <f>$C$30*('E Balans VL '!D14+'E Balans VL '!E14)/100/3.6*1000000</f>
        <v>0</v>
      </c>
      <c r="K10" s="33"/>
      <c r="L10" s="33"/>
      <c r="M10" s="33"/>
      <c r="N10" s="33">
        <f>$C$30*'E Balans VL '!Y14/100/3.6*1000000</f>
        <v>6664.7162602782892</v>
      </c>
      <c r="O10" s="33"/>
      <c r="P10" s="33"/>
      <c r="R10" s="32"/>
    </row>
    <row r="11" spans="1:18">
      <c r="A11" s="32" t="s">
        <v>55</v>
      </c>
      <c r="B11" s="37">
        <f t="shared" si="0"/>
        <v>8377.3095671068695</v>
      </c>
      <c r="C11" s="33"/>
      <c r="D11" s="37">
        <f>IF(ISERROR(TER_onderwijs_gas_kWh/1000),0,TER_onderwijs_gas_kWh/1000)*0.902</f>
        <v>17545.010471140737</v>
      </c>
      <c r="E11" s="33">
        <f>$C$31*'E Balans VL '!I11/100/3.6*1000000</f>
        <v>6.3839461012528753</v>
      </c>
      <c r="F11" s="33">
        <f>$C$31*('E Balans VL '!L11+'E Balans VL '!N11)/100/3.6*1000000</f>
        <v>6062.2802984247819</v>
      </c>
      <c r="G11" s="34"/>
      <c r="H11" s="33"/>
      <c r="I11" s="33"/>
      <c r="J11" s="33">
        <f>$C$31*('E Balans VL '!D11+'E Balans VL '!E11)/100/3.6*1000000</f>
        <v>0</v>
      </c>
      <c r="K11" s="33"/>
      <c r="L11" s="33"/>
      <c r="M11" s="33"/>
      <c r="N11" s="33">
        <f>$C$31*'E Balans VL '!Y11/100/3.6*1000000</f>
        <v>24.689933434767546</v>
      </c>
      <c r="O11" s="33"/>
      <c r="P11" s="33"/>
      <c r="R11" s="32"/>
    </row>
    <row r="12" spans="1:18">
      <c r="A12" s="32" t="s">
        <v>261</v>
      </c>
      <c r="B12" s="37">
        <f t="shared" si="0"/>
        <v>13313.2238761147</v>
      </c>
      <c r="C12" s="33"/>
      <c r="D12" s="37">
        <f>IF(ISERROR(TER_rest_gas_kWh/1000),0,TER_rest_gas_kWh/1000)*0.902</f>
        <v>68193.132291302158</v>
      </c>
      <c r="E12" s="33">
        <f>$C$32*'E Balans VL '!I8/100/3.6*1000000</f>
        <v>285.52942712186598</v>
      </c>
      <c r="F12" s="33">
        <f>$C$32*('E Balans VL '!L8+'E Balans VL '!N8)/100/3.6*1000000</f>
        <v>2626.9354381576236</v>
      </c>
      <c r="G12" s="34"/>
      <c r="H12" s="33"/>
      <c r="I12" s="33"/>
      <c r="J12" s="33">
        <f>$C$32*('E Balans VL '!D8+'E Balans VL '!E8)/100/3.6*1000000</f>
        <v>0</v>
      </c>
      <c r="K12" s="33"/>
      <c r="L12" s="33"/>
      <c r="M12" s="33"/>
      <c r="N12" s="33">
        <f>$C$32*'E Balans VL '!Y8/100/3.6*1000000</f>
        <v>377.59930119821115</v>
      </c>
      <c r="O12" s="33"/>
      <c r="P12" s="33"/>
      <c r="R12" s="32"/>
    </row>
    <row r="13" spans="1:18">
      <c r="A13" s="16" t="s">
        <v>497</v>
      </c>
      <c r="B13" s="248">
        <f ca="1">'lokale energieproductie'!N90+'lokale energieproductie'!N59</f>
        <v>1404</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-4011.4285714285716</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445943.51224486594</v>
      </c>
      <c r="C16" s="21">
        <f ca="1">C5+C13+C14</f>
        <v>0</v>
      </c>
      <c r="D16" s="21">
        <f t="shared" ref="D16:N16" ca="1" si="1">MAX((D5+D13+D14),0)</f>
        <v>428126.56298872241</v>
      </c>
      <c r="E16" s="21">
        <f t="shared" si="1"/>
        <v>17186.008235254118</v>
      </c>
      <c r="F16" s="21">
        <f t="shared" ca="1" si="1"/>
        <v>82255.936684717119</v>
      </c>
      <c r="G16" s="21">
        <f t="shared" si="1"/>
        <v>0</v>
      </c>
      <c r="H16" s="21">
        <f t="shared" si="1"/>
        <v>0</v>
      </c>
      <c r="I16" s="21">
        <f t="shared" si="1"/>
        <v>0</v>
      </c>
      <c r="J16" s="21">
        <f t="shared" si="1"/>
        <v>0</v>
      </c>
      <c r="K16" s="21">
        <f t="shared" si="1"/>
        <v>0</v>
      </c>
      <c r="L16" s="21">
        <f t="shared" ca="1" si="1"/>
        <v>0</v>
      </c>
      <c r="M16" s="21">
        <f t="shared" si="1"/>
        <v>0</v>
      </c>
      <c r="N16" s="21">
        <f t="shared" ca="1" si="1"/>
        <v>4101.8300730442934</v>
      </c>
      <c r="O16" s="21">
        <f>O5</f>
        <v>9.3800000000000008</v>
      </c>
      <c r="P16" s="21">
        <f>P5</f>
        <v>190.66666666666669</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0.21879315249710238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97569.386879684389</v>
      </c>
      <c r="C20" s="23">
        <f t="shared" ref="C20:P20" ca="1" si="2">C16*C18</f>
        <v>0</v>
      </c>
      <c r="D20" s="23">
        <f t="shared" ca="1" si="2"/>
        <v>86481.565723721927</v>
      </c>
      <c r="E20" s="23">
        <f t="shared" si="2"/>
        <v>3901.2238694026846</v>
      </c>
      <c r="F20" s="23">
        <f t="shared" ca="1" si="2"/>
        <v>21962.335094819471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119309.79927556901</v>
      </c>
      <c r="C26" s="39">
        <f>IF(ISERROR(B26*3.6/1000000/'E Balans VL '!Z12*100),0,B26*3.6/1000000/'E Balans VL '!Z12*100)</f>
        <v>2.5106768653456819</v>
      </c>
      <c r="D26" s="238" t="s">
        <v>720</v>
      </c>
      <c r="F26" s="6"/>
    </row>
    <row r="27" spans="1:18">
      <c r="A27" s="232" t="s">
        <v>53</v>
      </c>
      <c r="B27" s="33">
        <f>IF(ISERROR(TER_horeca_ele_kWh/1000),0,TER_horeca_ele_kWh/1000)</f>
        <v>218176.93887086</v>
      </c>
      <c r="C27" s="39">
        <f>IF(ISERROR(B27*3.6/1000000/'E Balans VL '!Z9*100),0,B27*3.6/1000000/'E Balans VL '!Z9*100)</f>
        <v>18.472428342674917</v>
      </c>
      <c r="D27" s="238" t="s">
        <v>720</v>
      </c>
      <c r="F27" s="6"/>
    </row>
    <row r="28" spans="1:18">
      <c r="A28" s="172" t="s">
        <v>52</v>
      </c>
      <c r="B28" s="33">
        <f>IF(ISERROR(TER_handel_ele_kWh/1000),0,TER_handel_ele_kWh/1000)</f>
        <v>44503.048573564702</v>
      </c>
      <c r="C28" s="39">
        <f>IF(ISERROR(B28*3.6/1000000/'E Balans VL '!Z13*100),0,B28*3.6/1000000/'E Balans VL '!Z13*100)</f>
        <v>1.232060745920051</v>
      </c>
      <c r="D28" s="238" t="s">
        <v>720</v>
      </c>
      <c r="F28" s="6"/>
    </row>
    <row r="29" spans="1:18">
      <c r="A29" s="232" t="s">
        <v>51</v>
      </c>
      <c r="B29" s="33">
        <f>IF(ISERROR(TER_gezond_ele_kWh/1000),0,TER_gezond_ele_kWh/1000)</f>
        <v>11942.3109185757</v>
      </c>
      <c r="C29" s="39">
        <f>IF(ISERROR(B29*3.6/1000000/'E Balans VL '!Z10*100),0,B29*3.6/1000000/'E Balans VL '!Z10*100)</f>
        <v>1.5523680234623016</v>
      </c>
      <c r="D29" s="238" t="s">
        <v>720</v>
      </c>
      <c r="F29" s="6"/>
    </row>
    <row r="30" spans="1:18">
      <c r="A30" s="232" t="s">
        <v>50</v>
      </c>
      <c r="B30" s="33">
        <f>IF(ISERROR(TER_ander_ele_kWh/1000),0,TER_ander_ele_kWh/1000)</f>
        <v>28916.881163074999</v>
      </c>
      <c r="C30" s="39">
        <f>IF(ISERROR(B30*3.6/1000000/'E Balans VL '!Z14*100),0,B30*3.6/1000000/'E Balans VL '!Z14*100)</f>
        <v>2.2413234781965641</v>
      </c>
      <c r="D30" s="238" t="s">
        <v>720</v>
      </c>
      <c r="F30" s="6"/>
    </row>
    <row r="31" spans="1:18">
      <c r="A31" s="232" t="s">
        <v>55</v>
      </c>
      <c r="B31" s="33">
        <f>IF(ISERROR(TER_onderwijs_ele_kWh/1000),0,TER_onderwijs_ele_kWh/1000)</f>
        <v>8377.3095671068695</v>
      </c>
      <c r="C31" s="39">
        <f>IF(ISERROR(B31*3.6/1000000/'E Balans VL '!Z11*100),0,B31*3.6/1000000/'E Balans VL '!Z11*100)</f>
        <v>1.6027220665217494</v>
      </c>
      <c r="D31" s="238" t="s">
        <v>720</v>
      </c>
    </row>
    <row r="32" spans="1:18">
      <c r="A32" s="232" t="s">
        <v>261</v>
      </c>
      <c r="B32" s="33">
        <f>IF(ISERROR(TER_rest_ele_kWh/1000),0,TER_rest_ele_kWh/1000)</f>
        <v>13313.2238761147</v>
      </c>
      <c r="C32" s="39">
        <f>IF(ISERROR(B32*3.6/1000000/'E Balans VL '!Z8*100),0,B32*3.6/1000000/'E Balans VL '!Z8*100)</f>
        <v>0.10977775429037713</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6</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105302.21122527285</v>
      </c>
      <c r="C5" s="17">
        <f>IF(ISERROR('Eigen informatie GS &amp; warmtenet'!B59),0,'Eigen informatie GS &amp; warmtenet'!B59)</f>
        <v>0</v>
      </c>
      <c r="D5" s="30">
        <f>SUM(D6:D15)</f>
        <v>111250.36266253451</v>
      </c>
      <c r="E5" s="17">
        <f>SUM(E6:E15)</f>
        <v>1306.5309969861382</v>
      </c>
      <c r="F5" s="17">
        <f>SUM(F6:F15)</f>
        <v>44911.658545502651</v>
      </c>
      <c r="G5" s="18"/>
      <c r="H5" s="17"/>
      <c r="I5" s="17"/>
      <c r="J5" s="17">
        <f>SUM(J6:J15)</f>
        <v>420.19009628211262</v>
      </c>
      <c r="K5" s="17"/>
      <c r="L5" s="17"/>
      <c r="M5" s="17"/>
      <c r="N5" s="17">
        <f>SUM(N6:N15)</f>
        <v>4159.6179731923366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2310.3074202318699</v>
      </c>
      <c r="C8" s="33"/>
      <c r="D8" s="37">
        <f>IF( ISERROR(IND_metaal_Gas_kWH/1000),0,IND_metaal_Gas_kWH/1000)*0.902</f>
        <v>186.72668951309237</v>
      </c>
      <c r="E8" s="33">
        <f>C30*'E Balans VL '!I18/100/3.6*1000000</f>
        <v>16.234020495759296</v>
      </c>
      <c r="F8" s="33">
        <f>C30*'E Balans VL '!L18/100/3.6*1000000+C30*'E Balans VL '!N18/100/3.6*1000000</f>
        <v>253.65823811262891</v>
      </c>
      <c r="G8" s="34"/>
      <c r="H8" s="33"/>
      <c r="I8" s="33"/>
      <c r="J8" s="40">
        <f>C30*'E Balans VL '!D18/100/3.6*1000000+C30*'E Balans VL '!E18/100/3.6*1000000</f>
        <v>47.66662169698877</v>
      </c>
      <c r="K8" s="33"/>
      <c r="L8" s="33"/>
      <c r="M8" s="33"/>
      <c r="N8" s="33">
        <f>C30*'E Balans VL '!Y18/100/3.6*1000000</f>
        <v>8.6591985991909812</v>
      </c>
      <c r="O8" s="33"/>
      <c r="P8" s="33"/>
      <c r="R8" s="32"/>
    </row>
    <row r="9" spans="1:18">
      <c r="A9" s="6" t="s">
        <v>33</v>
      </c>
      <c r="B9" s="37">
        <f t="shared" si="0"/>
        <v>42147.734837778204</v>
      </c>
      <c r="C9" s="33"/>
      <c r="D9" s="37">
        <f>IF( ISERROR(IND_andere_gas_kWh/1000),0,IND_andere_gas_kWh/1000)*0.902</f>
        <v>23524.108938812878</v>
      </c>
      <c r="E9" s="33">
        <f>C31*'E Balans VL '!I19/100/3.6*1000000</f>
        <v>707.92283922419915</v>
      </c>
      <c r="F9" s="33">
        <f>C31*'E Balans VL '!L19/100/3.6*1000000+C31*'E Balans VL '!N19/100/3.6*1000000</f>
        <v>32948.698540442318</v>
      </c>
      <c r="G9" s="34"/>
      <c r="H9" s="33"/>
      <c r="I9" s="33"/>
      <c r="J9" s="40">
        <f>C31*'E Balans VL '!D19/100/3.6*1000000+C31*'E Balans VL '!E19/100/3.6*1000000</f>
        <v>3.8013536280889397</v>
      </c>
      <c r="K9" s="33"/>
      <c r="L9" s="33"/>
      <c r="M9" s="33"/>
      <c r="N9" s="33">
        <f>C31*'E Balans VL '!Y19/100/3.6*1000000</f>
        <v>3123.8233523539598</v>
      </c>
      <c r="O9" s="33"/>
      <c r="P9" s="33"/>
      <c r="R9" s="32"/>
    </row>
    <row r="10" spans="1:18">
      <c r="A10" s="6" t="s">
        <v>41</v>
      </c>
      <c r="B10" s="37">
        <f t="shared" si="0"/>
        <v>11440.2993851182</v>
      </c>
      <c r="C10" s="33"/>
      <c r="D10" s="37">
        <f>IF( ISERROR(IND_voed_gas_kWh/1000),0,IND_voed_gas_kWh/1000)*0.902</f>
        <v>6190.5516021832054</v>
      </c>
      <c r="E10" s="33">
        <f>C32*'E Balans VL '!I20/100/3.6*1000000</f>
        <v>104.37653757363756</v>
      </c>
      <c r="F10" s="33">
        <f>C32*'E Balans VL '!L20/100/3.6*1000000+C32*'E Balans VL '!N20/100/3.6*1000000</f>
        <v>1845.6781224432968</v>
      </c>
      <c r="G10" s="34"/>
      <c r="H10" s="33"/>
      <c r="I10" s="33"/>
      <c r="J10" s="40">
        <f>C32*'E Balans VL '!D20/100/3.6*1000000+C32*'E Balans VL '!E20/100/3.6*1000000</f>
        <v>47.118653491261917</v>
      </c>
      <c r="K10" s="33"/>
      <c r="L10" s="33"/>
      <c r="M10" s="33"/>
      <c r="N10" s="33">
        <f>C32*'E Balans VL '!Y20/100/3.6*1000000</f>
        <v>167.36255907503212</v>
      </c>
      <c r="O10" s="33"/>
      <c r="P10" s="33"/>
      <c r="R10" s="32"/>
    </row>
    <row r="11" spans="1:18">
      <c r="A11" s="6" t="s">
        <v>40</v>
      </c>
      <c r="B11" s="37">
        <f t="shared" si="0"/>
        <v>111.069261696835</v>
      </c>
      <c r="C11" s="33"/>
      <c r="D11" s="37">
        <f>IF( ISERROR(IND_textiel_gas_kWh/1000),0,IND_textiel_gas_kWh/1000)*0.902</f>
        <v>219.56286579852886</v>
      </c>
      <c r="E11" s="33">
        <f>C33*'E Balans VL '!I21/100/3.6*1000000</f>
        <v>0.25332838346329917</v>
      </c>
      <c r="F11" s="33">
        <f>C33*'E Balans VL '!L21/100/3.6*1000000+C33*'E Balans VL '!N21/100/3.6*1000000</f>
        <v>2.374208485045969</v>
      </c>
      <c r="G11" s="34"/>
      <c r="H11" s="33"/>
      <c r="I11" s="33"/>
      <c r="J11" s="40">
        <f>C33*'E Balans VL '!D21/100/3.6*1000000+C33*'E Balans VL '!E21/100/3.6*1000000</f>
        <v>0</v>
      </c>
      <c r="K11" s="33"/>
      <c r="L11" s="33"/>
      <c r="M11" s="33"/>
      <c r="N11" s="33">
        <f>C33*'E Balans VL '!Y21/100/3.6*1000000</f>
        <v>0.78791035817369603</v>
      </c>
      <c r="O11" s="33"/>
      <c r="P11" s="33"/>
      <c r="R11" s="32"/>
    </row>
    <row r="12" spans="1:18">
      <c r="A12" s="6" t="s">
        <v>37</v>
      </c>
      <c r="B12" s="37">
        <f t="shared" si="0"/>
        <v>46.792344271241404</v>
      </c>
      <c r="C12" s="33"/>
      <c r="D12" s="37">
        <f>IF( ISERROR(IND_min_gas_kWh/1000),0,IND_min_gas_kWh/1000)*0.902</f>
        <v>61.76806339718339</v>
      </c>
      <c r="E12" s="33">
        <f>C34*'E Balans VL '!I22/100/3.6*1000000</f>
        <v>1.1606022620988303</v>
      </c>
      <c r="F12" s="33">
        <f>C34*'E Balans VL '!L22/100/3.6*1000000+C34*'E Balans VL '!N22/100/3.6*1000000</f>
        <v>4.9721346153408081</v>
      </c>
      <c r="G12" s="34"/>
      <c r="H12" s="33"/>
      <c r="I12" s="33"/>
      <c r="J12" s="40">
        <f>C34*'E Balans VL '!D22/100/3.6*1000000+C34*'E Balans VL '!E22/100/3.6*1000000</f>
        <v>0.26580797143961937</v>
      </c>
      <c r="K12" s="33"/>
      <c r="L12" s="33"/>
      <c r="M12" s="33"/>
      <c r="N12" s="33">
        <f>C34*'E Balans VL '!Y22/100/3.6*1000000</f>
        <v>0</v>
      </c>
      <c r="O12" s="33"/>
      <c r="P12" s="33"/>
      <c r="R12" s="32"/>
    </row>
    <row r="13" spans="1:18">
      <c r="A13" s="6" t="s">
        <v>39</v>
      </c>
      <c r="B13" s="37">
        <f t="shared" si="0"/>
        <v>1487.73408175801</v>
      </c>
      <c r="C13" s="33"/>
      <c r="D13" s="37">
        <f>IF( ISERROR(IND_papier_gas_kWh/1000),0,IND_papier_gas_kWh/1000)*0.902</f>
        <v>1252.3601183169253</v>
      </c>
      <c r="E13" s="33">
        <f>C35*'E Balans VL '!I23/100/3.6*1000000</f>
        <v>45.773695055538234</v>
      </c>
      <c r="F13" s="33">
        <f>C35*'E Balans VL '!L23/100/3.6*1000000+C35*'E Balans VL '!N23/100/3.6*1000000</f>
        <v>315.89793879149858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34.993000000000002</v>
      </c>
      <c r="C14" s="33"/>
      <c r="D14" s="37">
        <f>IF( ISERROR(IND_chemie_gas_kWh/1000),0,IND_chemie_gas_kWh/1000)*0.902</f>
        <v>0</v>
      </c>
      <c r="E14" s="33">
        <f>C36*'E Balans VL '!I24/100/3.6*1000000</f>
        <v>0.11865037201295278</v>
      </c>
      <c r="F14" s="33">
        <f>C36*'E Balans VL '!L24/100/3.6*1000000+C36*'E Balans VL '!N24/100/3.6*1000000</f>
        <v>0.11230101531711709</v>
      </c>
      <c r="G14" s="34"/>
      <c r="H14" s="33"/>
      <c r="I14" s="33"/>
      <c r="J14" s="40">
        <f>C36*'E Balans VL '!D24/100/3.6*1000000+C36*'E Balans VL '!E24/100/3.6*1000000</f>
        <v>0</v>
      </c>
      <c r="K14" s="33"/>
      <c r="L14" s="33"/>
      <c r="M14" s="33"/>
      <c r="N14" s="33">
        <f>C36*'E Balans VL '!Y24/100/3.6*1000000</f>
        <v>0.16361778472826699</v>
      </c>
      <c r="O14" s="33"/>
      <c r="P14" s="33"/>
      <c r="R14" s="32"/>
    </row>
    <row r="15" spans="1:18">
      <c r="A15" s="6" t="s">
        <v>271</v>
      </c>
      <c r="B15" s="37">
        <f t="shared" si="0"/>
        <v>47723.280894418502</v>
      </c>
      <c r="C15" s="33"/>
      <c r="D15" s="37">
        <f>IF( ISERROR(IND_rest_gas_kWh/1000),0,IND_rest_gas_kWh/1000)*0.902</f>
        <v>79815.284384512692</v>
      </c>
      <c r="E15" s="33">
        <f>C37*'E Balans VL '!I15/100/3.6*1000000</f>
        <v>430.69132361942889</v>
      </c>
      <c r="F15" s="33">
        <f>C37*'E Balans VL '!L15/100/3.6*1000000+C37*'E Balans VL '!N15/100/3.6*1000000</f>
        <v>9540.2670615972056</v>
      </c>
      <c r="G15" s="34"/>
      <c r="H15" s="33"/>
      <c r="I15" s="33"/>
      <c r="J15" s="40">
        <f>C37*'E Balans VL '!D15/100/3.6*1000000+C37*'E Balans VL '!E15/100/3.6*1000000</f>
        <v>321.33765949433337</v>
      </c>
      <c r="K15" s="33"/>
      <c r="L15" s="33"/>
      <c r="M15" s="33"/>
      <c r="N15" s="33">
        <f>C37*'E Balans VL '!Y15/100/3.6*1000000</f>
        <v>858.82133502125271</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105302.21122527285</v>
      </c>
      <c r="C18" s="21">
        <f>C5+C16</f>
        <v>0</v>
      </c>
      <c r="D18" s="21">
        <f>MAX((D5+D16),0)</f>
        <v>111250.36266253451</v>
      </c>
      <c r="E18" s="21">
        <f>MAX((E5+E16),0)</f>
        <v>1306.5309969861382</v>
      </c>
      <c r="F18" s="21">
        <f>MAX((F5+F16),0)</f>
        <v>44911.658545502651</v>
      </c>
      <c r="G18" s="21"/>
      <c r="H18" s="21"/>
      <c r="I18" s="21"/>
      <c r="J18" s="21">
        <f>MAX((J5+J16),0)</f>
        <v>420.19009628211262</v>
      </c>
      <c r="K18" s="21"/>
      <c r="L18" s="21">
        <f>MAX((L5+L16),0)</f>
        <v>0</v>
      </c>
      <c r="M18" s="21"/>
      <c r="N18" s="21">
        <f>MAX((N5+N16),0)</f>
        <v>4159.6179731923366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0.21879315249710238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23039.402758893211</v>
      </c>
      <c r="C22" s="23">
        <f ca="1">C18*C20</f>
        <v>0</v>
      </c>
      <c r="D22" s="23">
        <f>D18*D20</f>
        <v>22472.573257831973</v>
      </c>
      <c r="E22" s="23">
        <f>E18*E20</f>
        <v>296.58253631585336</v>
      </c>
      <c r="F22" s="23">
        <f>F18*F20</f>
        <v>11991.412831649208</v>
      </c>
      <c r="G22" s="23"/>
      <c r="H22" s="23"/>
      <c r="I22" s="23"/>
      <c r="J22" s="23">
        <f>J18*J20</f>
        <v>148.74729408386787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2310.3074202318699</v>
      </c>
      <c r="C30" s="39">
        <f>IF(ISERROR(B30*3.6/1000000/'E Balans VL '!Z18*100),0,B30*3.6/1000000/'E Balans VL '!Z18*100)</f>
        <v>0.15379857575676822</v>
      </c>
      <c r="D30" s="238" t="s">
        <v>720</v>
      </c>
    </row>
    <row r="31" spans="1:18">
      <c r="A31" s="6" t="s">
        <v>33</v>
      </c>
      <c r="B31" s="37">
        <f>IF( ISERROR(IND_ander_ele_kWh/1000),0,IND_ander_ele_kWh/1000)</f>
        <v>42147.734837778204</v>
      </c>
      <c r="C31" s="39">
        <f>IF(ISERROR(B31*3.6/1000000/'E Balans VL '!Z19*100),0,B31*3.6/1000000/'E Balans VL '!Z19*100)</f>
        <v>1.8682420561256223</v>
      </c>
      <c r="D31" s="238" t="s">
        <v>720</v>
      </c>
    </row>
    <row r="32" spans="1:18">
      <c r="A32" s="172" t="s">
        <v>41</v>
      </c>
      <c r="B32" s="37">
        <f>IF( ISERROR(IND_voed_ele_kWh/1000),0,IND_voed_ele_kWh/1000)</f>
        <v>11440.2993851182</v>
      </c>
      <c r="C32" s="39">
        <f>IF(ISERROR(B32*3.6/1000000/'E Balans VL '!Z20*100),0,B32*3.6/1000000/'E Balans VL '!Z20*100)</f>
        <v>0.38213881743440825</v>
      </c>
      <c r="D32" s="238" t="s">
        <v>720</v>
      </c>
    </row>
    <row r="33" spans="1:5">
      <c r="A33" s="172" t="s">
        <v>40</v>
      </c>
      <c r="B33" s="37">
        <f>IF( ISERROR(IND_textiel_ele_kWh/1000),0,IND_textiel_ele_kWh/1000)</f>
        <v>111.069261696835</v>
      </c>
      <c r="C33" s="39">
        <f>IF(ISERROR(B33*3.6/1000000/'E Balans VL '!Z21*100),0,B33*3.6/1000000/'E Balans VL '!Z21*100)</f>
        <v>1.462252443254617E-2</v>
      </c>
      <c r="D33" s="238" t="s">
        <v>720</v>
      </c>
    </row>
    <row r="34" spans="1:5">
      <c r="A34" s="172" t="s">
        <v>37</v>
      </c>
      <c r="B34" s="37">
        <f>IF( ISERROR(IND_min_ele_kWh/1000),0,IND_min_ele_kWh/1000)</f>
        <v>46.792344271241404</v>
      </c>
      <c r="C34" s="39">
        <f>IF(ISERROR(B34*3.6/1000000/'E Balans VL '!Z22*100),0,B34*3.6/1000000/'E Balans VL '!Z22*100)</f>
        <v>9.1005969760712905E-3</v>
      </c>
      <c r="D34" s="238" t="s">
        <v>720</v>
      </c>
    </row>
    <row r="35" spans="1:5">
      <c r="A35" s="172" t="s">
        <v>39</v>
      </c>
      <c r="B35" s="37">
        <f>IF( ISERROR(IND_papier_ele_kWh/1000),0,IND_papier_ele_kWh/1000)</f>
        <v>1487.73408175801</v>
      </c>
      <c r="C35" s="39">
        <f>IF(ISERROR(B35*3.6/1000000/'E Balans VL '!Z22*100),0,B35*3.6/1000000/'E Balans VL '!Z22*100)</f>
        <v>0.28934793707197065</v>
      </c>
      <c r="D35" s="238" t="s">
        <v>720</v>
      </c>
    </row>
    <row r="36" spans="1:5">
      <c r="A36" s="172" t="s">
        <v>34</v>
      </c>
      <c r="B36" s="37">
        <f>IF( ISERROR(IND_chemie_ele_kWh/1000),0,IND_chemie_ele_kWh/1000)</f>
        <v>34.993000000000002</v>
      </c>
      <c r="C36" s="39">
        <f>IF(ISERROR(B36*3.6/1000000/'E Balans VL '!Z24*100),0,B36*3.6/1000000/'E Balans VL '!Z24*100)</f>
        <v>8.2172989009000647E-4</v>
      </c>
      <c r="D36" s="238" t="s">
        <v>720</v>
      </c>
    </row>
    <row r="37" spans="1:5">
      <c r="A37" s="172" t="s">
        <v>271</v>
      </c>
      <c r="B37" s="37">
        <f>IF( ISERROR(IND_rest_ele_kWh/1000),0,IND_rest_ele_kWh/1000)</f>
        <v>47723.280894418502</v>
      </c>
      <c r="C37" s="39">
        <f>IF(ISERROR(B37*3.6/1000000/'E Balans VL '!Z15*100),0,B37*3.6/1000000/'E Balans VL '!Z15*100)</f>
        <v>0.35498346197940223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279.66618887684098</v>
      </c>
      <c r="C5" s="17">
        <f>'Eigen informatie GS &amp; warmtenet'!B60</f>
        <v>0</v>
      </c>
      <c r="D5" s="30">
        <f>IF(ISERROR(SUM(LB_lb_gas_kWh,LB_rest_gas_kWh,onbekend_gas_kWh)/1000),0,SUM(LB_lb_gas_kWh,LB_rest_gas_kWh,onbekend_gas_kWh)/1000)*0.902</f>
        <v>35158.330963591885</v>
      </c>
      <c r="E5" s="17">
        <f>B17*'E Balans VL '!I25/3.6*1000000/100</f>
        <v>2.9287248751791486</v>
      </c>
      <c r="F5" s="17">
        <f>B17*('E Balans VL '!L25/3.6*1000000+'E Balans VL '!N25/3.6*1000000)/100</f>
        <v>1436.4100757155245</v>
      </c>
      <c r="G5" s="18"/>
      <c r="H5" s="17"/>
      <c r="I5" s="17"/>
      <c r="J5" s="17">
        <f>('E Balans VL '!D25+'E Balans VL '!E25)/3.6*1000000*landbouw!B17/100</f>
        <v>24.976697357516095</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279.66618887684098</v>
      </c>
      <c r="C8" s="21">
        <f>C5+C6</f>
        <v>0</v>
      </c>
      <c r="D8" s="21">
        <f>MAX((D5+D6),0)</f>
        <v>35158.330963591885</v>
      </c>
      <c r="E8" s="21">
        <f>MAX((E5+E6),0)</f>
        <v>2.9287248751791486</v>
      </c>
      <c r="F8" s="21">
        <f>MAX((F5+F6),0)</f>
        <v>1436.4100757155245</v>
      </c>
      <c r="G8" s="21"/>
      <c r="H8" s="21"/>
      <c r="I8" s="21"/>
      <c r="J8" s="21">
        <f>MAX((J5+J6),0)</f>
        <v>24.976697357516095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0.21879315249710238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61.189047111214101</v>
      </c>
      <c r="C12" s="23">
        <f ca="1">C8*C10</f>
        <v>0</v>
      </c>
      <c r="D12" s="23">
        <f>D8*D10</f>
        <v>7101.982854645561</v>
      </c>
      <c r="E12" s="23">
        <f>E8*E10</f>
        <v>0.6648205466656667</v>
      </c>
      <c r="F12" s="23">
        <f>F8*F10</f>
        <v>383.52149021604504</v>
      </c>
      <c r="G12" s="23"/>
      <c r="H12" s="23"/>
      <c r="I12" s="23"/>
      <c r="J12" s="23">
        <f>J8*J10</f>
        <v>8.8417508645606979</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4.3046025023235693E-2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46.891792782722518</v>
      </c>
      <c r="C26" s="248">
        <f>B26*'GWP N2O_CH4'!B5</f>
        <v>984.72764843717289</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6.1359047512838156</v>
      </c>
      <c r="C27" s="248">
        <f>B27*'GWP N2O_CH4'!B5</f>
        <v>128.85399977696014</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0.64471510083095607</v>
      </c>
      <c r="C28" s="248">
        <f>B28*'GWP N2O_CH4'!B4</f>
        <v>199.86168125759639</v>
      </c>
      <c r="D28" s="50"/>
    </row>
    <row r="29" spans="1:4">
      <c r="A29" s="41" t="s">
        <v>278</v>
      </c>
      <c r="B29" s="248">
        <f>B34*'ha_N2O bodem landbouw'!B4</f>
        <v>9.887771540023909</v>
      </c>
      <c r="C29" s="248">
        <f>B29*'GWP N2O_CH4'!B4</f>
        <v>3065.209177407412</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1.634084109981741E-3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1.8689455336431557E-5</v>
      </c>
      <c r="C5" s="446" t="s">
        <v>212</v>
      </c>
      <c r="D5" s="431">
        <f>SUM(D6:D11)</f>
        <v>9.3023854166166448E-5</v>
      </c>
      <c r="E5" s="431">
        <f>SUM(E6:E11)</f>
        <v>1.0690107897452991E-2</v>
      </c>
      <c r="F5" s="444" t="s">
        <v>212</v>
      </c>
      <c r="G5" s="431">
        <f>SUM(G6:G11)</f>
        <v>1.6061574584216263</v>
      </c>
      <c r="H5" s="431">
        <f>SUM(H6:H11)</f>
        <v>0.31856399825354448</v>
      </c>
      <c r="I5" s="446" t="s">
        <v>212</v>
      </c>
      <c r="J5" s="446" t="s">
        <v>212</v>
      </c>
      <c r="K5" s="446" t="s">
        <v>212</v>
      </c>
      <c r="L5" s="446" t="s">
        <v>212</v>
      </c>
      <c r="M5" s="431">
        <f>SUM(M6:M11)</f>
        <v>8.4095968436513083E-2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5.0004621165182834E-6</v>
      </c>
      <c r="C6" s="432"/>
      <c r="D6" s="432">
        <f>vkm_2011_GW_PW*SUMIFS(TableVerdeelsleutelVkm[CNG],TableVerdeelsleutelVkm[Voertuigtype],"Lichte voertuigen")*SUMIFS(TableECFTransport[EnergieConsumptieFactor (PJ per km)],TableECFTransport[Index],CONCATENATE($A6,"_CNG_CNG"))</f>
        <v>2.1556410931235662E-5</v>
      </c>
      <c r="E6" s="434">
        <f>vkm_2011_GW_PW*SUMIFS(TableVerdeelsleutelVkm[LPG],TableVerdeelsleutelVkm[Voertuigtype],"Lichte voertuigen")*SUMIFS(TableECFTransport[EnergieConsumptieFactor (PJ per km)],TableECFTransport[Index],CONCATENATE($A6,"_LPG_LPG"))</f>
        <v>2.2428122900336393E-3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0.27587206881936394</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7.2631398817719073E-2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1.5273092741509106E-2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5.0859466799629098E-2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1.7439006373042024E-5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2.1970336716282124E-3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3.1605892355647244E-6</v>
      </c>
      <c r="C8" s="432"/>
      <c r="D8" s="434">
        <f>vkm_2011_NGW_PW*SUMIFS(TableVerdeelsleutelVkm[CNG],TableVerdeelsleutelVkm[Voertuigtype],"Lichte voertuigen")*SUMIFS(TableECFTransport[EnergieConsumptieFactor (PJ per km)],TableECFTransport[Index],CONCATENATE($A8,"_CNG_CNG"))</f>
        <v>2.4443461320084939E-5</v>
      </c>
      <c r="E8" s="434">
        <f>vkm_2011_NGW_PW*SUMIFS(TableVerdeelsleutelVkm[LPG],TableVerdeelsleutelVkm[Voertuigtype],"Lichte voertuigen")*SUMIFS(TableECFTransport[EnergieConsumptieFactor (PJ per km)],TableECFTransport[Index],CONCATENATE($A8,"_LPG_LPG"))</f>
        <v>2.322123077178041E-3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0.27091119281293874</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7.8617209241103325E-2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1.5335806137362289E-2</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4.9160345213014956E-3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1.464357534364858E-6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2.1235324256649543E-4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1.0528403984348549E-5</v>
      </c>
      <c r="C10" s="432"/>
      <c r="D10" s="434">
        <f>vkm_2011_SW_PW*SUMIFS(TableVerdeelsleutelVkm[CNG],TableVerdeelsleutelVkm[Voertuigtype],"Lichte voertuigen")*SUMIFS(TableECFTransport[EnergieConsumptieFactor (PJ per km)],TableECFTransport[Index],CONCATENATE($A10,"_CNG_CNG"))</f>
        <v>4.7023981914845846E-5</v>
      </c>
      <c r="E10" s="434">
        <f>vkm_2011_SW_PW*SUMIFS(TableVerdeelsleutelVkm[LPG],TableVerdeelsleutelVkm[Voertuigtype],"Lichte voertuigen")*SUMIFS(TableECFTransport[EnergieConsumptieFactor (PJ per km)],TableECFTransport[Index],CONCATENATE($A10,"_LPG_LPG"))</f>
        <v>6.1251725302413108E-3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0.69264308765196503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0.16718272509410934</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3.7644652710636432E-2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0.31095560781642789</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1.1376173670533336E-4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1.3433029932810548E-2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5.1915153712309881</v>
      </c>
      <c r="C14" s="21"/>
      <c r="D14" s="21">
        <f t="shared" ref="D14:M14" si="0">((D5)*10^9/3600)+D12</f>
        <v>25.839959490601792</v>
      </c>
      <c r="E14" s="21">
        <f t="shared" si="0"/>
        <v>2969.4744159591642</v>
      </c>
      <c r="F14" s="21"/>
      <c r="G14" s="21">
        <f t="shared" si="0"/>
        <v>446154.84956156288</v>
      </c>
      <c r="H14" s="21">
        <f t="shared" si="0"/>
        <v>88489.99951487346</v>
      </c>
      <c r="I14" s="21"/>
      <c r="J14" s="21"/>
      <c r="K14" s="21"/>
      <c r="L14" s="21"/>
      <c r="M14" s="21">
        <f t="shared" si="0"/>
        <v>23359.991232364744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0.21879315249710238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1.1358680143087927</v>
      </c>
      <c r="C18" s="23"/>
      <c r="D18" s="23">
        <f t="shared" ref="D18:M18" si="1">D14*D16</f>
        <v>5.2196718171015624</v>
      </c>
      <c r="E18" s="23">
        <f t="shared" si="1"/>
        <v>674.0706924227303</v>
      </c>
      <c r="F18" s="23"/>
      <c r="G18" s="23">
        <f t="shared" si="1"/>
        <v>119123.34483293729</v>
      </c>
      <c r="H18" s="23">
        <f t="shared" si="1"/>
        <v>22034.009879203491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9.5157867291635695E-2</v>
      </c>
      <c r="H50" s="322">
        <f t="shared" si="2"/>
        <v>0</v>
      </c>
      <c r="I50" s="322">
        <f t="shared" si="2"/>
        <v>0</v>
      </c>
      <c r="J50" s="322">
        <f t="shared" si="2"/>
        <v>0</v>
      </c>
      <c r="K50" s="322">
        <f t="shared" si="2"/>
        <v>0</v>
      </c>
      <c r="L50" s="322">
        <f t="shared" si="2"/>
        <v>0</v>
      </c>
      <c r="M50" s="322">
        <f t="shared" si="2"/>
        <v>4.0561664715178351E-3</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9.5157867291635695E-2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4.0561664715178351E-3</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26432.740914343249</v>
      </c>
      <c r="H54" s="21">
        <f t="shared" si="3"/>
        <v>0</v>
      </c>
      <c r="I54" s="21">
        <f t="shared" si="3"/>
        <v>0</v>
      </c>
      <c r="J54" s="21">
        <f t="shared" si="3"/>
        <v>0</v>
      </c>
      <c r="K54" s="21">
        <f t="shared" si="3"/>
        <v>0</v>
      </c>
      <c r="L54" s="21">
        <f t="shared" si="3"/>
        <v>0</v>
      </c>
      <c r="M54" s="21">
        <f t="shared" si="3"/>
        <v>1126.7129087549542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0.21879315249710238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7057.5418241296475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3"/>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5702.031781888747</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1404</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4011.4285714285716</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7106.031781888747</v>
      </c>
      <c r="C9" s="578">
        <f t="shared" ref="C9:L9" si="0">SUM(C7:C8)</f>
        <v>0</v>
      </c>
      <c r="D9" s="578">
        <f t="shared" si="0"/>
        <v>0</v>
      </c>
      <c r="E9" s="578">
        <f t="shared" si="0"/>
        <v>0</v>
      </c>
      <c r="F9" s="578">
        <f t="shared" si="0"/>
        <v>0</v>
      </c>
      <c r="G9" s="578">
        <f t="shared" si="0"/>
        <v>0</v>
      </c>
      <c r="H9" s="578">
        <f t="shared" si="0"/>
        <v>0</v>
      </c>
      <c r="I9" s="578">
        <f t="shared" si="0"/>
        <v>0</v>
      </c>
      <c r="J9" s="578">
        <f t="shared" si="0"/>
        <v>4011.4285714285716</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63.75">
      <c r="A63" s="610"/>
      <c r="B63" s="839">
        <v>24062</v>
      </c>
      <c r="C63" s="839">
        <v>3010</v>
      </c>
      <c r="D63" s="658" t="s">
        <v>894</v>
      </c>
      <c r="E63" s="658" t="s">
        <v>895</v>
      </c>
      <c r="F63" s="658" t="s">
        <v>896</v>
      </c>
      <c r="G63" s="658" t="s">
        <v>897</v>
      </c>
      <c r="H63" s="658" t="s">
        <v>898</v>
      </c>
      <c r="I63" s="658" t="s">
        <v>899</v>
      </c>
      <c r="J63" s="838">
        <v>36898</v>
      </c>
      <c r="K63" s="838">
        <v>37316</v>
      </c>
      <c r="L63" s="658" t="s">
        <v>900</v>
      </c>
      <c r="M63" s="658">
        <v>312</v>
      </c>
      <c r="N63" s="658">
        <v>1404</v>
      </c>
      <c r="O63" s="658">
        <v>0</v>
      </c>
      <c r="P63" s="658">
        <v>0</v>
      </c>
      <c r="Q63" s="658">
        <v>4011.4285714285716</v>
      </c>
      <c r="R63" s="658">
        <v>0</v>
      </c>
      <c r="S63" s="658">
        <v>0</v>
      </c>
      <c r="T63" s="658">
        <v>0</v>
      </c>
      <c r="U63" s="658">
        <v>0</v>
      </c>
      <c r="V63" s="658">
        <v>0</v>
      </c>
      <c r="W63" s="658">
        <v>0</v>
      </c>
      <c r="X63" s="658">
        <v>1600</v>
      </c>
      <c r="Y63" s="658" t="s">
        <v>50</v>
      </c>
      <c r="Z63" s="659" t="s">
        <v>156</v>
      </c>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312</v>
      </c>
      <c r="N88" s="613">
        <f t="shared" ref="N88:W88" si="5">SUM(N63:N87)</f>
        <v>1404</v>
      </c>
      <c r="O88" s="613">
        <f t="shared" si="5"/>
        <v>0</v>
      </c>
      <c r="P88" s="613">
        <f t="shared" si="5"/>
        <v>0</v>
      </c>
      <c r="Q88" s="613">
        <f t="shared" si="5"/>
        <v>4011.4285714285716</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312</v>
      </c>
      <c r="N90" s="613">
        <f t="shared" ref="N90:W90" si="7">SUMIF($Z$63:$Z$88,"tertiair",N63:N88)</f>
        <v>1404</v>
      </c>
      <c r="O90" s="613">
        <f t="shared" si="7"/>
        <v>0</v>
      </c>
      <c r="P90" s="613">
        <f t="shared" si="7"/>
        <v>0</v>
      </c>
      <c r="Q90" s="613">
        <f t="shared" si="7"/>
        <v>4011.4285714285716</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451440.30724486592</v>
      </c>
      <c r="D10" s="702">
        <f ca="1">tertiair!C16</f>
        <v>0</v>
      </c>
      <c r="E10" s="702">
        <f ca="1">tertiair!D16</f>
        <v>428126.56298872241</v>
      </c>
      <c r="F10" s="702">
        <f>tertiair!E16</f>
        <v>17186.008235254118</v>
      </c>
      <c r="G10" s="702">
        <f ca="1">tertiair!F16</f>
        <v>82255.936684717119</v>
      </c>
      <c r="H10" s="702">
        <f>tertiair!G16</f>
        <v>0</v>
      </c>
      <c r="I10" s="702">
        <f>tertiair!H16</f>
        <v>0</v>
      </c>
      <c r="J10" s="702">
        <f>tertiair!I16</f>
        <v>0</v>
      </c>
      <c r="K10" s="702">
        <f>tertiair!J16</f>
        <v>0</v>
      </c>
      <c r="L10" s="702">
        <f>tertiair!K16</f>
        <v>0</v>
      </c>
      <c r="M10" s="702">
        <f ca="1">tertiair!L16</f>
        <v>0</v>
      </c>
      <c r="N10" s="702">
        <f>tertiair!M16</f>
        <v>0</v>
      </c>
      <c r="O10" s="702">
        <f ca="1">tertiair!N16</f>
        <v>4101.8300730442934</v>
      </c>
      <c r="P10" s="702">
        <f>tertiair!O16</f>
        <v>9.3800000000000008</v>
      </c>
      <c r="Q10" s="703">
        <f>tertiair!P16</f>
        <v>190.66666666666669</v>
      </c>
      <c r="R10" s="705">
        <f ca="1">SUM(C10:Q10)</f>
        <v>983310.69189327047</v>
      </c>
      <c r="S10" s="67"/>
    </row>
    <row r="11" spans="1:19" s="457" customFormat="1">
      <c r="A11" s="858" t="s">
        <v>226</v>
      </c>
      <c r="B11" s="863"/>
      <c r="C11" s="702">
        <f>huishoudens!B8</f>
        <v>154590.90362764819</v>
      </c>
      <c r="D11" s="702">
        <f>huishoudens!C8</f>
        <v>0</v>
      </c>
      <c r="E11" s="702">
        <f>huishoudens!D8</f>
        <v>393084.70270671527</v>
      </c>
      <c r="F11" s="702">
        <f>huishoudens!E8</f>
        <v>14969.943317862764</v>
      </c>
      <c r="G11" s="702">
        <f>huishoudens!F8</f>
        <v>144294.00609668973</v>
      </c>
      <c r="H11" s="702">
        <f>huishoudens!G8</f>
        <v>0</v>
      </c>
      <c r="I11" s="702">
        <f>huishoudens!H8</f>
        <v>0</v>
      </c>
      <c r="J11" s="702">
        <f>huishoudens!I8</f>
        <v>0</v>
      </c>
      <c r="K11" s="702">
        <f>huishoudens!J8</f>
        <v>0</v>
      </c>
      <c r="L11" s="702">
        <f>huishoudens!K8</f>
        <v>0</v>
      </c>
      <c r="M11" s="702">
        <f>huishoudens!L8</f>
        <v>0</v>
      </c>
      <c r="N11" s="702">
        <f>huishoudens!M8</f>
        <v>0</v>
      </c>
      <c r="O11" s="702">
        <f>huishoudens!N8</f>
        <v>18353.041806145851</v>
      </c>
      <c r="P11" s="702">
        <f>huishoudens!O8</f>
        <v>379.89000000000004</v>
      </c>
      <c r="Q11" s="703">
        <f>huishoudens!P8</f>
        <v>457.6</v>
      </c>
      <c r="R11" s="705">
        <f>SUM(C11:Q11)</f>
        <v>726130.08755506179</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105302.21122527285</v>
      </c>
      <c r="D13" s="702">
        <f>industrie!C18</f>
        <v>0</v>
      </c>
      <c r="E13" s="702">
        <f>industrie!D18</f>
        <v>111250.36266253451</v>
      </c>
      <c r="F13" s="702">
        <f>industrie!E18</f>
        <v>1306.5309969861382</v>
      </c>
      <c r="G13" s="702">
        <f>industrie!F18</f>
        <v>44911.658545502651</v>
      </c>
      <c r="H13" s="702">
        <f>industrie!G18</f>
        <v>0</v>
      </c>
      <c r="I13" s="702">
        <f>industrie!H18</f>
        <v>0</v>
      </c>
      <c r="J13" s="702">
        <f>industrie!I18</f>
        <v>0</v>
      </c>
      <c r="K13" s="702">
        <f>industrie!J18</f>
        <v>420.19009628211262</v>
      </c>
      <c r="L13" s="702">
        <f>industrie!K18</f>
        <v>0</v>
      </c>
      <c r="M13" s="702">
        <f>industrie!L18</f>
        <v>0</v>
      </c>
      <c r="N13" s="702">
        <f>industrie!M18</f>
        <v>0</v>
      </c>
      <c r="O13" s="702">
        <f>industrie!N18</f>
        <v>4159.6179731923366</v>
      </c>
      <c r="P13" s="702">
        <f>industrie!O18</f>
        <v>0</v>
      </c>
      <c r="Q13" s="703">
        <f>industrie!P18</f>
        <v>0</v>
      </c>
      <c r="R13" s="705">
        <f>SUM(C13:Q13)</f>
        <v>267350.57149977062</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711333.42209778703</v>
      </c>
      <c r="D15" s="707">
        <f t="shared" ref="D15:Q15" ca="1" si="0">SUM(D9:D14)</f>
        <v>0</v>
      </c>
      <c r="E15" s="707">
        <f t="shared" ca="1" si="0"/>
        <v>932461.62835797213</v>
      </c>
      <c r="F15" s="707">
        <f t="shared" si="0"/>
        <v>33462.482550103021</v>
      </c>
      <c r="G15" s="707">
        <f t="shared" ca="1" si="0"/>
        <v>271461.6013269095</v>
      </c>
      <c r="H15" s="707">
        <f t="shared" si="0"/>
        <v>0</v>
      </c>
      <c r="I15" s="707">
        <f t="shared" si="0"/>
        <v>0</v>
      </c>
      <c r="J15" s="707">
        <f t="shared" si="0"/>
        <v>0</v>
      </c>
      <c r="K15" s="707">
        <f t="shared" si="0"/>
        <v>420.19009628211262</v>
      </c>
      <c r="L15" s="707">
        <f t="shared" si="0"/>
        <v>0</v>
      </c>
      <c r="M15" s="707">
        <f t="shared" ca="1" si="0"/>
        <v>0</v>
      </c>
      <c r="N15" s="707">
        <f t="shared" si="0"/>
        <v>0</v>
      </c>
      <c r="O15" s="707">
        <f t="shared" ca="1" si="0"/>
        <v>26614.489852382481</v>
      </c>
      <c r="P15" s="707">
        <f t="shared" si="0"/>
        <v>389.27000000000004</v>
      </c>
      <c r="Q15" s="708">
        <f t="shared" si="0"/>
        <v>648.26666666666665</v>
      </c>
      <c r="R15" s="709">
        <f ca="1">SUM(R9:R14)</f>
        <v>1976791.3509481028</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26432.740914343249</v>
      </c>
      <c r="I18" s="702">
        <f>transport!H54</f>
        <v>0</v>
      </c>
      <c r="J18" s="702">
        <f>transport!I54</f>
        <v>0</v>
      </c>
      <c r="K18" s="702">
        <f>transport!J54</f>
        <v>0</v>
      </c>
      <c r="L18" s="702">
        <f>transport!K54</f>
        <v>0</v>
      </c>
      <c r="M18" s="702">
        <f>transport!L54</f>
        <v>0</v>
      </c>
      <c r="N18" s="702">
        <f>transport!M54</f>
        <v>1126.7129087549542</v>
      </c>
      <c r="O18" s="702">
        <f>transport!N54</f>
        <v>0</v>
      </c>
      <c r="P18" s="702">
        <f>transport!O54</f>
        <v>0</v>
      </c>
      <c r="Q18" s="703">
        <f>transport!P54</f>
        <v>0</v>
      </c>
      <c r="R18" s="705">
        <f>SUM(C18:Q18)</f>
        <v>27559.453823098203</v>
      </c>
      <c r="S18" s="67"/>
    </row>
    <row r="19" spans="1:19" s="457" customFormat="1" ht="15" thickBot="1">
      <c r="A19" s="858" t="s">
        <v>308</v>
      </c>
      <c r="B19" s="863"/>
      <c r="C19" s="711">
        <f>transport!B14</f>
        <v>5.1915153712309881</v>
      </c>
      <c r="D19" s="711">
        <f>transport!C14</f>
        <v>0</v>
      </c>
      <c r="E19" s="711">
        <f>transport!D14</f>
        <v>25.839959490601792</v>
      </c>
      <c r="F19" s="711">
        <f>transport!E14</f>
        <v>2969.4744159591642</v>
      </c>
      <c r="G19" s="711">
        <f>transport!F14</f>
        <v>0</v>
      </c>
      <c r="H19" s="711">
        <f>transport!G14</f>
        <v>446154.84956156288</v>
      </c>
      <c r="I19" s="711">
        <f>transport!H14</f>
        <v>88489.99951487346</v>
      </c>
      <c r="J19" s="711">
        <f>transport!I14</f>
        <v>0</v>
      </c>
      <c r="K19" s="711">
        <f>transport!J14</f>
        <v>0</v>
      </c>
      <c r="L19" s="711">
        <f>transport!K14</f>
        <v>0</v>
      </c>
      <c r="M19" s="711">
        <f>transport!L14</f>
        <v>0</v>
      </c>
      <c r="N19" s="711">
        <f>transport!M14</f>
        <v>23359.991232364744</v>
      </c>
      <c r="O19" s="711">
        <f>transport!N14</f>
        <v>0</v>
      </c>
      <c r="P19" s="711">
        <f>transport!O14</f>
        <v>0</v>
      </c>
      <c r="Q19" s="712">
        <f>transport!P14</f>
        <v>0</v>
      </c>
      <c r="R19" s="713">
        <f>SUM(C19:Q19)</f>
        <v>561005.34619962214</v>
      </c>
      <c r="S19" s="67"/>
    </row>
    <row r="20" spans="1:19" s="457" customFormat="1" ht="15.75" thickBot="1">
      <c r="A20" s="714" t="s">
        <v>231</v>
      </c>
      <c r="B20" s="866"/>
      <c r="C20" s="861">
        <f>SUM(C17:C19)</f>
        <v>5.1915153712309881</v>
      </c>
      <c r="D20" s="715">
        <f t="shared" ref="D20:R20" si="1">SUM(D17:D19)</f>
        <v>0</v>
      </c>
      <c r="E20" s="715">
        <f t="shared" si="1"/>
        <v>25.839959490601792</v>
      </c>
      <c r="F20" s="715">
        <f t="shared" si="1"/>
        <v>2969.4744159591642</v>
      </c>
      <c r="G20" s="715">
        <f t="shared" si="1"/>
        <v>0</v>
      </c>
      <c r="H20" s="715">
        <f t="shared" si="1"/>
        <v>472587.59047590615</v>
      </c>
      <c r="I20" s="715">
        <f t="shared" si="1"/>
        <v>88489.99951487346</v>
      </c>
      <c r="J20" s="715">
        <f t="shared" si="1"/>
        <v>0</v>
      </c>
      <c r="K20" s="715">
        <f t="shared" si="1"/>
        <v>0</v>
      </c>
      <c r="L20" s="715">
        <f t="shared" si="1"/>
        <v>0</v>
      </c>
      <c r="M20" s="715">
        <f t="shared" si="1"/>
        <v>0</v>
      </c>
      <c r="N20" s="715">
        <f t="shared" si="1"/>
        <v>24486.704141119699</v>
      </c>
      <c r="O20" s="715">
        <f t="shared" si="1"/>
        <v>0</v>
      </c>
      <c r="P20" s="715">
        <f t="shared" si="1"/>
        <v>0</v>
      </c>
      <c r="Q20" s="716">
        <f t="shared" si="1"/>
        <v>0</v>
      </c>
      <c r="R20" s="717">
        <f t="shared" si="1"/>
        <v>588564.80002272036</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279.66618887684098</v>
      </c>
      <c r="D22" s="711">
        <f>+landbouw!C8</f>
        <v>0</v>
      </c>
      <c r="E22" s="711">
        <f>+landbouw!D8</f>
        <v>35158.330963591885</v>
      </c>
      <c r="F22" s="711">
        <f>+landbouw!E8</f>
        <v>2.9287248751791486</v>
      </c>
      <c r="G22" s="711">
        <f>+landbouw!F8</f>
        <v>1436.4100757155245</v>
      </c>
      <c r="H22" s="711">
        <f>+landbouw!G8</f>
        <v>0</v>
      </c>
      <c r="I22" s="711">
        <f>+landbouw!H8</f>
        <v>0</v>
      </c>
      <c r="J22" s="711">
        <f>+landbouw!I8</f>
        <v>0</v>
      </c>
      <c r="K22" s="711">
        <f>+landbouw!J8</f>
        <v>24.976697357516095</v>
      </c>
      <c r="L22" s="711">
        <f>+landbouw!K8</f>
        <v>0</v>
      </c>
      <c r="M22" s="711">
        <f>+landbouw!L8</f>
        <v>0</v>
      </c>
      <c r="N22" s="711">
        <f>+landbouw!M8</f>
        <v>0</v>
      </c>
      <c r="O22" s="711">
        <f>+landbouw!N8</f>
        <v>0</v>
      </c>
      <c r="P22" s="711">
        <f>+landbouw!O8</f>
        <v>0</v>
      </c>
      <c r="Q22" s="712">
        <f>+landbouw!P8</f>
        <v>0</v>
      </c>
      <c r="R22" s="713">
        <f>SUM(C22:Q22)</f>
        <v>36902.312650416949</v>
      </c>
      <c r="S22" s="67"/>
    </row>
    <row r="23" spans="1:19" s="457" customFormat="1" ht="17.25" thickTop="1" thickBot="1">
      <c r="A23" s="718" t="s">
        <v>116</v>
      </c>
      <c r="B23" s="852"/>
      <c r="C23" s="719">
        <f ca="1">C20+C15+C22</f>
        <v>711618.27980203507</v>
      </c>
      <c r="D23" s="719">
        <f t="shared" ref="D23:Q23" ca="1" si="2">D20+D15+D22</f>
        <v>0</v>
      </c>
      <c r="E23" s="719">
        <f t="shared" ca="1" si="2"/>
        <v>967645.79928105464</v>
      </c>
      <c r="F23" s="719">
        <f t="shared" si="2"/>
        <v>36434.885690937364</v>
      </c>
      <c r="G23" s="719">
        <f t="shared" ca="1" si="2"/>
        <v>272898.01140262501</v>
      </c>
      <c r="H23" s="719">
        <f t="shared" si="2"/>
        <v>472587.59047590615</v>
      </c>
      <c r="I23" s="719">
        <f t="shared" si="2"/>
        <v>88489.99951487346</v>
      </c>
      <c r="J23" s="719">
        <f t="shared" si="2"/>
        <v>0</v>
      </c>
      <c r="K23" s="719">
        <f t="shared" si="2"/>
        <v>445.16679363962874</v>
      </c>
      <c r="L23" s="719">
        <f t="shared" si="2"/>
        <v>0</v>
      </c>
      <c r="M23" s="719">
        <f t="shared" ca="1" si="2"/>
        <v>0</v>
      </c>
      <c r="N23" s="719">
        <f t="shared" si="2"/>
        <v>24486.704141119699</v>
      </c>
      <c r="O23" s="719">
        <f t="shared" ca="1" si="2"/>
        <v>26614.489852382481</v>
      </c>
      <c r="P23" s="719">
        <f t="shared" si="2"/>
        <v>389.27000000000004</v>
      </c>
      <c r="Q23" s="720">
        <f t="shared" si="2"/>
        <v>648.26666666666665</v>
      </c>
      <c r="R23" s="721">
        <f ca="1">R20+R15+R22</f>
        <v>2602258.4636212401</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98772.047986364705</v>
      </c>
      <c r="D36" s="702">
        <f ca="1">tertiair!C20</f>
        <v>0</v>
      </c>
      <c r="E36" s="702">
        <f ca="1">tertiair!D20</f>
        <v>86481.565723721927</v>
      </c>
      <c r="F36" s="702">
        <f>tertiair!E20</f>
        <v>3901.2238694026846</v>
      </c>
      <c r="G36" s="702">
        <f ca="1">tertiair!F20</f>
        <v>21962.335094819471</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211117.17267430876</v>
      </c>
    </row>
    <row r="37" spans="1:18">
      <c r="A37" s="873" t="s">
        <v>226</v>
      </c>
      <c r="B37" s="880"/>
      <c r="C37" s="702">
        <f ca="1">huishoudens!B12</f>
        <v>33823.431152068886</v>
      </c>
      <c r="D37" s="702">
        <f ca="1">huishoudens!C12</f>
        <v>0</v>
      </c>
      <c r="E37" s="702">
        <f>huishoudens!D12</f>
        <v>79403.109946756493</v>
      </c>
      <c r="F37" s="702">
        <f>huishoudens!E12</f>
        <v>3398.1771331548475</v>
      </c>
      <c r="G37" s="702">
        <f>huishoudens!F12</f>
        <v>38526.499627816163</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155151.21785979639</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23039.402758893211</v>
      </c>
      <c r="D39" s="702">
        <f ca="1">industrie!C22</f>
        <v>0</v>
      </c>
      <c r="E39" s="702">
        <f>industrie!D22</f>
        <v>22472.573257831973</v>
      </c>
      <c r="F39" s="702">
        <f>industrie!E22</f>
        <v>296.58253631585336</v>
      </c>
      <c r="G39" s="702">
        <f>industrie!F22</f>
        <v>11991.412831649208</v>
      </c>
      <c r="H39" s="702">
        <f>industrie!G22</f>
        <v>0</v>
      </c>
      <c r="I39" s="702">
        <f>industrie!H22</f>
        <v>0</v>
      </c>
      <c r="J39" s="702">
        <f>industrie!I22</f>
        <v>0</v>
      </c>
      <c r="K39" s="702">
        <f>industrie!J22</f>
        <v>148.74729408386787</v>
      </c>
      <c r="L39" s="702">
        <f>industrie!K22</f>
        <v>0</v>
      </c>
      <c r="M39" s="702">
        <f>industrie!L22</f>
        <v>0</v>
      </c>
      <c r="N39" s="702">
        <f>industrie!M22</f>
        <v>0</v>
      </c>
      <c r="O39" s="702">
        <f>industrie!N22</f>
        <v>0</v>
      </c>
      <c r="P39" s="702">
        <f>industrie!O22</f>
        <v>0</v>
      </c>
      <c r="Q39" s="812">
        <f>industrie!P22</f>
        <v>0</v>
      </c>
      <c r="R39" s="906">
        <f ca="1">SUM(C39:Q39)</f>
        <v>57948.718678774108</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155634.88189732679</v>
      </c>
      <c r="D41" s="747">
        <f t="shared" ref="D41:R41" ca="1" si="4">SUM(D35:D40)</f>
        <v>0</v>
      </c>
      <c r="E41" s="747">
        <f t="shared" ca="1" si="4"/>
        <v>188357.24892831041</v>
      </c>
      <c r="F41" s="747">
        <f t="shared" si="4"/>
        <v>7595.9835388733854</v>
      </c>
      <c r="G41" s="747">
        <f t="shared" ca="1" si="4"/>
        <v>72480.247554284841</v>
      </c>
      <c r="H41" s="747">
        <f t="shared" si="4"/>
        <v>0</v>
      </c>
      <c r="I41" s="747">
        <f t="shared" si="4"/>
        <v>0</v>
      </c>
      <c r="J41" s="747">
        <f t="shared" si="4"/>
        <v>0</v>
      </c>
      <c r="K41" s="747">
        <f t="shared" si="4"/>
        <v>148.74729408386787</v>
      </c>
      <c r="L41" s="747">
        <f t="shared" si="4"/>
        <v>0</v>
      </c>
      <c r="M41" s="747">
        <f t="shared" ca="1" si="4"/>
        <v>0</v>
      </c>
      <c r="N41" s="747">
        <f t="shared" si="4"/>
        <v>0</v>
      </c>
      <c r="O41" s="747">
        <f t="shared" ca="1" si="4"/>
        <v>0</v>
      </c>
      <c r="P41" s="747">
        <f t="shared" si="4"/>
        <v>0</v>
      </c>
      <c r="Q41" s="748">
        <f t="shared" si="4"/>
        <v>0</v>
      </c>
      <c r="R41" s="749">
        <f t="shared" ca="1" si="4"/>
        <v>424217.10921287921</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7057.5418241296475</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7057.5418241296475</v>
      </c>
    </row>
    <row r="45" spans="1:18" ht="15" thickBot="1">
      <c r="A45" s="876" t="s">
        <v>308</v>
      </c>
      <c r="B45" s="886"/>
      <c r="C45" s="711">
        <f ca="1">transport!B18</f>
        <v>1.1358680143087927</v>
      </c>
      <c r="D45" s="711">
        <f>transport!C18</f>
        <v>0</v>
      </c>
      <c r="E45" s="711">
        <f>transport!D18</f>
        <v>5.2196718171015624</v>
      </c>
      <c r="F45" s="711">
        <f>transport!E18</f>
        <v>674.0706924227303</v>
      </c>
      <c r="G45" s="711">
        <f>transport!F18</f>
        <v>0</v>
      </c>
      <c r="H45" s="711">
        <f>transport!G18</f>
        <v>119123.34483293729</v>
      </c>
      <c r="I45" s="711">
        <f>transport!H18</f>
        <v>22034.009879203491</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141837.78094439494</v>
      </c>
    </row>
    <row r="46" spans="1:18" ht="15.75" thickBot="1">
      <c r="A46" s="874" t="s">
        <v>231</v>
      </c>
      <c r="B46" s="887"/>
      <c r="C46" s="747">
        <f t="shared" ref="C46:R46" ca="1" si="5">SUM(C43:C45)</f>
        <v>1.1358680143087927</v>
      </c>
      <c r="D46" s="747">
        <f t="shared" ca="1" si="5"/>
        <v>0</v>
      </c>
      <c r="E46" s="747">
        <f t="shared" si="5"/>
        <v>5.2196718171015624</v>
      </c>
      <c r="F46" s="747">
        <f t="shared" si="5"/>
        <v>674.0706924227303</v>
      </c>
      <c r="G46" s="747">
        <f t="shared" si="5"/>
        <v>0</v>
      </c>
      <c r="H46" s="747">
        <f t="shared" si="5"/>
        <v>126180.88665706693</v>
      </c>
      <c r="I46" s="747">
        <f t="shared" si="5"/>
        <v>22034.009879203491</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148895.32276852458</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61.189047111214101</v>
      </c>
      <c r="D48" s="702">
        <f ca="1">+landbouw!C12</f>
        <v>0</v>
      </c>
      <c r="E48" s="702">
        <f>+landbouw!D12</f>
        <v>7101.982854645561</v>
      </c>
      <c r="F48" s="702">
        <f>+landbouw!E12</f>
        <v>0.6648205466656667</v>
      </c>
      <c r="G48" s="702">
        <f>+landbouw!F12</f>
        <v>383.52149021604504</v>
      </c>
      <c r="H48" s="702">
        <f>+landbouw!G12</f>
        <v>0</v>
      </c>
      <c r="I48" s="702">
        <f>+landbouw!H12</f>
        <v>0</v>
      </c>
      <c r="J48" s="702">
        <f>+landbouw!I12</f>
        <v>0</v>
      </c>
      <c r="K48" s="702">
        <f>+landbouw!J12</f>
        <v>8.8417508645606979</v>
      </c>
      <c r="L48" s="702">
        <f>+landbouw!K12</f>
        <v>0</v>
      </c>
      <c r="M48" s="702">
        <f>+landbouw!L12</f>
        <v>0</v>
      </c>
      <c r="N48" s="702">
        <f>+landbouw!M12</f>
        <v>0</v>
      </c>
      <c r="O48" s="702">
        <f>+landbouw!N12</f>
        <v>0</v>
      </c>
      <c r="P48" s="702">
        <f>+landbouw!O12</f>
        <v>0</v>
      </c>
      <c r="Q48" s="703">
        <f>+landbouw!P12</f>
        <v>0</v>
      </c>
      <c r="R48" s="745">
        <f ca="1">SUM(C48:Q48)</f>
        <v>7556.199963384046</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155697.20681245232</v>
      </c>
      <c r="D53" s="757">
        <f t="shared" ref="D53:Q53" ca="1" si="6">D41+D46+D48</f>
        <v>0</v>
      </c>
      <c r="E53" s="757">
        <f t="shared" ca="1" si="6"/>
        <v>195464.45145477305</v>
      </c>
      <c r="F53" s="757">
        <f t="shared" si="6"/>
        <v>8270.7190518427815</v>
      </c>
      <c r="G53" s="757">
        <f t="shared" ca="1" si="6"/>
        <v>72863.769044500892</v>
      </c>
      <c r="H53" s="757">
        <f t="shared" si="6"/>
        <v>126180.88665706693</v>
      </c>
      <c r="I53" s="757">
        <f t="shared" si="6"/>
        <v>22034.009879203491</v>
      </c>
      <c r="J53" s="757">
        <f t="shared" si="6"/>
        <v>0</v>
      </c>
      <c r="K53" s="757">
        <f t="shared" si="6"/>
        <v>157.58904494842858</v>
      </c>
      <c r="L53" s="757">
        <f t="shared" si="6"/>
        <v>0</v>
      </c>
      <c r="M53" s="757">
        <f t="shared" ca="1" si="6"/>
        <v>0</v>
      </c>
      <c r="N53" s="757">
        <f t="shared" si="6"/>
        <v>0</v>
      </c>
      <c r="O53" s="757">
        <f t="shared" ca="1" si="6"/>
        <v>0</v>
      </c>
      <c r="P53" s="757">
        <f>P41+P46+P48</f>
        <v>0</v>
      </c>
      <c r="Q53" s="758">
        <f t="shared" si="6"/>
        <v>0</v>
      </c>
      <c r="R53" s="759">
        <f ca="1">R41+R46+R48</f>
        <v>580668.63194478792</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0.21879315249710238</v>
      </c>
      <c r="D55" s="823">
        <f t="shared" ca="1" si="7"/>
        <v>0</v>
      </c>
      <c r="E55" s="823">
        <f t="shared" ca="1" si="7"/>
        <v>0.20200000000000001</v>
      </c>
      <c r="F55" s="823">
        <f t="shared" si="7"/>
        <v>0.22699999999999998</v>
      </c>
      <c r="G55" s="823">
        <f t="shared" ca="1" si="7"/>
        <v>0.26700000000000007</v>
      </c>
      <c r="H55" s="823">
        <f t="shared" si="7"/>
        <v>0.26699999999999996</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5702.031781888747</v>
      </c>
      <c r="C66" s="779">
        <f>'lokale energieproductie'!B6</f>
        <v>5702.031781888747</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1404</v>
      </c>
      <c r="C68" s="778">
        <f>B68*IFERROR(SUM(J68:L68)/SUM(D68:M68),0)</f>
        <v>1404</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4011.4285714285716</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7106.031781888747</v>
      </c>
      <c r="C69" s="787">
        <f>SUM(C64:C68)</f>
        <v>7106.031781888747</v>
      </c>
      <c r="D69" s="788">
        <f t="shared" ref="D69:M69" si="8">SUM(D67:D68)</f>
        <v>0</v>
      </c>
      <c r="E69" s="788">
        <f t="shared" si="8"/>
        <v>0</v>
      </c>
      <c r="F69" s="788">
        <f t="shared" si="8"/>
        <v>0</v>
      </c>
      <c r="G69" s="788">
        <f t="shared" si="8"/>
        <v>0</v>
      </c>
      <c r="H69" s="788">
        <f t="shared" si="8"/>
        <v>0</v>
      </c>
      <c r="I69" s="788">
        <f t="shared" si="8"/>
        <v>0</v>
      </c>
      <c r="J69" s="788">
        <f t="shared" si="8"/>
        <v>0</v>
      </c>
      <c r="K69" s="788">
        <f t="shared" si="8"/>
        <v>4011.4285714285716</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154590.90362764819</v>
      </c>
      <c r="C4" s="461">
        <f>huishoudens!C8</f>
        <v>0</v>
      </c>
      <c r="D4" s="461">
        <f>huishoudens!D8</f>
        <v>393084.70270671527</v>
      </c>
      <c r="E4" s="461">
        <f>huishoudens!E8</f>
        <v>14969.943317862764</v>
      </c>
      <c r="F4" s="461">
        <f>huishoudens!F8</f>
        <v>144294.00609668973</v>
      </c>
      <c r="G4" s="461">
        <f>huishoudens!G8</f>
        <v>0</v>
      </c>
      <c r="H4" s="461">
        <f>huishoudens!H8</f>
        <v>0</v>
      </c>
      <c r="I4" s="461">
        <f>huishoudens!I8</f>
        <v>0</v>
      </c>
      <c r="J4" s="461">
        <f>huishoudens!J8</f>
        <v>0</v>
      </c>
      <c r="K4" s="461">
        <f>huishoudens!K8</f>
        <v>0</v>
      </c>
      <c r="L4" s="461">
        <f>huishoudens!L8</f>
        <v>0</v>
      </c>
      <c r="M4" s="461">
        <f>huishoudens!M8</f>
        <v>0</v>
      </c>
      <c r="N4" s="461">
        <f>huishoudens!N8</f>
        <v>18353.041806145851</v>
      </c>
      <c r="O4" s="461">
        <f>huishoudens!O8</f>
        <v>379.89000000000004</v>
      </c>
      <c r="P4" s="462">
        <f>huishoudens!P8</f>
        <v>457.6</v>
      </c>
      <c r="Q4" s="463">
        <f>SUM(B4:P4)</f>
        <v>726130.08755506179</v>
      </c>
    </row>
    <row r="5" spans="1:17">
      <c r="A5" s="460" t="s">
        <v>156</v>
      </c>
      <c r="B5" s="461">
        <f ca="1">tertiair!B16</f>
        <v>445943.51224486594</v>
      </c>
      <c r="C5" s="461">
        <f ca="1">tertiair!C16</f>
        <v>0</v>
      </c>
      <c r="D5" s="461">
        <f ca="1">tertiair!D16</f>
        <v>428126.56298872241</v>
      </c>
      <c r="E5" s="461">
        <f>tertiair!E16</f>
        <v>17186.008235254118</v>
      </c>
      <c r="F5" s="461">
        <f ca="1">tertiair!F16</f>
        <v>82255.936684717119</v>
      </c>
      <c r="G5" s="461">
        <f>tertiair!G16</f>
        <v>0</v>
      </c>
      <c r="H5" s="461">
        <f>tertiair!H16</f>
        <v>0</v>
      </c>
      <c r="I5" s="461">
        <f>tertiair!I16</f>
        <v>0</v>
      </c>
      <c r="J5" s="461">
        <f>tertiair!J16</f>
        <v>0</v>
      </c>
      <c r="K5" s="461">
        <f>tertiair!K16</f>
        <v>0</v>
      </c>
      <c r="L5" s="461">
        <f ca="1">tertiair!L16</f>
        <v>0</v>
      </c>
      <c r="M5" s="461">
        <f>tertiair!M16</f>
        <v>0</v>
      </c>
      <c r="N5" s="461">
        <f ca="1">tertiair!N16</f>
        <v>4101.8300730442934</v>
      </c>
      <c r="O5" s="461">
        <f>tertiair!O16</f>
        <v>9.3800000000000008</v>
      </c>
      <c r="P5" s="462">
        <f>tertiair!P16</f>
        <v>190.66666666666669</v>
      </c>
      <c r="Q5" s="460">
        <f t="shared" ref="Q5:Q13" ca="1" si="0">SUM(B5:P5)</f>
        <v>977813.89689327043</v>
      </c>
    </row>
    <row r="6" spans="1:17">
      <c r="A6" s="460" t="s">
        <v>195</v>
      </c>
      <c r="B6" s="461">
        <f>'openbare verlichting'!B8</f>
        <v>5496.7950000000001</v>
      </c>
      <c r="C6" s="461"/>
      <c r="D6" s="461"/>
      <c r="E6" s="461"/>
      <c r="F6" s="461"/>
      <c r="G6" s="461"/>
      <c r="H6" s="461"/>
      <c r="I6" s="461"/>
      <c r="J6" s="461"/>
      <c r="K6" s="461"/>
      <c r="L6" s="461"/>
      <c r="M6" s="461"/>
      <c r="N6" s="461"/>
      <c r="O6" s="461"/>
      <c r="P6" s="462"/>
      <c r="Q6" s="460">
        <f t="shared" si="0"/>
        <v>5496.7950000000001</v>
      </c>
    </row>
    <row r="7" spans="1:17">
      <c r="A7" s="460" t="s">
        <v>112</v>
      </c>
      <c r="B7" s="461">
        <f>landbouw!B8</f>
        <v>279.66618887684098</v>
      </c>
      <c r="C7" s="461">
        <f>landbouw!C8</f>
        <v>0</v>
      </c>
      <c r="D7" s="461">
        <f>landbouw!D8</f>
        <v>35158.330963591885</v>
      </c>
      <c r="E7" s="461">
        <f>landbouw!E8</f>
        <v>2.9287248751791486</v>
      </c>
      <c r="F7" s="461">
        <f>landbouw!F8</f>
        <v>1436.4100757155245</v>
      </c>
      <c r="G7" s="461">
        <f>landbouw!G8</f>
        <v>0</v>
      </c>
      <c r="H7" s="461">
        <f>landbouw!H8</f>
        <v>0</v>
      </c>
      <c r="I7" s="461">
        <f>landbouw!I8</f>
        <v>0</v>
      </c>
      <c r="J7" s="461">
        <f>landbouw!J8</f>
        <v>24.976697357516095</v>
      </c>
      <c r="K7" s="461">
        <f>landbouw!K8</f>
        <v>0</v>
      </c>
      <c r="L7" s="461">
        <f>landbouw!L8</f>
        <v>0</v>
      </c>
      <c r="M7" s="461">
        <f>landbouw!M8</f>
        <v>0</v>
      </c>
      <c r="N7" s="461">
        <f>landbouw!N8</f>
        <v>0</v>
      </c>
      <c r="O7" s="461">
        <f>landbouw!O8</f>
        <v>0</v>
      </c>
      <c r="P7" s="462">
        <f>landbouw!P8</f>
        <v>0</v>
      </c>
      <c r="Q7" s="460">
        <f t="shared" si="0"/>
        <v>36902.312650416949</v>
      </c>
    </row>
    <row r="8" spans="1:17">
      <c r="A8" s="460" t="s">
        <v>656</v>
      </c>
      <c r="B8" s="461">
        <f>industrie!B18</f>
        <v>105302.21122527285</v>
      </c>
      <c r="C8" s="461">
        <f>industrie!C18</f>
        <v>0</v>
      </c>
      <c r="D8" s="461">
        <f>industrie!D18</f>
        <v>111250.36266253451</v>
      </c>
      <c r="E8" s="461">
        <f>industrie!E18</f>
        <v>1306.5309969861382</v>
      </c>
      <c r="F8" s="461">
        <f>industrie!F18</f>
        <v>44911.658545502651</v>
      </c>
      <c r="G8" s="461">
        <f>industrie!G18</f>
        <v>0</v>
      </c>
      <c r="H8" s="461">
        <f>industrie!H18</f>
        <v>0</v>
      </c>
      <c r="I8" s="461">
        <f>industrie!I18</f>
        <v>0</v>
      </c>
      <c r="J8" s="461">
        <f>industrie!J18</f>
        <v>420.19009628211262</v>
      </c>
      <c r="K8" s="461">
        <f>industrie!K18</f>
        <v>0</v>
      </c>
      <c r="L8" s="461">
        <f>industrie!L18</f>
        <v>0</v>
      </c>
      <c r="M8" s="461">
        <f>industrie!M18</f>
        <v>0</v>
      </c>
      <c r="N8" s="461">
        <f>industrie!N18</f>
        <v>4159.6179731923366</v>
      </c>
      <c r="O8" s="461">
        <f>industrie!O18</f>
        <v>0</v>
      </c>
      <c r="P8" s="462">
        <f>industrie!P18</f>
        <v>0</v>
      </c>
      <c r="Q8" s="460">
        <f t="shared" si="0"/>
        <v>267350.57149977062</v>
      </c>
    </row>
    <row r="9" spans="1:17" s="466" customFormat="1">
      <c r="A9" s="464" t="s">
        <v>574</v>
      </c>
      <c r="B9" s="465">
        <f>transport!B14</f>
        <v>5.1915153712309881</v>
      </c>
      <c r="C9" s="465">
        <f>transport!C14</f>
        <v>0</v>
      </c>
      <c r="D9" s="465">
        <f>transport!D14</f>
        <v>25.839959490601792</v>
      </c>
      <c r="E9" s="465">
        <f>transport!E14</f>
        <v>2969.4744159591642</v>
      </c>
      <c r="F9" s="465">
        <f>transport!F14</f>
        <v>0</v>
      </c>
      <c r="G9" s="465">
        <f>transport!G14</f>
        <v>446154.84956156288</v>
      </c>
      <c r="H9" s="465">
        <f>transport!H14</f>
        <v>88489.99951487346</v>
      </c>
      <c r="I9" s="465">
        <f>transport!I14</f>
        <v>0</v>
      </c>
      <c r="J9" s="465">
        <f>transport!J14</f>
        <v>0</v>
      </c>
      <c r="K9" s="465">
        <f>transport!K14</f>
        <v>0</v>
      </c>
      <c r="L9" s="465">
        <f>transport!L14</f>
        <v>0</v>
      </c>
      <c r="M9" s="465">
        <f>transport!M14</f>
        <v>23359.991232364744</v>
      </c>
      <c r="N9" s="465">
        <f>transport!N14</f>
        <v>0</v>
      </c>
      <c r="O9" s="465">
        <f>transport!O14</f>
        <v>0</v>
      </c>
      <c r="P9" s="465">
        <f>transport!P14</f>
        <v>0</v>
      </c>
      <c r="Q9" s="464">
        <f>SUM(B9:P9)</f>
        <v>561005.34619962214</v>
      </c>
    </row>
    <row r="10" spans="1:17">
      <c r="A10" s="460" t="s">
        <v>564</v>
      </c>
      <c r="B10" s="461">
        <f>transport!B54</f>
        <v>0</v>
      </c>
      <c r="C10" s="461">
        <f>transport!C54</f>
        <v>0</v>
      </c>
      <c r="D10" s="461">
        <f>transport!D54</f>
        <v>0</v>
      </c>
      <c r="E10" s="461">
        <f>transport!E54</f>
        <v>0</v>
      </c>
      <c r="F10" s="461">
        <f>transport!F54</f>
        <v>0</v>
      </c>
      <c r="G10" s="461">
        <f>transport!G54</f>
        <v>26432.740914343249</v>
      </c>
      <c r="H10" s="461">
        <f>transport!H54</f>
        <v>0</v>
      </c>
      <c r="I10" s="461">
        <f>transport!I54</f>
        <v>0</v>
      </c>
      <c r="J10" s="461">
        <f>transport!J54</f>
        <v>0</v>
      </c>
      <c r="K10" s="461">
        <f>transport!K54</f>
        <v>0</v>
      </c>
      <c r="L10" s="461">
        <f>transport!L54</f>
        <v>0</v>
      </c>
      <c r="M10" s="461">
        <f>transport!M54</f>
        <v>1126.7129087549542</v>
      </c>
      <c r="N10" s="461">
        <f>transport!N54</f>
        <v>0</v>
      </c>
      <c r="O10" s="461">
        <f>transport!O54</f>
        <v>0</v>
      </c>
      <c r="P10" s="462">
        <f>transport!P54</f>
        <v>0</v>
      </c>
      <c r="Q10" s="460">
        <f t="shared" si="0"/>
        <v>27559.453823098203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711618.27980203507</v>
      </c>
      <c r="C14" s="471">
        <f t="shared" ref="C14:Q14" ca="1" si="1">SUM(C4:C13)</f>
        <v>0</v>
      </c>
      <c r="D14" s="471">
        <f t="shared" ca="1" si="1"/>
        <v>967645.79928105464</v>
      </c>
      <c r="E14" s="471">
        <f t="shared" si="1"/>
        <v>36434.885690937364</v>
      </c>
      <c r="F14" s="471">
        <f t="shared" ca="1" si="1"/>
        <v>272898.01140262501</v>
      </c>
      <c r="G14" s="471">
        <f t="shared" si="1"/>
        <v>472587.59047590615</v>
      </c>
      <c r="H14" s="471">
        <f t="shared" si="1"/>
        <v>88489.99951487346</v>
      </c>
      <c r="I14" s="471">
        <f t="shared" si="1"/>
        <v>0</v>
      </c>
      <c r="J14" s="471">
        <f t="shared" si="1"/>
        <v>445.16679363962874</v>
      </c>
      <c r="K14" s="471">
        <f t="shared" si="1"/>
        <v>0</v>
      </c>
      <c r="L14" s="471">
        <f t="shared" ca="1" si="1"/>
        <v>0</v>
      </c>
      <c r="M14" s="471">
        <f t="shared" si="1"/>
        <v>24486.704141119699</v>
      </c>
      <c r="N14" s="471">
        <f t="shared" ca="1" si="1"/>
        <v>26614.489852382481</v>
      </c>
      <c r="O14" s="471">
        <f t="shared" si="1"/>
        <v>389.27000000000004</v>
      </c>
      <c r="P14" s="472">
        <f t="shared" si="1"/>
        <v>648.26666666666665</v>
      </c>
      <c r="Q14" s="472">
        <f t="shared" ca="1" si="1"/>
        <v>2602258.4636212401</v>
      </c>
    </row>
    <row r="16" spans="1:17">
      <c r="A16" s="474" t="s">
        <v>569</v>
      </c>
      <c r="B16" s="828">
        <f ca="1">huishoudens!B10</f>
        <v>0.21879315249710238</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33823.431152068886</v>
      </c>
      <c r="C21" s="461">
        <f t="shared" ref="C21:C30" ca="1" si="3">C4*$C$16</f>
        <v>0</v>
      </c>
      <c r="D21" s="461">
        <f t="shared" ref="D21:D30" si="4">D4*$D$16</f>
        <v>79403.109946756493</v>
      </c>
      <c r="E21" s="461">
        <f t="shared" ref="E21:E30" si="5">E4*$E$16</f>
        <v>3398.1771331548475</v>
      </c>
      <c r="F21" s="461">
        <f t="shared" ref="F21:F30" si="6">F4*$F$16</f>
        <v>38526.499627816163</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155151.21785979639</v>
      </c>
    </row>
    <row r="22" spans="1:17">
      <c r="A22" s="460" t="s">
        <v>156</v>
      </c>
      <c r="B22" s="461">
        <f t="shared" ca="1" si="2"/>
        <v>97569.386879684389</v>
      </c>
      <c r="C22" s="461">
        <f t="shared" ca="1" si="3"/>
        <v>0</v>
      </c>
      <c r="D22" s="461">
        <f t="shared" ca="1" si="4"/>
        <v>86481.565723721927</v>
      </c>
      <c r="E22" s="461">
        <f t="shared" si="5"/>
        <v>3901.2238694026846</v>
      </c>
      <c r="F22" s="461">
        <f t="shared" ca="1" si="6"/>
        <v>21962.335094819471</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209914.51156762848</v>
      </c>
    </row>
    <row r="23" spans="1:17">
      <c r="A23" s="460" t="s">
        <v>195</v>
      </c>
      <c r="B23" s="461">
        <f t="shared" ca="1" si="2"/>
        <v>1202.6611066803098</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1202.6611066803098</v>
      </c>
    </row>
    <row r="24" spans="1:17">
      <c r="A24" s="460" t="s">
        <v>112</v>
      </c>
      <c r="B24" s="461">
        <f t="shared" ca="1" si="2"/>
        <v>61.189047111214101</v>
      </c>
      <c r="C24" s="461">
        <f t="shared" ca="1" si="3"/>
        <v>0</v>
      </c>
      <c r="D24" s="461">
        <f t="shared" si="4"/>
        <v>7101.982854645561</v>
      </c>
      <c r="E24" s="461">
        <f t="shared" si="5"/>
        <v>0.6648205466656667</v>
      </c>
      <c r="F24" s="461">
        <f t="shared" si="6"/>
        <v>383.52149021604504</v>
      </c>
      <c r="G24" s="461">
        <f t="shared" si="7"/>
        <v>0</v>
      </c>
      <c r="H24" s="461">
        <f t="shared" si="8"/>
        <v>0</v>
      </c>
      <c r="I24" s="461">
        <f t="shared" si="9"/>
        <v>0</v>
      </c>
      <c r="J24" s="461">
        <f t="shared" si="10"/>
        <v>8.8417508645606979</v>
      </c>
      <c r="K24" s="461">
        <f t="shared" si="11"/>
        <v>0</v>
      </c>
      <c r="L24" s="461">
        <f t="shared" si="12"/>
        <v>0</v>
      </c>
      <c r="M24" s="461">
        <f t="shared" si="13"/>
        <v>0</v>
      </c>
      <c r="N24" s="461">
        <f t="shared" si="14"/>
        <v>0</v>
      </c>
      <c r="O24" s="461">
        <f t="shared" si="15"/>
        <v>0</v>
      </c>
      <c r="P24" s="462">
        <f t="shared" si="16"/>
        <v>0</v>
      </c>
      <c r="Q24" s="460">
        <f t="shared" ca="1" si="17"/>
        <v>7556.199963384046</v>
      </c>
    </row>
    <row r="25" spans="1:17">
      <c r="A25" s="460" t="s">
        <v>656</v>
      </c>
      <c r="B25" s="461">
        <f t="shared" ca="1" si="2"/>
        <v>23039.402758893211</v>
      </c>
      <c r="C25" s="461">
        <f t="shared" ca="1" si="3"/>
        <v>0</v>
      </c>
      <c r="D25" s="461">
        <f t="shared" si="4"/>
        <v>22472.573257831973</v>
      </c>
      <c r="E25" s="461">
        <f t="shared" si="5"/>
        <v>296.58253631585336</v>
      </c>
      <c r="F25" s="461">
        <f t="shared" si="6"/>
        <v>11991.412831649208</v>
      </c>
      <c r="G25" s="461">
        <f t="shared" si="7"/>
        <v>0</v>
      </c>
      <c r="H25" s="461">
        <f t="shared" si="8"/>
        <v>0</v>
      </c>
      <c r="I25" s="461">
        <f t="shared" si="9"/>
        <v>0</v>
      </c>
      <c r="J25" s="461">
        <f t="shared" si="10"/>
        <v>148.74729408386787</v>
      </c>
      <c r="K25" s="461">
        <f t="shared" si="11"/>
        <v>0</v>
      </c>
      <c r="L25" s="461">
        <f t="shared" si="12"/>
        <v>0</v>
      </c>
      <c r="M25" s="461">
        <f t="shared" si="13"/>
        <v>0</v>
      </c>
      <c r="N25" s="461">
        <f t="shared" si="14"/>
        <v>0</v>
      </c>
      <c r="O25" s="461">
        <f t="shared" si="15"/>
        <v>0</v>
      </c>
      <c r="P25" s="462">
        <f t="shared" si="16"/>
        <v>0</v>
      </c>
      <c r="Q25" s="460">
        <f t="shared" ca="1" si="17"/>
        <v>57948.718678774108</v>
      </c>
    </row>
    <row r="26" spans="1:17" s="466" customFormat="1">
      <c r="A26" s="464" t="s">
        <v>574</v>
      </c>
      <c r="B26" s="822">
        <f t="shared" ca="1" si="2"/>
        <v>1.1358680143087927</v>
      </c>
      <c r="C26" s="465">
        <f t="shared" ca="1" si="3"/>
        <v>0</v>
      </c>
      <c r="D26" s="465">
        <f t="shared" si="4"/>
        <v>5.2196718171015624</v>
      </c>
      <c r="E26" s="465">
        <f t="shared" si="5"/>
        <v>674.0706924227303</v>
      </c>
      <c r="F26" s="465">
        <f t="shared" si="6"/>
        <v>0</v>
      </c>
      <c r="G26" s="465">
        <f t="shared" si="7"/>
        <v>119123.34483293729</v>
      </c>
      <c r="H26" s="465">
        <f t="shared" si="8"/>
        <v>22034.009879203491</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141837.78094439494</v>
      </c>
    </row>
    <row r="27" spans="1:17">
      <c r="A27" s="460" t="s">
        <v>564</v>
      </c>
      <c r="B27" s="461">
        <f t="shared" ca="1" si="2"/>
        <v>0</v>
      </c>
      <c r="C27" s="461">
        <f t="shared" ca="1" si="3"/>
        <v>0</v>
      </c>
      <c r="D27" s="461">
        <f t="shared" si="4"/>
        <v>0</v>
      </c>
      <c r="E27" s="461">
        <f t="shared" si="5"/>
        <v>0</v>
      </c>
      <c r="F27" s="461">
        <f t="shared" si="6"/>
        <v>0</v>
      </c>
      <c r="G27" s="461">
        <f t="shared" si="7"/>
        <v>7057.5418241296475</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7057.5418241296475</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155697.20681245232</v>
      </c>
      <c r="C31" s="471">
        <f t="shared" ca="1" si="18"/>
        <v>0</v>
      </c>
      <c r="D31" s="471">
        <f t="shared" ca="1" si="18"/>
        <v>195464.45145477305</v>
      </c>
      <c r="E31" s="471">
        <f t="shared" si="18"/>
        <v>8270.7190518427815</v>
      </c>
      <c r="F31" s="471">
        <f t="shared" ca="1" si="18"/>
        <v>72863.769044500892</v>
      </c>
      <c r="G31" s="471">
        <f t="shared" si="18"/>
        <v>126180.88665706693</v>
      </c>
      <c r="H31" s="471">
        <f t="shared" si="18"/>
        <v>22034.009879203491</v>
      </c>
      <c r="I31" s="471">
        <f t="shared" si="18"/>
        <v>0</v>
      </c>
      <c r="J31" s="471">
        <f t="shared" si="18"/>
        <v>157.58904494842858</v>
      </c>
      <c r="K31" s="471">
        <f t="shared" si="18"/>
        <v>0</v>
      </c>
      <c r="L31" s="471">
        <f t="shared" ca="1" si="18"/>
        <v>0</v>
      </c>
      <c r="M31" s="471">
        <f t="shared" si="18"/>
        <v>0</v>
      </c>
      <c r="N31" s="471">
        <f t="shared" ca="1" si="18"/>
        <v>0</v>
      </c>
      <c r="O31" s="471">
        <f t="shared" si="18"/>
        <v>0</v>
      </c>
      <c r="P31" s="472">
        <f t="shared" si="18"/>
        <v>0</v>
      </c>
      <c r="Q31" s="472">
        <f t="shared" ca="1" si="18"/>
        <v>580668.63194478792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0.21879315249710238</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0.21879315249710238</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0.21879315249710238</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2018-06-27T09:00:48Z</dcterms:modified>
</cp:coreProperties>
</file>