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H68"/>
  <c r="H69" s="1"/>
  <c r="D8" i="17"/>
  <c r="E22" i="14" s="1"/>
  <c r="C97" i="18"/>
  <c r="I100" s="1"/>
  <c r="H7" s="1"/>
  <c r="I67" i="14" s="1"/>
  <c r="F16" i="16"/>
  <c r="D13" i="15"/>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J15" i="14"/>
  <c r="N15"/>
  <c r="H15"/>
  <c r="L15"/>
  <c r="M46"/>
  <c r="P20"/>
  <c r="K20"/>
  <c r="L20"/>
  <c r="G20"/>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F69"/>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H17" l="1"/>
  <c r="I19" i="18"/>
  <c r="J16"/>
  <c r="K78" i="14" s="1"/>
  <c r="N8" i="17"/>
  <c r="N5"/>
  <c r="L8"/>
  <c r="L7" i="48" s="1"/>
  <c r="L24" s="1"/>
  <c r="L5" i="17"/>
  <c r="J81" i="14"/>
  <c r="L29" i="48"/>
  <c r="G31" i="20"/>
  <c r="H43" i="14" s="1"/>
  <c r="F7" i="48"/>
  <c r="F24" s="1"/>
  <c r="L30"/>
  <c r="B100" i="18"/>
  <c r="C7" s="1"/>
  <c r="B35" i="13"/>
  <c r="B47" s="1"/>
  <c r="I69" i="14"/>
  <c r="J12" i="17"/>
  <c r="K48" i="14" s="1"/>
  <c r="F12" i="17"/>
  <c r="G48" i="14" s="1"/>
  <c r="F100" i="18"/>
  <c r="E9"/>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K81" i="14" l="1"/>
  <c r="C78"/>
  <c r="O22"/>
  <c r="N7" i="48"/>
  <c r="N24" s="1"/>
  <c r="N12" i="17"/>
  <c r="O48" i="14" s="1"/>
  <c r="D67"/>
  <c r="C9" i="18"/>
  <c r="R17" i="14"/>
  <c r="C81"/>
  <c r="L12" i="17"/>
  <c r="M48" i="14" s="1"/>
  <c r="C14" i="48"/>
  <c r="R22"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J20" l="1"/>
  <c r="K36" i="14" s="1"/>
  <c r="D69"/>
  <c r="O67"/>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<sst xmlns="http://schemas.openxmlformats.org/spreadsheetml/2006/main" count="2029" uniqueCount="894">
  <si>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</si>
  <si>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</si>
  <si>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</si>
  <si>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</si>
  <si>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</si>
  <si>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</si>
  <si>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</si>
  <si>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</si>
  <si>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</si>
  <si>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</si>
  <si>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</si>
  <si>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</si>
  <si>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</si>
  <si>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</si>
  <si>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</si>
  <si>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</si>
  <si>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</si>
  <si>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</si>
  <si>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</si>
  <si>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</si>
  <si>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</si>
  <si>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</si>
  <si>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</si>
  <si>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</si>
  <si>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</si>
  <si>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</si>
  <si>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</si>
  <si>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</si>
  <si>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</si>
  <si>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</si>
  <si>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</si>
  <si>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</si>
  <si>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</si>
  <si>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</si>
  <si>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</si>
  <si>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</si>
  <si>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</si>
  <si>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</si>
  <si>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</si>
  <si>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</si>
  <si>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</si>
  <si>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</si>
  <si>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</si>
  <si>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</si>
  <si>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</si>
  <si>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</si>
  <si>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</si>
  <si>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</si>
  <si>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</si>
  <si>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</si>
  <si>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</si>
  <si>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</si>
  <si>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</si>
  <si>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</si>
  <si>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</si>
  <si>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</si>
  <si>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</si>
  <si>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</si>
  <si>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</si>
  <si>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</si>
  <si>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</si>
  <si>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</si>
  <si>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</si>
  <si>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</si>
  <si>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</si>
  <si>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</si>
  <si>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</si>
  <si>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</si>
  <si>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</si>
  <si>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</si>
  <si>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</si>
  <si>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</si>
  <si>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</si>
  <si>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</si>
  <si>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</si>
  <si>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</si>
  <si>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</si>
  <si>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</si>
  <si>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</si>
  <si>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</si>
  <si>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</si>
  <si>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</si>
  <si>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</si>
  <si>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</si>
  <si>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</si>
  <si>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</si>
  <si>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</si>
  <si>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</si>
  <si>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</si>
  <si>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</si>
  <si>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</si>
  <si>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</si>
  <si>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</si>
  <si>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</si>
  <si>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</si>
  <si>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</si>
  <si>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</si>
  <si>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</si>
  <si>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</si>
  <si>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</si>
  <si>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</si>
  <si>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</si>
  <si>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</si>
  <si>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</si>
  <si>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</si>
  <si>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</si>
  <si>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</si>
  <si>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</si>
  <si>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</si>
  <si>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</si>
  <si>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</si>
  <si>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</si>
  <si>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</si>
  <si>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</si>
  <si>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</si>
  <si>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</si>
  <si>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</si>
  <si>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</si>
  <si>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</si>
  <si>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</si>
  <si>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</si>
  <si>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</si>
  <si>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</si>
  <si>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</si>
  <si>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</si>
  <si>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</si>
  <si>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</si>
  <si>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</si>
  <si>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</si>
  <si>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</si>
  <si>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</si>
  <si>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</si>
  <si>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</si>
  <si>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</si>
  <si>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</si>
  <si>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</si>
  <si>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</si>
  <si>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</si>
  <si>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</si>
  <si>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</si>
  <si>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</si>
  <si>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</si>
  <si>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</si>
  <si>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</si>
  <si>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</si>
  <si>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</si>
  <si>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</si>
  <si>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</si>
  <si>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</si>
  <si>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</si>
  <si>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</si>
  <si>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</si>
  <si>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</si>
  <si>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</si>
  <si>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</si>
  <si>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</si>
  <si>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</si>
  <si>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</si>
  <si>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</si>
  <si>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</si>
  <si>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</si>
  <si>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</si>
  <si>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</si>
  <si>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</si>
  <si>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</si>
  <si>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</si>
  <si>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</si>
  <si>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</si>
  <si>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</si>
  <si>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</si>
  <si>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</si>
  <si>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</si>
  <si>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</si>
  <si>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</si>
  <si>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</si>
  <si>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</si>
  <si>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</si>
  <si>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</si>
  <si>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</si>
  <si>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</si>
  <si>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</si>
  <si>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</si>
  <si>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</si>
  <si>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</si>
  <si>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</si>
  <si>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</si>
  <si>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</si>
  <si>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</si>
  <si>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</si>
  <si>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</si>
  <si>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</si>
  <si>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</si>
  <si>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</si>
  <si>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</si>
  <si>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</si>
  <si>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</si>
  <si>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</si>
  <si>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</si>
  <si>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</si>
  <si>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</si>
  <si>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</si>
  <si>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</si>
  <si>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</si>
  <si>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</si>
  <si>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</si>
  <si>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</si>
  <si>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</si>
  <si>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</si>
  <si>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</si>
  <si>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</si>
  <si>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</si>
  <si>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</si>
  <si>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</si>
  <si>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</si>
  <si>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</si>
  <si>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</si>
  <si>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</si>
  <si>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</si>
  <si>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</si>
  <si>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</si>
  <si>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</si>
  <si>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</si>
  <si>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</si>
  <si>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</si>
  <si>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</si>
  <si>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</si>
  <si>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</si>
  <si>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</si>
  <si>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</si>
  <si>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</si>
  <si>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</si>
  <si>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</si>
  <si>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</si>
  <si>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</si>
  <si>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</si>
  <si>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</si>
  <si>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</si>
  <si>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</si>
  <si>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</si>
  <si>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</si>
  <si>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</si>
  <si>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</si>
  <si>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</si>
  <si>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</si>
  <si>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</si>
  <si>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</si>
  <si>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</si>
  <si>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</si>
  <si>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</si>
  <si>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</si>
  <si>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</si>
  <si>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</si>
  <si>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</si>
  <si>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</si>
  <si>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</si>
  <si>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</si>
  <si>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</si>
  <si>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</si>
  <si>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</si>
  <si>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</si>
  <si>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</si>
  <si>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</si>
  <si>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</si>
  <si>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</si>
  <si>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</si>
  <si>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</si>
  <si>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</si>
  <si>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</si>
  <si>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</si>
  <si>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</si>
  <si>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</si>
  <si>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</si>
  <si>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</si>
  <si>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</si>
  <si>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</si>
  <si>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</si>
  <si>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</si>
  <si>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</si>
  <si>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</si>
  <si>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</si>
  <si>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</si>
  <si>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</si>
  <si>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</si>
  <si>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</si>
  <si>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</si>
  <si>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</si>
  <si>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</si>
  <si>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</si>
  <si>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</si>
  <si>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</si>
  <si>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</si>
  <si>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</si>
  <si>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</si>
  <si>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</si>
  <si>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</si>
  <si>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</si>
  <si>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</si>
  <si>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</si>
  <si>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</si>
  <si>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</si>
  <si>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</si>
  <si>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</si>
  <si>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</si>
  <si>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</si>
  <si>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</si>
  <si>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</si>
  <si>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</si>
  <si>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</si>
  <si>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</si>
  <si>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</si>
  <si>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</si>
  <si>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</si>
  <si>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</si>
  <si>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</si>
  <si>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</si>
  <si>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</si>
  <si>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</si>
  <si>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</si>
  <si>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</si>
  <si>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</si>
  <si>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</si>
  <si>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</si>
  <si>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</si>
  <si>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</si>
  <si>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</si>
  <si>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</si>
  <si>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</si>
  <si>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</si>
  <si>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</si>
  <si>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</si>
  <si>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</si>
  <si>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</si>
  <si>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</si>
  <si>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</si>
  <si>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</si>
  <si>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</si>
  <si>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</si>
  <si>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</si>
  <si>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</si>
  <si>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</si>
  <si>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</si>
  <si>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</si>
  <si>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</si>
  <si>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</si>
  <si>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</si>
  <si>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</si>
  <si>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</si>
  <si>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</si>
  <si>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</si>
  <si>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</si>
  <si>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</si>
  <si>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</si>
  <si>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</si>
  <si>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</si>
  <si>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</si>
  <si>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</si>
  <si>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</si>
  <si>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</si>
  <si>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</si>
  <si>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</si>
  <si>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</si>
  <si>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</si>
  <si>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</si>
  <si>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</si>
  <si>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</si>
  <si>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</si>
  <si>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</si>
  <si>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</si>
  <si>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</si>
  <si>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</si>
  <si>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</si>
  <si>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</si>
  <si>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</si>
  <si>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</si>
  <si>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</si>
  <si>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</si>
  <si>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</si>
  <si>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</si>
  <si>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</si>
  <si>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</si>
  <si>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</si>
  <si>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</si>
  <si>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</si>
  <si>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</si>
  <si>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</si>
  <si>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</si>
  <si>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</si>
  <si>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</si>
  <si>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</si>
  <si>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</si>
  <si>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</si>
  <si>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</si>
  <si>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</si>
  <si>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</si>
  <si>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</si>
  <si>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</si>
  <si>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</si>
  <si>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</si>
  <si>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</si>
  <si>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</si>
  <si>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</si>
  <si>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</si>
  <si>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</si>
  <si>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</si>
  <si>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</si>
  <si>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</si>
  <si>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</si>
  <si>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</si>
  <si>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</si>
  <si>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</si>
  <si>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</si>
  <si>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</si>
  <si>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</si>
  <si>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</si>
  <si>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</si>
  <si>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</si>
  <si>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</si>
  <si>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</si>
  <si>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</si>
  <si>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</si>
  <si>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</si>
  <si>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</si>
  <si>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</si>
  <si>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</si>
  <si>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</si>
  <si>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</si>
  <si>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</si>
  <si>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</si>
  <si>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</si>
  <si>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</si>
  <si>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</si>
  <si>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</si>
  <si>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</si>
  <si>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</si>
  <si>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</si>
  <si>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</si>
  <si>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</si>
  <si>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</si>
  <si>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</si>
  <si>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</si>
  <si>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</si>
  <si>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</si>
  <si>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</si>
  <si>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</si>
  <si>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</si>
  <si>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</si>
  <si>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</si>
  <si>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</si>
  <si>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</si>
  <si>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</si>
  <si>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</si>
  <si>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</si>
  <si>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</si>
  <si>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</si>
  <si>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</si>
  <si>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</si>
  <si>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</si>
  <si>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</si>
  <si>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</si>
  <si>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</si>
  <si>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</si>
  <si>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</si>
  <si>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</si>
  <si>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</si>
  <si>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</si>
  <si>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</si>
  <si>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</si>
  <si>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</si>
  <si>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</si>
  <si>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</si>
  <si>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</si>
  <si>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</si>
  <si>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</si>
  <si>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</si>
  <si>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</si>
  <si>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</si>
  <si>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</si>
  <si>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</si>
  <si>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</si>
  <si>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</si>
  <si>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</si>
  <si>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</si>
  <si>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</si>
  <si>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</si>
  <si>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</si>
  <si>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</si>
  <si>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</si>
  <si>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</si>
  <si>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</si>
  <si>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</si>
  <si>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</si>
  <si>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</si>
  <si>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</si>
  <si>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</si>
  <si>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</si>
  <si>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</si>
  <si>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</si>
  <si>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</si>
  <si>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</si>
  <si>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</si>
  <si>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</si>
  <si>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</si>
  <si>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</si>
  <si>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</si>
  <si>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</si>
  <si>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</si>
  <si>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</si>
  <si>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</si>
  <si>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</si>
  <si>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</si>
  <si>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</si>
  <si>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</si>
  <si>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</si>
  <si>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</si>
  <si>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</si>
  <si>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</si>
  <si>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</si>
  <si>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</si>
  <si>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</si>
  <si>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</si>
  <si>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</si>
  <si>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</si>
  <si>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</si>
  <si>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</si>
  <si>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</si>
  <si>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</si>
  <si>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</si>
  <si>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</si>
  <si>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</si>
  <si>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</si>
  <si>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</si>
  <si>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</si>
  <si>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</si>
  <si>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</si>
  <si>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</si>
  <si>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</si>
  <si>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</si>
  <si>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</si>
  <si>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</si>
  <si>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</si>
  <si>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</si>
  <si>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</si>
  <si>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</si>
  <si>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</si>
  <si>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</si>
  <si>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</si>
  <si>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</si>
  <si>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</si>
  <si>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</si>
  <si>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</si>
  <si>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</si>
  <si>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</si>
  <si>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</si>
  <si>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</si>
  <si>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</si>
  <si>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</si>
  <si>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</si>
  <si>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</si>
  <si>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</si>
  <si>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</si>
  <si>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</si>
  <si>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</si>
  <si>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</si>
  <si>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</si>
  <si>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</si>
  <si>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</si>
  <si>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</si>
  <si>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</si>
  <si>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</si>
  <si>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</si>
  <si>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</si>
  <si>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</si>
  <si>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</si>
  <si>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</si>
  <si>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</si>
  <si>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</si>
  <si>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</si>
  <si>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</si>
  <si>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</si>
  <si>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</si>
  <si>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</si>
  <si>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</si>
  <si>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</si>
  <si>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</si>
  <si>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</si>
  <si>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</si>
  <si>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</si>
  <si>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</si>
  <si>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</si>
  <si>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</si>
  <si>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</si>
  <si>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</si>
  <si>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</si>
  <si>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</si>
  <si>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</si>
  <si>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</si>
  <si>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</si>
  <si>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</si>
  <si>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</si>
  <si>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</si>
  <si>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</si>
  <si>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</si>
  <si>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</si>
  <si>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</si>
  <si>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</si>
  <si>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</si>
  <si>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</si>
  <si>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</si>
  <si>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</si>
  <si>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</si>
  <si>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</si>
  <si>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</si>
  <si>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</si>
  <si>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</si>
  <si>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</si>
  <si>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</si>
  <si>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</si>
  <si>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</si>
  <si>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</si>
  <si>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</si>
  <si>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</si>
  <si>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</si>
  <si>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</si>
  <si>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</si>
  <si>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</si>
  <si>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</si>
  <si>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</si>
  <si>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</si>
  <si>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</si>
  <si>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</si>
  <si>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</si>
  <si>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</si>
  <si>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</si>
  <si>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</si>
  <si>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</si>
  <si>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</si>
  <si>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</si>
  <si>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</si>
  <si>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</si>
  <si>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</si>
  <si>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</si>
  <si>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</si>
  <si>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</si>
  <si>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</si>
  <si>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</si>
  <si>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</si>
  <si>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</si>
  <si>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</si>
  <si>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</si>
  <si>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</si>
  <si>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</si>
  <si>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</si>
  <si>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</si>
  <si>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</si>
  <si>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</si>
  <si>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</si>
  <si>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</si>
  <si>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</si>
  <si>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</si>
  <si>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</si>
  <si>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</si>
  <si>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</si>
  <si>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</si>
  <si>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</si>
  <si>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</si>
  <si>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</si>
  <si>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</si>
  <si>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</si>
  <si>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</si>
  <si>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</si>
  <si>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</si>
  <si>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</si>
  <si>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</si>
  <si>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</si>
  <si>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</si>
  <si>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</si>
  <si>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</si>
  <si>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</si>
  <si>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</si>
  <si>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</si>
  <si>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</si>
  <si>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</si>
  <si>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</si>
  <si>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</si>
  <si>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</si>
  <si>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</si>
  <si>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</si>
  <si>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</si>
  <si>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</si>
  <si>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</si>
  <si>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</si>
  <si>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</si>
  <si>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</si>
  <si>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</si>
  <si>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</si>
  <si>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</si>
  <si>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</si>
  <si>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</si>
  <si>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</si>
  <si>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</si>
  <si>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</si>
  <si>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</si>
  <si>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</si>
  <si>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</si>
  <si>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</si>
  <si>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</si>
  <si>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</si>
  <si>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</si>
  <si>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</si>
  <si>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</si>
  <si>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</si>
  <si>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</si>
  <si>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</si>
  <si>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</si>
  <si>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</si>
  <si>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</si>
  <si>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</si>
  <si>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</si>
  <si>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</si>
  <si>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</si>
  <si>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</si>
  <si>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</si>
  <si>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</si>
  <si>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</si>
  <si>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</si>
  <si>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</si>
  <si>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</si>
  <si>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</si>
  <si>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</si>
  <si>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</si>
  <si>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</si>
  <si>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</si>
  <si>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</si>
  <si>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</si>
  <si>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</si>
  <si>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</si>
  <si>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</si>
  <si>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</si>
  <si>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</si>
  <si>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</si>
  <si>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</si>
  <si>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</si>
  <si>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</si>
  <si>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</si>
  <si>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</si>
  <si>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</si>
  <si>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</si>
  <si>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</si>
  <si>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</si>
  <si>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</si>
  <si>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</si>
  <si>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</si>
  <si>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</si>
  <si>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</si>
  <si>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</si>
  <si>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</si>
  <si>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</si>
  <si>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</si>
  <si>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</si>
  <si>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</si>
  <si>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</si>
  <si>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</si>
  <si>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</si>
  <si>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</si>
  <si>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</si>
  <si>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</si>
  <si>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</si>
  <si>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</si>
  <si>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</si>
  <si>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</si>
  <si>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</si>
  <si>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</si>
  <si>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</si>
  <si>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</si>
  <si>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</si>
  <si>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</si>
  <si>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</si>
  <si>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</si>
  <si>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</si>
  <si>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</si>
  <si>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</si>
  <si>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</si>
  <si>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</si>
  <si>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</si>
  <si>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</si>
  <si>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</si>
  <si>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</si>
  <si>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</si>
  <si>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</si>
  <si>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</si>
  <si>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</si>
  <si>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</si>
  <si>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</si>
  <si>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</si>
  <si>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</si>
  <si>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</si>
  <si>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</si>
  <si>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</si>
  <si>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</si>
  <si>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</si>
  <si>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</si>
  <si>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</si>
  <si>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</si>
  <si>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</si>
  <si>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</si>
  <si>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</si>
  <si>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</si>
  <si>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</si>
  <si>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</si>
  <si>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</si>
  <si>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</si>
  <si>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</si>
  <si>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</si>
  <si>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</si>
  <si>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</si>
  <si>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</si>
  <si>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</si>
  <si>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</si>
  <si>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</si>
  <si>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</si>
  <si>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</si>
  <si>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</si>
  <si>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</si>
  <si>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</si>
  <si>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</si>
  <si>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</si>
  <si>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</si>
  <si>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</si>
  <si>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</si>
  <si>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</si>
  <si>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</si>
  <si>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</si>
  <si>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</si>
  <si>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</si>
  <si>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</si>
  <si>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</si>
  <si>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</si>
  <si>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</si>
  <si>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</si>
  <si>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</si>
  <si>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</si>
  <si>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</si>
  <si>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</si>
  <si>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</si>
  <si>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</si>
  <si>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</si>
  <si>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</si>
  <si>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</si>
  <si>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</si>
  <si>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</si>
  <si>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</si>
  <si>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</si>
  <si>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</si>
  <si>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</si>
  <si>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</si>
  <si>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</si>
  <si>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</si>
  <si>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</si>
  <si>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</si>
  <si>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</si>
  <si>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</si>
  <si>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</si>
  <si>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</si>
  <si>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</si>
  <si>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</si>
  <si>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</si>
  <si>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</si>
  <si>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</si>
  <si>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</si>
  <si>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</si>
  <si>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</si>
  <si>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</si>
  <si>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</si>
  <si>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</si>
  <si>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</si>
  <si>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</si>
  <si>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</si>
  <si>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</si>
  <si>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</si>
  <si>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</si>
  <si>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</si>
  <si>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</si>
  <si>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</si>
  <si>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</si>
  <si>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</si>
  <si>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24059</t>
  </si>
  <si>
    <t>LANDEN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</si>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</sst>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24059</v>
      </c>
      <c r="B6" s="396"/>
      <c r="C6" s="397"/>
    </row>
    <row r="7" spans="1:7" s="394" customFormat="1" ht="15.75" customHeight="1">
      <c r="A7" s="398" t="str">
        <f>txtMunicipality</f>
        <v>LANDEN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8876.5910000000003</v>
      </c>
      <c r="D10" s="702">
        <f ca="1">tertiair!C16</f>
        <v>0</v>
      </c>
      <c r="E10" s="702">
        <f ca="1">tertiair!D16</f>
        <v>4870.0170640000006</v>
      </c>
      <c r="F10" s="702">
        <f>tertiair!E16</f>
        <v>158.36921694399197</v>
      </c>
      <c r="G10" s="702">
        <f ca="1">tertiair!F16</f>
        <v>1473.6817398160067</v>
      </c>
      <c r="H10" s="702">
        <f>tertiair!G16</f>
        <v>0</v>
      </c>
      <c r="I10" s="702">
        <f>tertiair!H16</f>
        <v>0</v>
      </c>
      <c r="J10" s="702">
        <f>tertiair!I16</f>
        <v>0</v>
      </c>
      <c r="K10" s="702">
        <f>tertiair!J16</f>
        <v>0</v>
      </c>
      <c r="L10" s="702">
        <f>tertiair!K16</f>
        <v>0</v>
      </c>
      <c r="M10" s="702">
        <f ca="1">tertiair!L16</f>
        <v>0</v>
      </c>
      <c r="N10" s="702">
        <f>tertiair!M16</f>
        <v>0</v>
      </c>
      <c r="O10" s="702">
        <f ca="1">tertiair!N16</f>
        <v>278.26975801968183</v>
      </c>
      <c r="P10" s="702">
        <f>tertiair!O16</f>
        <v>0</v>
      </c>
      <c r="Q10" s="703">
        <f>tertiair!P16</f>
        <v>0</v>
      </c>
      <c r="R10" s="705">
        <f ca="1">SUM(C10:Q10)</f>
        <v>15656.928778779682</v>
      </c>
      <c r="S10" s="67"/>
    </row>
    <row r="11" spans="1:19" s="457" customFormat="1">
      <c r="A11" s="858" t="s">
        <v>226</v>
      </c>
      <c r="B11" s="863"/>
      <c r="C11" s="702">
        <f>huishoudens!B8</f>
        <v>29741.279048472119</v>
      </c>
      <c r="D11" s="702">
        <f>huishoudens!C8</f>
        <v>0</v>
      </c>
      <c r="E11" s="702">
        <f>huishoudens!D8</f>
        <v>27455.421466000003</v>
      </c>
      <c r="F11" s="702">
        <f>huishoudens!E8</f>
        <v>4192.5146581049075</v>
      </c>
      <c r="G11" s="702">
        <f>huishoudens!F8</f>
        <v>80402.505475188067</v>
      </c>
      <c r="H11" s="702">
        <f>huishoudens!G8</f>
        <v>0</v>
      </c>
      <c r="I11" s="702">
        <f>huishoudens!H8</f>
        <v>0</v>
      </c>
      <c r="J11" s="702">
        <f>huishoudens!I8</f>
        <v>0</v>
      </c>
      <c r="K11" s="702">
        <f>huishoudens!J8</f>
        <v>628.22445903007792</v>
      </c>
      <c r="L11" s="702">
        <f>huishoudens!K8</f>
        <v>0</v>
      </c>
      <c r="M11" s="702">
        <f>huishoudens!L8</f>
        <v>0</v>
      </c>
      <c r="N11" s="702">
        <f>huishoudens!M8</f>
        <v>0</v>
      </c>
      <c r="O11" s="702">
        <f>huishoudens!N8</f>
        <v>6600.3551104989929</v>
      </c>
      <c r="P11" s="702">
        <f>huishoudens!O8</f>
        <v>31.266666666666666</v>
      </c>
      <c r="Q11" s="703">
        <f>huishoudens!P8</f>
        <v>838.93333333333339</v>
      </c>
      <c r="R11" s="705">
        <f>SUM(C11:Q11)</f>
        <v>149890.50021729415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20077.100999999999</v>
      </c>
      <c r="D13" s="702">
        <f>industrie!C18</f>
        <v>0</v>
      </c>
      <c r="E13" s="702">
        <f>industrie!D18</f>
        <v>15008.582754000001</v>
      </c>
      <c r="F13" s="702">
        <f>industrie!E18</f>
        <v>53.779906492847871</v>
      </c>
      <c r="G13" s="702">
        <f>industrie!F18</f>
        <v>6903.8668480154747</v>
      </c>
      <c r="H13" s="702">
        <f>industrie!G18</f>
        <v>0</v>
      </c>
      <c r="I13" s="702">
        <f>industrie!H18</f>
        <v>0</v>
      </c>
      <c r="J13" s="702">
        <f>industrie!I18</f>
        <v>0</v>
      </c>
      <c r="K13" s="702">
        <f>industrie!J18</f>
        <v>3104.3656646294558</v>
      </c>
      <c r="L13" s="702">
        <f>industrie!K18</f>
        <v>0</v>
      </c>
      <c r="M13" s="702">
        <f>industrie!L18</f>
        <v>0</v>
      </c>
      <c r="N13" s="702">
        <f>industrie!M18</f>
        <v>0</v>
      </c>
      <c r="O13" s="702">
        <f>industrie!N18</f>
        <v>112.15231652762873</v>
      </c>
      <c r="P13" s="702">
        <f>industrie!O18</f>
        <v>0</v>
      </c>
      <c r="Q13" s="703">
        <f>industrie!P18</f>
        <v>0</v>
      </c>
      <c r="R13" s="705">
        <f>SUM(C13:Q13)</f>
        <v>45259.848489665404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58694.971048472114</v>
      </c>
      <c r="D15" s="707">
        <f t="shared" ref="D15:Q15" ca="1" si="0">SUM(D9:D14)</f>
        <v>0</v>
      </c>
      <c r="E15" s="707">
        <f t="shared" ca="1" si="0"/>
        <v>47334.021284000002</v>
      </c>
      <c r="F15" s="707">
        <f t="shared" si="0"/>
        <v>4404.6637815417471</v>
      </c>
      <c r="G15" s="707">
        <f t="shared" ca="1" si="0"/>
        <v>88780.054063019546</v>
      </c>
      <c r="H15" s="707">
        <f t="shared" si="0"/>
        <v>0</v>
      </c>
      <c r="I15" s="707">
        <f t="shared" si="0"/>
        <v>0</v>
      </c>
      <c r="J15" s="707">
        <f t="shared" si="0"/>
        <v>0</v>
      </c>
      <c r="K15" s="707">
        <f t="shared" si="0"/>
        <v>3732.5901236595337</v>
      </c>
      <c r="L15" s="707">
        <f t="shared" si="0"/>
        <v>0</v>
      </c>
      <c r="M15" s="707">
        <f t="shared" ca="1" si="0"/>
        <v>0</v>
      </c>
      <c r="N15" s="707">
        <f t="shared" si="0"/>
        <v>0</v>
      </c>
      <c r="O15" s="707">
        <f t="shared" ca="1" si="0"/>
        <v>6990.7771850463032</v>
      </c>
      <c r="P15" s="707">
        <f t="shared" si="0"/>
        <v>31.266666666666666</v>
      </c>
      <c r="Q15" s="708">
        <f t="shared" si="0"/>
        <v>838.93333333333339</v>
      </c>
      <c r="R15" s="709">
        <f ca="1">SUM(R9:R14)</f>
        <v>210807.27748573924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1184.784090147873</v>
      </c>
      <c r="I18" s="702">
        <f>transport!H54</f>
        <v>0</v>
      </c>
      <c r="J18" s="702">
        <f>transport!I54</f>
        <v>0</v>
      </c>
      <c r="K18" s="702">
        <f>transport!J54</f>
        <v>0</v>
      </c>
      <c r="L18" s="702">
        <f>transport!K54</f>
        <v>0</v>
      </c>
      <c r="M18" s="702">
        <f>transport!L54</f>
        <v>0</v>
      </c>
      <c r="N18" s="702">
        <f>transport!M54</f>
        <v>50.50219849628747</v>
      </c>
      <c r="O18" s="702">
        <f>transport!N54</f>
        <v>0</v>
      </c>
      <c r="P18" s="702">
        <f>transport!O54</f>
        <v>0</v>
      </c>
      <c r="Q18" s="703">
        <f>transport!P54</f>
        <v>0</v>
      </c>
      <c r="R18" s="705">
        <f>SUM(C18:Q18)</f>
        <v>1235.2862886441605</v>
      </c>
      <c r="S18" s="67"/>
    </row>
    <row r="19" spans="1:19" s="457" customFormat="1" ht="15" thickBot="1">
      <c r="A19" s="858" t="s">
        <v>308</v>
      </c>
      <c r="B19" s="863"/>
      <c r="C19" s="711">
        <f>transport!B14</f>
        <v>0.80255631484301071</v>
      </c>
      <c r="D19" s="711">
        <f>transport!C14</f>
        <v>0</v>
      </c>
      <c r="E19" s="711">
        <f>transport!D14</f>
        <v>4.1566717913838707</v>
      </c>
      <c r="F19" s="711">
        <f>transport!E14</f>
        <v>456.77221638237643</v>
      </c>
      <c r="G19" s="711">
        <f>transport!F14</f>
        <v>0</v>
      </c>
      <c r="H19" s="711">
        <f>transport!G14</f>
        <v>72983.064839587008</v>
      </c>
      <c r="I19" s="711">
        <f>transport!H14</f>
        <v>14054.548272464221</v>
      </c>
      <c r="J19" s="711">
        <f>transport!I14</f>
        <v>0</v>
      </c>
      <c r="K19" s="711">
        <f>transport!J14</f>
        <v>0</v>
      </c>
      <c r="L19" s="711">
        <f>transport!K14</f>
        <v>0</v>
      </c>
      <c r="M19" s="711">
        <f>transport!L14</f>
        <v>0</v>
      </c>
      <c r="N19" s="711">
        <f>transport!M14</f>
        <v>3801.8116020401344</v>
      </c>
      <c r="O19" s="711">
        <f>transport!N14</f>
        <v>0</v>
      </c>
      <c r="P19" s="711">
        <f>transport!O14</f>
        <v>0</v>
      </c>
      <c r="Q19" s="712">
        <f>transport!P14</f>
        <v>0</v>
      </c>
      <c r="R19" s="713">
        <f>SUM(C19:Q19)</f>
        <v>91301.156158579965</v>
      </c>
      <c r="S19" s="67"/>
    </row>
    <row r="20" spans="1:19" s="457" customFormat="1" ht="15.75" thickBot="1">
      <c r="A20" s="714" t="s">
        <v>231</v>
      </c>
      <c r="B20" s="866"/>
      <c r="C20" s="861">
        <f>SUM(C17:C19)</f>
        <v>0.80255631484301071</v>
      </c>
      <c r="D20" s="715">
        <f t="shared" ref="D20:R20" si="1">SUM(D17:D19)</f>
        <v>0</v>
      </c>
      <c r="E20" s="715">
        <f t="shared" si="1"/>
        <v>4.1566717913838707</v>
      </c>
      <c r="F20" s="715">
        <f t="shared" si="1"/>
        <v>456.77221638237643</v>
      </c>
      <c r="G20" s="715">
        <f t="shared" si="1"/>
        <v>0</v>
      </c>
      <c r="H20" s="715">
        <f t="shared" si="1"/>
        <v>74167.848929734886</v>
      </c>
      <c r="I20" s="715">
        <f t="shared" si="1"/>
        <v>14054.548272464221</v>
      </c>
      <c r="J20" s="715">
        <f t="shared" si="1"/>
        <v>0</v>
      </c>
      <c r="K20" s="715">
        <f t="shared" si="1"/>
        <v>0</v>
      </c>
      <c r="L20" s="715">
        <f t="shared" si="1"/>
        <v>0</v>
      </c>
      <c r="M20" s="715">
        <f t="shared" si="1"/>
        <v>0</v>
      </c>
      <c r="N20" s="715">
        <f t="shared" si="1"/>
        <v>3852.3138005364217</v>
      </c>
      <c r="O20" s="715">
        <f t="shared" si="1"/>
        <v>0</v>
      </c>
      <c r="P20" s="715">
        <f t="shared" si="1"/>
        <v>0</v>
      </c>
      <c r="Q20" s="716">
        <f t="shared" si="1"/>
        <v>0</v>
      </c>
      <c r="R20" s="717">
        <f t="shared" si="1"/>
        <v>92536.442447224123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435.125</v>
      </c>
      <c r="D22" s="711">
        <f>+landbouw!C8</f>
        <v>0</v>
      </c>
      <c r="E22" s="711">
        <f>+landbouw!D8</f>
        <v>36.001525999999998</v>
      </c>
      <c r="F22" s="711">
        <f>+landbouw!E8</f>
        <v>4.5567232007210166</v>
      </c>
      <c r="G22" s="711">
        <f>+landbouw!F8</f>
        <v>2234.8712824593972</v>
      </c>
      <c r="H22" s="711">
        <f>+landbouw!G8</f>
        <v>0</v>
      </c>
      <c r="I22" s="711">
        <f>+landbouw!H8</f>
        <v>0</v>
      </c>
      <c r="J22" s="711">
        <f>+landbouw!I8</f>
        <v>0</v>
      </c>
      <c r="K22" s="711">
        <f>+landbouw!J8</f>
        <v>38.860562591909243</v>
      </c>
      <c r="L22" s="711">
        <f>+landbouw!K8</f>
        <v>0</v>
      </c>
      <c r="M22" s="711">
        <f>+landbouw!L8</f>
        <v>0</v>
      </c>
      <c r="N22" s="711">
        <f>+landbouw!M8</f>
        <v>0</v>
      </c>
      <c r="O22" s="711">
        <f>+landbouw!N8</f>
        <v>0</v>
      </c>
      <c r="P22" s="711">
        <f>+landbouw!O8</f>
        <v>0</v>
      </c>
      <c r="Q22" s="712">
        <f>+landbouw!P8</f>
        <v>0</v>
      </c>
      <c r="R22" s="713">
        <f>SUM(C22:Q22)</f>
        <v>2749.4150942520278</v>
      </c>
      <c r="S22" s="67"/>
    </row>
    <row r="23" spans="1:19" s="457" customFormat="1" ht="17.25" thickTop="1" thickBot="1">
      <c r="A23" s="718" t="s">
        <v>116</v>
      </c>
      <c r="B23" s="852"/>
      <c r="C23" s="719">
        <f ca="1">C20+C15+C22</f>
        <v>59130.898604786955</v>
      </c>
      <c r="D23" s="719">
        <f t="shared" ref="D23:Q23" ca="1" si="2">D20+D15+D22</f>
        <v>0</v>
      </c>
      <c r="E23" s="719">
        <f t="shared" ca="1" si="2"/>
        <v>47374.179481791383</v>
      </c>
      <c r="F23" s="719">
        <f t="shared" si="2"/>
        <v>4865.9927211248441</v>
      </c>
      <c r="G23" s="719">
        <f t="shared" ca="1" si="2"/>
        <v>91014.925345478943</v>
      </c>
      <c r="H23" s="719">
        <f t="shared" si="2"/>
        <v>74167.848929734886</v>
      </c>
      <c r="I23" s="719">
        <f t="shared" si="2"/>
        <v>14054.548272464221</v>
      </c>
      <c r="J23" s="719">
        <f t="shared" si="2"/>
        <v>0</v>
      </c>
      <c r="K23" s="719">
        <f t="shared" si="2"/>
        <v>3771.4506862514431</v>
      </c>
      <c r="L23" s="719">
        <f t="shared" si="2"/>
        <v>0</v>
      </c>
      <c r="M23" s="719">
        <f t="shared" ca="1" si="2"/>
        <v>0</v>
      </c>
      <c r="N23" s="719">
        <f t="shared" si="2"/>
        <v>3852.3138005364217</v>
      </c>
      <c r="O23" s="719">
        <f t="shared" ca="1" si="2"/>
        <v>6990.7771850463032</v>
      </c>
      <c r="P23" s="719">
        <f t="shared" si="2"/>
        <v>31.266666666666666</v>
      </c>
      <c r="Q23" s="720">
        <f t="shared" si="2"/>
        <v>838.93333333333339</v>
      </c>
      <c r="R23" s="721">
        <f ca="1">R20+R15+R22</f>
        <v>306093.13502721541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1920.3034993436834</v>
      </c>
      <c r="D36" s="702">
        <f ca="1">tertiair!C20</f>
        <v>0</v>
      </c>
      <c r="E36" s="702">
        <f ca="1">tertiair!D20</f>
        <v>983.74344692800014</v>
      </c>
      <c r="F36" s="702">
        <f>tertiair!E20</f>
        <v>35.949812246286179</v>
      </c>
      <c r="G36" s="702">
        <f ca="1">tertiair!F20</f>
        <v>393.47302453087383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3333.4697830488435</v>
      </c>
    </row>
    <row r="37" spans="1:18">
      <c r="A37" s="873" t="s">
        <v>226</v>
      </c>
      <c r="B37" s="880"/>
      <c r="C37" s="702">
        <f ca="1">huishoudens!B12</f>
        <v>6434.0333165894417</v>
      </c>
      <c r="D37" s="702">
        <f ca="1">huishoudens!C12</f>
        <v>0</v>
      </c>
      <c r="E37" s="702">
        <f>huishoudens!D12</f>
        <v>5545.9951361320009</v>
      </c>
      <c r="F37" s="702">
        <f>huishoudens!E12</f>
        <v>951.70082738981409</v>
      </c>
      <c r="G37" s="702">
        <f>huishoudens!F12</f>
        <v>21467.468961875216</v>
      </c>
      <c r="H37" s="702">
        <f>huishoudens!G12</f>
        <v>0</v>
      </c>
      <c r="I37" s="702">
        <f>huishoudens!H12</f>
        <v>0</v>
      </c>
      <c r="J37" s="702">
        <f>huishoudens!I12</f>
        <v>0</v>
      </c>
      <c r="K37" s="702">
        <f>huishoudens!J12</f>
        <v>222.39145849664757</v>
      </c>
      <c r="L37" s="702">
        <f>huishoudens!K12</f>
        <v>0</v>
      </c>
      <c r="M37" s="702">
        <f>huishoudens!L12</f>
        <v>0</v>
      </c>
      <c r="N37" s="702">
        <f>huishoudens!M12</f>
        <v>0</v>
      </c>
      <c r="O37" s="702">
        <f>huishoudens!N12</f>
        <v>0</v>
      </c>
      <c r="P37" s="702">
        <f>huishoudens!O12</f>
        <v>0</v>
      </c>
      <c r="Q37" s="812">
        <f>huishoudens!P12</f>
        <v>0</v>
      </c>
      <c r="R37" s="905">
        <f ca="1">SUM(C37:Q37)</f>
        <v>34621.58970048312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4343.3483988365087</v>
      </c>
      <c r="D39" s="702">
        <f ca="1">industrie!C22</f>
        <v>0</v>
      </c>
      <c r="E39" s="702">
        <f>industrie!D22</f>
        <v>3031.7337163080006</v>
      </c>
      <c r="F39" s="702">
        <f>industrie!E22</f>
        <v>12.208038773876467</v>
      </c>
      <c r="G39" s="702">
        <f>industrie!F22</f>
        <v>1843.3324484201319</v>
      </c>
      <c r="H39" s="702">
        <f>industrie!G22</f>
        <v>0</v>
      </c>
      <c r="I39" s="702">
        <f>industrie!H22</f>
        <v>0</v>
      </c>
      <c r="J39" s="702">
        <f>industrie!I22</f>
        <v>0</v>
      </c>
      <c r="K39" s="702">
        <f>industrie!J22</f>
        <v>1098.9454452788273</v>
      </c>
      <c r="L39" s="702">
        <f>industrie!K22</f>
        <v>0</v>
      </c>
      <c r="M39" s="702">
        <f>industrie!L22</f>
        <v>0</v>
      </c>
      <c r="N39" s="702">
        <f>industrie!M22</f>
        <v>0</v>
      </c>
      <c r="O39" s="702">
        <f>industrie!N22</f>
        <v>0</v>
      </c>
      <c r="P39" s="702">
        <f>industrie!O22</f>
        <v>0</v>
      </c>
      <c r="Q39" s="812">
        <f>industrie!P22</f>
        <v>0</v>
      </c>
      <c r="R39" s="906">
        <f ca="1">SUM(C39:Q39)</f>
        <v>10329.568047617344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12697.685214769634</v>
      </c>
      <c r="D41" s="747">
        <f t="shared" ref="D41:R41" ca="1" si="4">SUM(D35:D40)</f>
        <v>0</v>
      </c>
      <c r="E41" s="747">
        <f t="shared" ca="1" si="4"/>
        <v>9561.4722993680025</v>
      </c>
      <c r="F41" s="747">
        <f t="shared" si="4"/>
        <v>999.85867840997685</v>
      </c>
      <c r="G41" s="747">
        <f t="shared" ca="1" si="4"/>
        <v>23704.274434826224</v>
      </c>
      <c r="H41" s="747">
        <f t="shared" si="4"/>
        <v>0</v>
      </c>
      <c r="I41" s="747">
        <f t="shared" si="4"/>
        <v>0</v>
      </c>
      <c r="J41" s="747">
        <f t="shared" si="4"/>
        <v>0</v>
      </c>
      <c r="K41" s="747">
        <f t="shared" si="4"/>
        <v>1321.3369037754749</v>
      </c>
      <c r="L41" s="747">
        <f t="shared" si="4"/>
        <v>0</v>
      </c>
      <c r="M41" s="747">
        <f t="shared" ca="1" si="4"/>
        <v>0</v>
      </c>
      <c r="N41" s="747">
        <f t="shared" si="4"/>
        <v>0</v>
      </c>
      <c r="O41" s="747">
        <f t="shared" ca="1" si="4"/>
        <v>0</v>
      </c>
      <c r="P41" s="747">
        <f t="shared" si="4"/>
        <v>0</v>
      </c>
      <c r="Q41" s="748">
        <f t="shared" si="4"/>
        <v>0</v>
      </c>
      <c r="R41" s="749">
        <f t="shared" ca="1" si="4"/>
        <v>48284.627531149308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316.33735206948211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316.33735206948211</v>
      </c>
    </row>
    <row r="45" spans="1:18" ht="15" thickBot="1">
      <c r="A45" s="876" t="s">
        <v>308</v>
      </c>
      <c r="B45" s="886"/>
      <c r="C45" s="711">
        <f ca="1">transport!B18</f>
        <v>0.17361977135292192</v>
      </c>
      <c r="D45" s="711">
        <f>transport!C18</f>
        <v>0</v>
      </c>
      <c r="E45" s="711">
        <f>transport!D18</f>
        <v>0.83964770185954196</v>
      </c>
      <c r="F45" s="711">
        <f>transport!E18</f>
        <v>103.68729311879945</v>
      </c>
      <c r="G45" s="711">
        <f>transport!F18</f>
        <v>0</v>
      </c>
      <c r="H45" s="711">
        <f>transport!G18</f>
        <v>19486.478312169733</v>
      </c>
      <c r="I45" s="711">
        <f>transport!H18</f>
        <v>3499.5825198435909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23090.761392605338</v>
      </c>
    </row>
    <row r="46" spans="1:18" ht="15.75" thickBot="1">
      <c r="A46" s="874" t="s">
        <v>231</v>
      </c>
      <c r="B46" s="887"/>
      <c r="C46" s="747">
        <f t="shared" ref="C46:R46" ca="1" si="5">SUM(C43:C45)</f>
        <v>0.17361977135292192</v>
      </c>
      <c r="D46" s="747">
        <f t="shared" ca="1" si="5"/>
        <v>0</v>
      </c>
      <c r="E46" s="747">
        <f t="shared" si="5"/>
        <v>0.83964770185954196</v>
      </c>
      <c r="F46" s="747">
        <f t="shared" si="5"/>
        <v>103.68729311879945</v>
      </c>
      <c r="G46" s="747">
        <f t="shared" si="5"/>
        <v>0</v>
      </c>
      <c r="H46" s="747">
        <f t="shared" si="5"/>
        <v>19802.815664239213</v>
      </c>
      <c r="I46" s="747">
        <f t="shared" si="5"/>
        <v>3499.5825198435909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23407.098744674819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94.132089689828035</v>
      </c>
      <c r="D48" s="702">
        <f ca="1">+landbouw!C12</f>
        <v>0</v>
      </c>
      <c r="E48" s="702">
        <f>+landbouw!D12</f>
        <v>7.2723082520000002</v>
      </c>
      <c r="F48" s="702">
        <f>+landbouw!E12</f>
        <v>1.0343761665636708</v>
      </c>
      <c r="G48" s="702">
        <f>+landbouw!F12</f>
        <v>596.71063241665911</v>
      </c>
      <c r="H48" s="702">
        <f>+landbouw!G12</f>
        <v>0</v>
      </c>
      <c r="I48" s="702">
        <f>+landbouw!H12</f>
        <v>0</v>
      </c>
      <c r="J48" s="702">
        <f>+landbouw!I12</f>
        <v>0</v>
      </c>
      <c r="K48" s="702">
        <f>+landbouw!J12</f>
        <v>13.756639157535872</v>
      </c>
      <c r="L48" s="702">
        <f>+landbouw!K12</f>
        <v>0</v>
      </c>
      <c r="M48" s="702">
        <f>+landbouw!L12</f>
        <v>0</v>
      </c>
      <c r="N48" s="702">
        <f>+landbouw!M12</f>
        <v>0</v>
      </c>
      <c r="O48" s="702">
        <f>+landbouw!N12</f>
        <v>0</v>
      </c>
      <c r="P48" s="702">
        <f>+landbouw!O12</f>
        <v>0</v>
      </c>
      <c r="Q48" s="703">
        <f>+landbouw!P12</f>
        <v>0</v>
      </c>
      <c r="R48" s="745">
        <f ca="1">SUM(C48:Q48)</f>
        <v>712.90604568258675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12791.990924230815</v>
      </c>
      <c r="D53" s="757">
        <f t="shared" ref="D53:Q53" ca="1" si="6">D41+D46+D48</f>
        <v>0</v>
      </c>
      <c r="E53" s="757">
        <f t="shared" ca="1" si="6"/>
        <v>9569.5842553218627</v>
      </c>
      <c r="F53" s="757">
        <f t="shared" si="6"/>
        <v>1104.5803476953399</v>
      </c>
      <c r="G53" s="757">
        <f t="shared" ca="1" si="6"/>
        <v>24300.985067242884</v>
      </c>
      <c r="H53" s="757">
        <f t="shared" si="6"/>
        <v>19802.815664239213</v>
      </c>
      <c r="I53" s="757">
        <f t="shared" si="6"/>
        <v>3499.5825198435909</v>
      </c>
      <c r="J53" s="757">
        <f t="shared" si="6"/>
        <v>0</v>
      </c>
      <c r="K53" s="757">
        <f t="shared" si="6"/>
        <v>1335.0935429330107</v>
      </c>
      <c r="L53" s="757">
        <f t="shared" si="6"/>
        <v>0</v>
      </c>
      <c r="M53" s="757">
        <f t="shared" ca="1" si="6"/>
        <v>0</v>
      </c>
      <c r="N53" s="757">
        <f t="shared" si="6"/>
        <v>0</v>
      </c>
      <c r="O53" s="757">
        <f t="shared" ca="1" si="6"/>
        <v>0</v>
      </c>
      <c r="P53" s="757">
        <f>P41+P46+P48</f>
        <v>0</v>
      </c>
      <c r="Q53" s="758">
        <f t="shared" si="6"/>
        <v>0</v>
      </c>
      <c r="R53" s="759">
        <f ca="1">R41+R46+R48</f>
        <v>72404.63232150671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0.21633344369969099</v>
      </c>
      <c r="D55" s="823">
        <f t="shared" ca="1" si="7"/>
        <v>0</v>
      </c>
      <c r="E55" s="823">
        <f t="shared" ca="1" si="7"/>
        <v>0.20200000000000007</v>
      </c>
      <c r="F55" s="823">
        <f t="shared" si="7"/>
        <v>0.22700000000000006</v>
      </c>
      <c r="G55" s="823">
        <f t="shared" ca="1" si="7"/>
        <v>0.26700000000000007</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1248.5867304393837</v>
      </c>
      <c r="C66" s="779">
        <f>'lokale energieproductie'!B6</f>
        <v>1248.5867304393837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1248.5867304393837</v>
      </c>
      <c r="C69" s="787">
        <f>SUM(C64:C68)</f>
        <v>1248.5867304393837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29741.279048472119</v>
      </c>
      <c r="C4" s="461">
        <f>huishoudens!C8</f>
        <v>0</v>
      </c>
      <c r="D4" s="461">
        <f>huishoudens!D8</f>
        <v>27455.421466000003</v>
      </c>
      <c r="E4" s="461">
        <f>huishoudens!E8</f>
        <v>4192.5146581049075</v>
      </c>
      <c r="F4" s="461">
        <f>huishoudens!F8</f>
        <v>80402.505475188067</v>
      </c>
      <c r="G4" s="461">
        <f>huishoudens!G8</f>
        <v>0</v>
      </c>
      <c r="H4" s="461">
        <f>huishoudens!H8</f>
        <v>0</v>
      </c>
      <c r="I4" s="461">
        <f>huishoudens!I8</f>
        <v>0</v>
      </c>
      <c r="J4" s="461">
        <f>huishoudens!J8</f>
        <v>628.22445903007792</v>
      </c>
      <c r="K4" s="461">
        <f>huishoudens!K8</f>
        <v>0</v>
      </c>
      <c r="L4" s="461">
        <f>huishoudens!L8</f>
        <v>0</v>
      </c>
      <c r="M4" s="461">
        <f>huishoudens!M8</f>
        <v>0</v>
      </c>
      <c r="N4" s="461">
        <f>huishoudens!N8</f>
        <v>6600.3551104989929</v>
      </c>
      <c r="O4" s="461">
        <f>huishoudens!O8</f>
        <v>31.266666666666666</v>
      </c>
      <c r="P4" s="462">
        <f>huishoudens!P8</f>
        <v>838.93333333333339</v>
      </c>
      <c r="Q4" s="463">
        <f>SUM(B4:P4)</f>
        <v>149890.50021729415</v>
      </c>
    </row>
    <row r="5" spans="1:17">
      <c r="A5" s="460" t="s">
        <v>156</v>
      </c>
      <c r="B5" s="461">
        <f ca="1">tertiair!B16</f>
        <v>7899.5689999999995</v>
      </c>
      <c r="C5" s="461">
        <f ca="1">tertiair!C16</f>
        <v>0</v>
      </c>
      <c r="D5" s="461">
        <f ca="1">tertiair!D16</f>
        <v>4870.0170640000006</v>
      </c>
      <c r="E5" s="461">
        <f>tertiair!E16</f>
        <v>158.36921694399197</v>
      </c>
      <c r="F5" s="461">
        <f ca="1">tertiair!F16</f>
        <v>1473.6817398160067</v>
      </c>
      <c r="G5" s="461">
        <f>tertiair!G16</f>
        <v>0</v>
      </c>
      <c r="H5" s="461">
        <f>tertiair!H16</f>
        <v>0</v>
      </c>
      <c r="I5" s="461">
        <f>tertiair!I16</f>
        <v>0</v>
      </c>
      <c r="J5" s="461">
        <f>tertiair!J16</f>
        <v>0</v>
      </c>
      <c r="K5" s="461">
        <f>tertiair!K16</f>
        <v>0</v>
      </c>
      <c r="L5" s="461">
        <f ca="1">tertiair!L16</f>
        <v>0</v>
      </c>
      <c r="M5" s="461">
        <f>tertiair!M16</f>
        <v>0</v>
      </c>
      <c r="N5" s="461">
        <f ca="1">tertiair!N16</f>
        <v>278.26975801968183</v>
      </c>
      <c r="O5" s="461">
        <f>tertiair!O16</f>
        <v>0</v>
      </c>
      <c r="P5" s="462">
        <f>tertiair!P16</f>
        <v>0</v>
      </c>
      <c r="Q5" s="460">
        <f t="shared" ref="Q5:Q13" ca="1" si="0">SUM(B5:P5)</f>
        <v>14679.906778779681</v>
      </c>
    </row>
    <row r="6" spans="1:17">
      <c r="A6" s="460" t="s">
        <v>195</v>
      </c>
      <c r="B6" s="461">
        <f>'openbare verlichting'!B8</f>
        <v>977.02200000000005</v>
      </c>
      <c r="C6" s="461"/>
      <c r="D6" s="461"/>
      <c r="E6" s="461"/>
      <c r="F6" s="461"/>
      <c r="G6" s="461"/>
      <c r="H6" s="461"/>
      <c r="I6" s="461"/>
      <c r="J6" s="461"/>
      <c r="K6" s="461"/>
      <c r="L6" s="461"/>
      <c r="M6" s="461"/>
      <c r="N6" s="461"/>
      <c r="O6" s="461"/>
      <c r="P6" s="462"/>
      <c r="Q6" s="460">
        <f t="shared" si="0"/>
        <v>977.02200000000005</v>
      </c>
    </row>
    <row r="7" spans="1:17">
      <c r="A7" s="460" t="s">
        <v>112</v>
      </c>
      <c r="B7" s="461">
        <f>landbouw!B8</f>
        <v>435.125</v>
      </c>
      <c r="C7" s="461">
        <f>landbouw!C8</f>
        <v>0</v>
      </c>
      <c r="D7" s="461">
        <f>landbouw!D8</f>
        <v>36.001525999999998</v>
      </c>
      <c r="E7" s="461">
        <f>landbouw!E8</f>
        <v>4.5567232007210166</v>
      </c>
      <c r="F7" s="461">
        <f>landbouw!F8</f>
        <v>2234.8712824593972</v>
      </c>
      <c r="G7" s="461">
        <f>landbouw!G8</f>
        <v>0</v>
      </c>
      <c r="H7" s="461">
        <f>landbouw!H8</f>
        <v>0</v>
      </c>
      <c r="I7" s="461">
        <f>landbouw!I8</f>
        <v>0</v>
      </c>
      <c r="J7" s="461">
        <f>landbouw!J8</f>
        <v>38.860562591909243</v>
      </c>
      <c r="K7" s="461">
        <f>landbouw!K8</f>
        <v>0</v>
      </c>
      <c r="L7" s="461">
        <f>landbouw!L8</f>
        <v>0</v>
      </c>
      <c r="M7" s="461">
        <f>landbouw!M8</f>
        <v>0</v>
      </c>
      <c r="N7" s="461">
        <f>landbouw!N8</f>
        <v>0</v>
      </c>
      <c r="O7" s="461">
        <f>landbouw!O8</f>
        <v>0</v>
      </c>
      <c r="P7" s="462">
        <f>landbouw!P8</f>
        <v>0</v>
      </c>
      <c r="Q7" s="460">
        <f t="shared" si="0"/>
        <v>2749.4150942520278</v>
      </c>
    </row>
    <row r="8" spans="1:17">
      <c r="A8" s="460" t="s">
        <v>656</v>
      </c>
      <c r="B8" s="461">
        <f>industrie!B18</f>
        <v>20077.100999999999</v>
      </c>
      <c r="C8" s="461">
        <f>industrie!C18</f>
        <v>0</v>
      </c>
      <c r="D8" s="461">
        <f>industrie!D18</f>
        <v>15008.582754000001</v>
      </c>
      <c r="E8" s="461">
        <f>industrie!E18</f>
        <v>53.779906492847871</v>
      </c>
      <c r="F8" s="461">
        <f>industrie!F18</f>
        <v>6903.8668480154747</v>
      </c>
      <c r="G8" s="461">
        <f>industrie!G18</f>
        <v>0</v>
      </c>
      <c r="H8" s="461">
        <f>industrie!H18</f>
        <v>0</v>
      </c>
      <c r="I8" s="461">
        <f>industrie!I18</f>
        <v>0</v>
      </c>
      <c r="J8" s="461">
        <f>industrie!J18</f>
        <v>3104.3656646294558</v>
      </c>
      <c r="K8" s="461">
        <f>industrie!K18</f>
        <v>0</v>
      </c>
      <c r="L8" s="461">
        <f>industrie!L18</f>
        <v>0</v>
      </c>
      <c r="M8" s="461">
        <f>industrie!M18</f>
        <v>0</v>
      </c>
      <c r="N8" s="461">
        <f>industrie!N18</f>
        <v>112.15231652762873</v>
      </c>
      <c r="O8" s="461">
        <f>industrie!O18</f>
        <v>0</v>
      </c>
      <c r="P8" s="462">
        <f>industrie!P18</f>
        <v>0</v>
      </c>
      <c r="Q8" s="460">
        <f t="shared" si="0"/>
        <v>45259.848489665404</v>
      </c>
    </row>
    <row r="9" spans="1:17" s="466" customFormat="1">
      <c r="A9" s="464" t="s">
        <v>574</v>
      </c>
      <c r="B9" s="465">
        <f>transport!B14</f>
        <v>0.80255631484301071</v>
      </c>
      <c r="C9" s="465">
        <f>transport!C14</f>
        <v>0</v>
      </c>
      <c r="D9" s="465">
        <f>transport!D14</f>
        <v>4.1566717913838707</v>
      </c>
      <c r="E9" s="465">
        <f>transport!E14</f>
        <v>456.77221638237643</v>
      </c>
      <c r="F9" s="465">
        <f>transport!F14</f>
        <v>0</v>
      </c>
      <c r="G9" s="465">
        <f>transport!G14</f>
        <v>72983.064839587008</v>
      </c>
      <c r="H9" s="465">
        <f>transport!H14</f>
        <v>14054.548272464221</v>
      </c>
      <c r="I9" s="465">
        <f>transport!I14</f>
        <v>0</v>
      </c>
      <c r="J9" s="465">
        <f>transport!J14</f>
        <v>0</v>
      </c>
      <c r="K9" s="465">
        <f>transport!K14</f>
        <v>0</v>
      </c>
      <c r="L9" s="465">
        <f>transport!L14</f>
        <v>0</v>
      </c>
      <c r="M9" s="465">
        <f>transport!M14</f>
        <v>3801.8116020401344</v>
      </c>
      <c r="N9" s="465">
        <f>transport!N14</f>
        <v>0</v>
      </c>
      <c r="O9" s="465">
        <f>transport!O14</f>
        <v>0</v>
      </c>
      <c r="P9" s="465">
        <f>transport!P14</f>
        <v>0</v>
      </c>
      <c r="Q9" s="464">
        <f>SUM(B9:P9)</f>
        <v>91301.156158579965</v>
      </c>
    </row>
    <row r="10" spans="1:17">
      <c r="A10" s="460" t="s">
        <v>564</v>
      </c>
      <c r="B10" s="461">
        <f>transport!B54</f>
        <v>0</v>
      </c>
      <c r="C10" s="461">
        <f>transport!C54</f>
        <v>0</v>
      </c>
      <c r="D10" s="461">
        <f>transport!D54</f>
        <v>0</v>
      </c>
      <c r="E10" s="461">
        <f>transport!E54</f>
        <v>0</v>
      </c>
      <c r="F10" s="461">
        <f>transport!F54</f>
        <v>0</v>
      </c>
      <c r="G10" s="461">
        <f>transport!G54</f>
        <v>1184.784090147873</v>
      </c>
      <c r="H10" s="461">
        <f>transport!H54</f>
        <v>0</v>
      </c>
      <c r="I10" s="461">
        <f>transport!I54</f>
        <v>0</v>
      </c>
      <c r="J10" s="461">
        <f>transport!J54</f>
        <v>0</v>
      </c>
      <c r="K10" s="461">
        <f>transport!K54</f>
        <v>0</v>
      </c>
      <c r="L10" s="461">
        <f>transport!L54</f>
        <v>0</v>
      </c>
      <c r="M10" s="461">
        <f>transport!M54</f>
        <v>50.50219849628747</v>
      </c>
      <c r="N10" s="461">
        <f>transport!N54</f>
        <v>0</v>
      </c>
      <c r="O10" s="461">
        <f>transport!O54</f>
        <v>0</v>
      </c>
      <c r="P10" s="462">
        <f>transport!P54</f>
        <v>0</v>
      </c>
      <c r="Q10" s="460">
        <f t="shared" si="0"/>
        <v>1235.2862886441605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59130.898604786955</v>
      </c>
      <c r="C14" s="471">
        <f t="shared" ref="C14:Q14" ca="1" si="1">SUM(C4:C13)</f>
        <v>0</v>
      </c>
      <c r="D14" s="471">
        <f t="shared" ca="1" si="1"/>
        <v>47374.179481791383</v>
      </c>
      <c r="E14" s="471">
        <f t="shared" si="1"/>
        <v>4865.9927211248441</v>
      </c>
      <c r="F14" s="471">
        <f t="shared" ca="1" si="1"/>
        <v>91014.925345478943</v>
      </c>
      <c r="G14" s="471">
        <f t="shared" si="1"/>
        <v>74167.848929734886</v>
      </c>
      <c r="H14" s="471">
        <f t="shared" si="1"/>
        <v>14054.548272464221</v>
      </c>
      <c r="I14" s="471">
        <f t="shared" si="1"/>
        <v>0</v>
      </c>
      <c r="J14" s="471">
        <f t="shared" si="1"/>
        <v>3771.4506862514427</v>
      </c>
      <c r="K14" s="471">
        <f t="shared" si="1"/>
        <v>0</v>
      </c>
      <c r="L14" s="471">
        <f t="shared" ca="1" si="1"/>
        <v>0</v>
      </c>
      <c r="M14" s="471">
        <f t="shared" si="1"/>
        <v>3852.3138005364217</v>
      </c>
      <c r="N14" s="471">
        <f t="shared" ca="1" si="1"/>
        <v>6990.7771850463032</v>
      </c>
      <c r="O14" s="471">
        <f t="shared" si="1"/>
        <v>31.266666666666666</v>
      </c>
      <c r="P14" s="472">
        <f t="shared" si="1"/>
        <v>838.93333333333339</v>
      </c>
      <c r="Q14" s="472">
        <f t="shared" ca="1" si="1"/>
        <v>306093.13502721541</v>
      </c>
    </row>
    <row r="16" spans="1:17">
      <c r="A16" s="474" t="s">
        <v>569</v>
      </c>
      <c r="B16" s="828">
        <f ca="1">huishoudens!B10</f>
        <v>0.21633344369969096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6434.0333165894417</v>
      </c>
      <c r="C21" s="461">
        <f t="shared" ref="C21:C30" ca="1" si="3">C4*$C$16</f>
        <v>0</v>
      </c>
      <c r="D21" s="461">
        <f t="shared" ref="D21:D30" si="4">D4*$D$16</f>
        <v>5545.9951361320009</v>
      </c>
      <c r="E21" s="461">
        <f t="shared" ref="E21:E30" si="5">E4*$E$16</f>
        <v>951.70082738981409</v>
      </c>
      <c r="F21" s="461">
        <f t="shared" ref="F21:F30" si="6">F4*$F$16</f>
        <v>21467.468961875216</v>
      </c>
      <c r="G21" s="461">
        <f t="shared" ref="G21:G30" si="7">G4*$G$16</f>
        <v>0</v>
      </c>
      <c r="H21" s="461">
        <f t="shared" ref="H21:H30" si="8">H4*$H$16</f>
        <v>0</v>
      </c>
      <c r="I21" s="461">
        <f t="shared" ref="I21:I30" si="9">I4*$I$16</f>
        <v>0</v>
      </c>
      <c r="J21" s="461">
        <f t="shared" ref="J21:J30" si="10">J4*$J$16</f>
        <v>222.39145849664757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34621.58970048312</v>
      </c>
    </row>
    <row r="22" spans="1:17">
      <c r="A22" s="460" t="s">
        <v>156</v>
      </c>
      <c r="B22" s="461">
        <f t="shared" ca="1" si="2"/>
        <v>1708.9409655133238</v>
      </c>
      <c r="C22" s="461">
        <f t="shared" ca="1" si="3"/>
        <v>0</v>
      </c>
      <c r="D22" s="461">
        <f t="shared" ca="1" si="4"/>
        <v>983.74344692800014</v>
      </c>
      <c r="E22" s="461">
        <f t="shared" si="5"/>
        <v>35.949812246286179</v>
      </c>
      <c r="F22" s="461">
        <f t="shared" ca="1" si="6"/>
        <v>393.47302453087383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3122.1072492184835</v>
      </c>
    </row>
    <row r="23" spans="1:17">
      <c r="A23" s="460" t="s">
        <v>195</v>
      </c>
      <c r="B23" s="461">
        <f t="shared" ca="1" si="2"/>
        <v>211.36253383035947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211.36253383035947</v>
      </c>
    </row>
    <row r="24" spans="1:17">
      <c r="A24" s="460" t="s">
        <v>112</v>
      </c>
      <c r="B24" s="461">
        <f t="shared" ca="1" si="2"/>
        <v>94.132089689828035</v>
      </c>
      <c r="C24" s="461">
        <f t="shared" ca="1" si="3"/>
        <v>0</v>
      </c>
      <c r="D24" s="461">
        <f t="shared" si="4"/>
        <v>7.2723082520000002</v>
      </c>
      <c r="E24" s="461">
        <f t="shared" si="5"/>
        <v>1.0343761665636708</v>
      </c>
      <c r="F24" s="461">
        <f t="shared" si="6"/>
        <v>596.71063241665911</v>
      </c>
      <c r="G24" s="461">
        <f t="shared" si="7"/>
        <v>0</v>
      </c>
      <c r="H24" s="461">
        <f t="shared" si="8"/>
        <v>0</v>
      </c>
      <c r="I24" s="461">
        <f t="shared" si="9"/>
        <v>0</v>
      </c>
      <c r="J24" s="461">
        <f t="shared" si="10"/>
        <v>13.756639157535872</v>
      </c>
      <c r="K24" s="461">
        <f t="shared" si="11"/>
        <v>0</v>
      </c>
      <c r="L24" s="461">
        <f t="shared" si="12"/>
        <v>0</v>
      </c>
      <c r="M24" s="461">
        <f t="shared" si="13"/>
        <v>0</v>
      </c>
      <c r="N24" s="461">
        <f t="shared" si="14"/>
        <v>0</v>
      </c>
      <c r="O24" s="461">
        <f t="shared" si="15"/>
        <v>0</v>
      </c>
      <c r="P24" s="462">
        <f t="shared" si="16"/>
        <v>0</v>
      </c>
      <c r="Q24" s="460">
        <f t="shared" ca="1" si="17"/>
        <v>712.90604568258675</v>
      </c>
    </row>
    <row r="25" spans="1:17">
      <c r="A25" s="460" t="s">
        <v>656</v>
      </c>
      <c r="B25" s="461">
        <f t="shared" ca="1" si="2"/>
        <v>4343.3483988365087</v>
      </c>
      <c r="C25" s="461">
        <f t="shared" ca="1" si="3"/>
        <v>0</v>
      </c>
      <c r="D25" s="461">
        <f t="shared" si="4"/>
        <v>3031.7337163080006</v>
      </c>
      <c r="E25" s="461">
        <f t="shared" si="5"/>
        <v>12.208038773876467</v>
      </c>
      <c r="F25" s="461">
        <f t="shared" si="6"/>
        <v>1843.3324484201319</v>
      </c>
      <c r="G25" s="461">
        <f t="shared" si="7"/>
        <v>0</v>
      </c>
      <c r="H25" s="461">
        <f t="shared" si="8"/>
        <v>0</v>
      </c>
      <c r="I25" s="461">
        <f t="shared" si="9"/>
        <v>0</v>
      </c>
      <c r="J25" s="461">
        <f t="shared" si="10"/>
        <v>1098.9454452788273</v>
      </c>
      <c r="K25" s="461">
        <f t="shared" si="11"/>
        <v>0</v>
      </c>
      <c r="L25" s="461">
        <f t="shared" si="12"/>
        <v>0</v>
      </c>
      <c r="M25" s="461">
        <f t="shared" si="13"/>
        <v>0</v>
      </c>
      <c r="N25" s="461">
        <f t="shared" si="14"/>
        <v>0</v>
      </c>
      <c r="O25" s="461">
        <f t="shared" si="15"/>
        <v>0</v>
      </c>
      <c r="P25" s="462">
        <f t="shared" si="16"/>
        <v>0</v>
      </c>
      <c r="Q25" s="460">
        <f t="shared" ca="1" si="17"/>
        <v>10329.568047617344</v>
      </c>
    </row>
    <row r="26" spans="1:17" s="466" customFormat="1">
      <c r="A26" s="464" t="s">
        <v>574</v>
      </c>
      <c r="B26" s="822">
        <f t="shared" ca="1" si="2"/>
        <v>0.17361977135292192</v>
      </c>
      <c r="C26" s="465">
        <f t="shared" ca="1" si="3"/>
        <v>0</v>
      </c>
      <c r="D26" s="465">
        <f t="shared" si="4"/>
        <v>0.83964770185954196</v>
      </c>
      <c r="E26" s="465">
        <f t="shared" si="5"/>
        <v>103.68729311879945</v>
      </c>
      <c r="F26" s="465">
        <f t="shared" si="6"/>
        <v>0</v>
      </c>
      <c r="G26" s="465">
        <f t="shared" si="7"/>
        <v>19486.478312169733</v>
      </c>
      <c r="H26" s="465">
        <f t="shared" si="8"/>
        <v>3499.5825198435909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23090.761392605338</v>
      </c>
    </row>
    <row r="27" spans="1:17">
      <c r="A27" s="460" t="s">
        <v>564</v>
      </c>
      <c r="B27" s="461">
        <f t="shared" ca="1" si="2"/>
        <v>0</v>
      </c>
      <c r="C27" s="461">
        <f t="shared" ca="1" si="3"/>
        <v>0</v>
      </c>
      <c r="D27" s="461">
        <f t="shared" si="4"/>
        <v>0</v>
      </c>
      <c r="E27" s="461">
        <f t="shared" si="5"/>
        <v>0</v>
      </c>
      <c r="F27" s="461">
        <f t="shared" si="6"/>
        <v>0</v>
      </c>
      <c r="G27" s="461">
        <f t="shared" si="7"/>
        <v>316.33735206948211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316.33735206948211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12791.990924230815</v>
      </c>
      <c r="C31" s="471">
        <f t="shared" ca="1" si="18"/>
        <v>0</v>
      </c>
      <c r="D31" s="471">
        <f t="shared" ca="1" si="18"/>
        <v>9569.5842553218608</v>
      </c>
      <c r="E31" s="471">
        <f t="shared" si="18"/>
        <v>1104.5803476953399</v>
      </c>
      <c r="F31" s="471">
        <f t="shared" ca="1" si="18"/>
        <v>24300.985067242884</v>
      </c>
      <c r="G31" s="471">
        <f t="shared" si="18"/>
        <v>19802.815664239213</v>
      </c>
      <c r="H31" s="471">
        <f t="shared" si="18"/>
        <v>3499.5825198435909</v>
      </c>
      <c r="I31" s="471">
        <f t="shared" si="18"/>
        <v>0</v>
      </c>
      <c r="J31" s="471">
        <f t="shared" si="18"/>
        <v>1335.0935429330107</v>
      </c>
      <c r="K31" s="471">
        <f t="shared" si="18"/>
        <v>0</v>
      </c>
      <c r="L31" s="471">
        <f t="shared" ca="1" si="18"/>
        <v>0</v>
      </c>
      <c r="M31" s="471">
        <f t="shared" si="18"/>
        <v>0</v>
      </c>
      <c r="N31" s="471">
        <f t="shared" ca="1" si="18"/>
        <v>0</v>
      </c>
      <c r="O31" s="471">
        <f t="shared" si="18"/>
        <v>0</v>
      </c>
      <c r="P31" s="472">
        <f t="shared" si="18"/>
        <v>0</v>
      </c>
      <c r="Q31" s="472">
        <f t="shared" ca="1" si="18"/>
        <v>72404.632321506724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0.21633344369969096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0.21633344369969096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0.21633344369969096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6456</v>
      </c>
      <c r="C9" s="336">
        <v>7128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3949</v>
      </c>
    </row>
    <row r="15" spans="1:6">
      <c r="A15" s="1194" t="s">
        <v>185</v>
      </c>
      <c r="B15" s="333">
        <v>3</v>
      </c>
    </row>
    <row r="16" spans="1:6">
      <c r="A16" s="1194" t="s">
        <v>6</v>
      </c>
      <c r="B16" s="333">
        <v>127</v>
      </c>
    </row>
    <row r="17" spans="1:6">
      <c r="A17" s="1194" t="s">
        <v>7</v>
      </c>
      <c r="B17" s="333">
        <v>284</v>
      </c>
    </row>
    <row r="18" spans="1:6">
      <c r="A18" s="1194" t="s">
        <v>8</v>
      </c>
      <c r="B18" s="333">
        <v>337</v>
      </c>
    </row>
    <row r="19" spans="1:6">
      <c r="A19" s="1194" t="s">
        <v>9</v>
      </c>
      <c r="B19" s="333">
        <v>284</v>
      </c>
    </row>
    <row r="20" spans="1:6">
      <c r="A20" s="1194" t="s">
        <v>10</v>
      </c>
      <c r="B20" s="333">
        <v>206</v>
      </c>
    </row>
    <row r="21" spans="1:6">
      <c r="A21" s="1194" t="s">
        <v>11</v>
      </c>
      <c r="B21" s="333">
        <v>522</v>
      </c>
    </row>
    <row r="22" spans="1:6">
      <c r="A22" s="1194" t="s">
        <v>12</v>
      </c>
      <c r="B22" s="333">
        <v>1778</v>
      </c>
    </row>
    <row r="23" spans="1:6">
      <c r="A23" s="1194" t="s">
        <v>13</v>
      </c>
      <c r="B23" s="333">
        <v>49</v>
      </c>
    </row>
    <row r="24" spans="1:6">
      <c r="A24" s="1194" t="s">
        <v>14</v>
      </c>
      <c r="B24" s="333">
        <v>4</v>
      </c>
    </row>
    <row r="25" spans="1:6">
      <c r="A25" s="1194" t="s">
        <v>15</v>
      </c>
      <c r="B25" s="333">
        <v>199</v>
      </c>
    </row>
    <row r="26" spans="1:6">
      <c r="A26" s="1194" t="s">
        <v>16</v>
      </c>
      <c r="B26" s="333">
        <v>191</v>
      </c>
    </row>
    <row r="27" spans="1:6">
      <c r="A27" s="1194" t="s">
        <v>17</v>
      </c>
      <c r="B27" s="333">
        <v>4</v>
      </c>
    </row>
    <row r="28" spans="1:6">
      <c r="A28" s="1194" t="s">
        <v>18</v>
      </c>
      <c r="B28" s="333">
        <v>10900</v>
      </c>
    </row>
    <row r="29" spans="1:6">
      <c r="A29" s="1194" t="s">
        <v>888</v>
      </c>
      <c r="B29" s="333">
        <v>37</v>
      </c>
    </row>
    <row r="30" spans="1:6">
      <c r="A30" s="1190" t="s">
        <v>889</v>
      </c>
      <c r="B30" s="1190">
        <v>12</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16487</v>
      </c>
    </row>
    <row r="39" spans="1:6">
      <c r="A39" s="1194" t="s">
        <v>30</v>
      </c>
      <c r="B39" s="1194" t="s">
        <v>31</v>
      </c>
      <c r="C39" s="333">
        <v>1731</v>
      </c>
      <c r="D39" s="333">
        <v>30438383</v>
      </c>
      <c r="E39" s="333">
        <v>6712</v>
      </c>
      <c r="F39" s="333">
        <v>28557325</v>
      </c>
    </row>
    <row r="40" spans="1:6">
      <c r="A40" s="1194" t="s">
        <v>30</v>
      </c>
      <c r="B40" s="1194" t="s">
        <v>29</v>
      </c>
      <c r="C40" s="333">
        <v>0</v>
      </c>
      <c r="D40" s="333">
        <v>0</v>
      </c>
      <c r="E40" s="333">
        <v>0</v>
      </c>
      <c r="F40" s="333">
        <v>0</v>
      </c>
    </row>
    <row r="41" spans="1:6">
      <c r="A41" s="1194" t="s">
        <v>32</v>
      </c>
      <c r="B41" s="1194" t="s">
        <v>33</v>
      </c>
      <c r="C41" s="333">
        <v>9</v>
      </c>
      <c r="D41" s="333">
        <v>224075</v>
      </c>
      <c r="E41" s="333">
        <v>47</v>
      </c>
      <c r="F41" s="333">
        <v>919603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127053</v>
      </c>
      <c r="E44" s="333">
        <v>9</v>
      </c>
      <c r="F44" s="333">
        <v>175565</v>
      </c>
    </row>
    <row r="45" spans="1:6">
      <c r="A45" s="1194" t="s">
        <v>32</v>
      </c>
      <c r="B45" s="1194" t="s">
        <v>37</v>
      </c>
      <c r="C45" s="333">
        <v>0</v>
      </c>
      <c r="D45" s="333">
        <v>0</v>
      </c>
      <c r="E45" s="333">
        <v>3</v>
      </c>
      <c r="F45" s="333">
        <v>11869</v>
      </c>
    </row>
    <row r="46" spans="1:6">
      <c r="A46" s="1194" t="s">
        <v>32</v>
      </c>
      <c r="B46" s="1194" t="s">
        <v>38</v>
      </c>
      <c r="C46" s="333">
        <v>0</v>
      </c>
      <c r="D46" s="333">
        <v>0</v>
      </c>
      <c r="E46" s="333">
        <v>3</v>
      </c>
      <c r="F46" s="333">
        <v>16433444</v>
      </c>
    </row>
    <row r="47" spans="1:6">
      <c r="A47" s="1194" t="s">
        <v>32</v>
      </c>
      <c r="B47" s="1194" t="s">
        <v>39</v>
      </c>
      <c r="C47" s="333">
        <v>0</v>
      </c>
      <c r="D47" s="333">
        <v>0</v>
      </c>
      <c r="E47" s="333">
        <v>0</v>
      </c>
      <c r="F47" s="333">
        <v>0</v>
      </c>
    </row>
    <row r="48" spans="1:6">
      <c r="A48" s="1194" t="s">
        <v>32</v>
      </c>
      <c r="B48" s="1194" t="s">
        <v>29</v>
      </c>
      <c r="C48" s="333">
        <v>5</v>
      </c>
      <c r="D48" s="333">
        <v>16288099</v>
      </c>
      <c r="E48" s="333">
        <v>3</v>
      </c>
      <c r="F48" s="333">
        <v>1849972</v>
      </c>
    </row>
    <row r="49" spans="1:6">
      <c r="A49" s="1194" t="s">
        <v>32</v>
      </c>
      <c r="B49" s="1194" t="s">
        <v>40</v>
      </c>
      <c r="C49" s="333">
        <v>0</v>
      </c>
      <c r="D49" s="333">
        <v>0</v>
      </c>
      <c r="E49" s="333">
        <v>0</v>
      </c>
      <c r="F49" s="333">
        <v>0</v>
      </c>
    </row>
    <row r="50" spans="1:6">
      <c r="A50" s="1194" t="s">
        <v>32</v>
      </c>
      <c r="B50" s="1194" t="s">
        <v>41</v>
      </c>
      <c r="C50" s="333">
        <v>0</v>
      </c>
      <c r="D50" s="333">
        <v>0</v>
      </c>
      <c r="E50" s="333">
        <v>9</v>
      </c>
      <c r="F50" s="333">
        <v>686648</v>
      </c>
    </row>
    <row r="51" spans="1:6">
      <c r="A51" s="1194" t="s">
        <v>42</v>
      </c>
      <c r="B51" s="1194" t="s">
        <v>43</v>
      </c>
      <c r="C51" s="333">
        <v>0</v>
      </c>
      <c r="D51" s="333">
        <v>0</v>
      </c>
      <c r="E51" s="333">
        <v>48</v>
      </c>
      <c r="F51" s="333">
        <v>435125</v>
      </c>
    </row>
    <row r="52" spans="1:6">
      <c r="A52" s="1194" t="s">
        <v>42</v>
      </c>
      <c r="B52" s="1194" t="s">
        <v>29</v>
      </c>
      <c r="C52" s="333">
        <v>2</v>
      </c>
      <c r="D52" s="333">
        <v>39913</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v>
      </c>
      <c r="F54" s="333">
        <v>977022</v>
      </c>
    </row>
    <row r="55" spans="1:6">
      <c r="A55" s="1194" t="s">
        <v>46</v>
      </c>
      <c r="B55" s="1194" t="s">
        <v>29</v>
      </c>
      <c r="C55" s="333">
        <v>0</v>
      </c>
      <c r="D55" s="333">
        <v>0</v>
      </c>
      <c r="E55" s="333">
        <v>0</v>
      </c>
      <c r="F55" s="333">
        <v>0</v>
      </c>
    </row>
    <row r="56" spans="1:6">
      <c r="A56" s="1194" t="s">
        <v>48</v>
      </c>
      <c r="B56" s="1194" t="s">
        <v>29</v>
      </c>
      <c r="C56" s="333">
        <v>8</v>
      </c>
      <c r="D56" s="333">
        <v>402368</v>
      </c>
      <c r="E56" s="333">
        <v>179</v>
      </c>
      <c r="F56" s="333">
        <v>3349806</v>
      </c>
    </row>
    <row r="57" spans="1:6">
      <c r="A57" s="1194" t="s">
        <v>49</v>
      </c>
      <c r="B57" s="1194" t="s">
        <v>50</v>
      </c>
      <c r="C57" s="333">
        <v>6</v>
      </c>
      <c r="D57" s="333">
        <v>174716</v>
      </c>
      <c r="E57" s="333">
        <v>43</v>
      </c>
      <c r="F57" s="333">
        <v>1127485</v>
      </c>
    </row>
    <row r="58" spans="1:6">
      <c r="A58" s="1194" t="s">
        <v>49</v>
      </c>
      <c r="B58" s="1194" t="s">
        <v>51</v>
      </c>
      <c r="C58" s="333">
        <v>6</v>
      </c>
      <c r="D58" s="333">
        <v>680052</v>
      </c>
      <c r="E58" s="333">
        <v>21</v>
      </c>
      <c r="F58" s="333">
        <v>329802</v>
      </c>
    </row>
    <row r="59" spans="1:6">
      <c r="A59" s="1194" t="s">
        <v>49</v>
      </c>
      <c r="B59" s="1194" t="s">
        <v>52</v>
      </c>
      <c r="C59" s="333">
        <v>36</v>
      </c>
      <c r="D59" s="333">
        <v>1840137</v>
      </c>
      <c r="E59" s="333">
        <v>104</v>
      </c>
      <c r="F59" s="333">
        <v>3248990</v>
      </c>
    </row>
    <row r="60" spans="1:6">
      <c r="A60" s="1194" t="s">
        <v>49</v>
      </c>
      <c r="B60" s="1194" t="s">
        <v>53</v>
      </c>
      <c r="C60" s="333">
        <v>20</v>
      </c>
      <c r="D60" s="333">
        <v>1134926</v>
      </c>
      <c r="E60" s="333">
        <v>55</v>
      </c>
      <c r="F60" s="333">
        <v>1291323</v>
      </c>
    </row>
    <row r="61" spans="1:6">
      <c r="A61" s="1194" t="s">
        <v>49</v>
      </c>
      <c r="B61" s="1194" t="s">
        <v>54</v>
      </c>
      <c r="C61" s="333">
        <v>32</v>
      </c>
      <c r="D61" s="333">
        <v>1493505</v>
      </c>
      <c r="E61" s="333">
        <v>107</v>
      </c>
      <c r="F61" s="333">
        <v>1763401</v>
      </c>
    </row>
    <row r="62" spans="1:6">
      <c r="A62" s="1194" t="s">
        <v>49</v>
      </c>
      <c r="B62" s="1194" t="s">
        <v>55</v>
      </c>
      <c r="C62" s="333">
        <v>0</v>
      </c>
      <c r="D62" s="333">
        <v>0</v>
      </c>
      <c r="E62" s="333">
        <v>4</v>
      </c>
      <c r="F62" s="333">
        <v>138568</v>
      </c>
    </row>
    <row r="63" spans="1:6">
      <c r="A63" s="1194" t="s">
        <v>49</v>
      </c>
      <c r="B63" s="1194" t="s">
        <v>29</v>
      </c>
      <c r="C63" s="333">
        <v>2</v>
      </c>
      <c r="D63" s="333">
        <v>75796</v>
      </c>
      <c r="E63" s="333">
        <v>0</v>
      </c>
      <c r="F63" s="333">
        <v>0</v>
      </c>
    </row>
    <row r="64" spans="1:6">
      <c r="A64" s="1194" t="s">
        <v>56</v>
      </c>
      <c r="B64" s="1194" t="s">
        <v>57</v>
      </c>
      <c r="C64" s="333">
        <v>0</v>
      </c>
      <c r="D64" s="333">
        <v>0</v>
      </c>
      <c r="E64" s="333">
        <v>0</v>
      </c>
      <c r="F64" s="333">
        <v>0</v>
      </c>
    </row>
    <row r="65" spans="1:6">
      <c r="A65" s="1194" t="s">
        <v>56</v>
      </c>
      <c r="B65" s="1194" t="s">
        <v>29</v>
      </c>
      <c r="C65" s="333">
        <v>1</v>
      </c>
      <c r="D65" s="333">
        <v>198625</v>
      </c>
      <c r="E65" s="333">
        <v>1</v>
      </c>
      <c r="F65" s="333">
        <v>12839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30663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36702651</v>
      </c>
      <c r="E73" s="333">
        <v>37727745.743849039</v>
      </c>
      <c r="F73" s="333">
        <v>36701907</v>
      </c>
    </row>
    <row r="74" spans="1:6">
      <c r="A74" s="1194" t="s">
        <v>64</v>
      </c>
      <c r="B74" s="1194" t="s">
        <v>775</v>
      </c>
      <c r="C74" s="1205" t="s">
        <v>776</v>
      </c>
      <c r="D74" s="333">
        <v>1951449.9608608475</v>
      </c>
      <c r="E74" s="333">
        <v>2085892.1139631274</v>
      </c>
      <c r="F74" s="333">
        <v>2015338.3810650664</v>
      </c>
    </row>
    <row r="75" spans="1:6">
      <c r="A75" s="1194" t="s">
        <v>65</v>
      </c>
      <c r="B75" s="1194" t="s">
        <v>773</v>
      </c>
      <c r="C75" s="1205" t="s">
        <v>777</v>
      </c>
      <c r="D75" s="333">
        <v>23678551</v>
      </c>
      <c r="E75" s="333">
        <v>24285699.965346124</v>
      </c>
      <c r="F75" s="333">
        <v>23658245</v>
      </c>
    </row>
    <row r="76" spans="1:6">
      <c r="A76" s="1194" t="s">
        <v>65</v>
      </c>
      <c r="B76" s="1194" t="s">
        <v>775</v>
      </c>
      <c r="C76" s="1205" t="s">
        <v>778</v>
      </c>
      <c r="D76" s="333">
        <v>408065.96086084744</v>
      </c>
      <c r="E76" s="333">
        <v>449209.73450961278</v>
      </c>
      <c r="F76" s="333">
        <v>432836.38106506632</v>
      </c>
    </row>
    <row r="77" spans="1:6">
      <c r="A77" s="1194" t="s">
        <v>66</v>
      </c>
      <c r="B77" s="1194" t="s">
        <v>773</v>
      </c>
      <c r="C77" s="1205" t="s">
        <v>779</v>
      </c>
      <c r="D77" s="333">
        <v>40139022</v>
      </c>
      <c r="E77" s="333">
        <v>43614104.339726254</v>
      </c>
      <c r="F77" s="333">
        <v>41230633</v>
      </c>
    </row>
    <row r="78" spans="1:6">
      <c r="A78" s="1190" t="s">
        <v>66</v>
      </c>
      <c r="B78" s="1190" t="s">
        <v>775</v>
      </c>
      <c r="C78" s="1190" t="s">
        <v>780</v>
      </c>
      <c r="D78" s="1190">
        <v>5182783</v>
      </c>
      <c r="E78" s="1190">
        <v>5531609.7675319659</v>
      </c>
      <c r="F78" s="336">
        <v>5315856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324836.07827830513</v>
      </c>
      <c r="C83" s="333">
        <v>298971.42347102269</v>
      </c>
      <c r="D83" s="333">
        <v>300769.2378698673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1183.9540484721192</v>
      </c>
    </row>
    <row r="92" spans="1:6">
      <c r="A92" s="1190" t="s">
        <v>69</v>
      </c>
      <c r="B92" s="336">
        <v>64.63268196726446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430</v>
      </c>
    </row>
    <row r="98" spans="1:6">
      <c r="A98" s="1194" t="s">
        <v>72</v>
      </c>
      <c r="B98" s="333">
        <v>3</v>
      </c>
    </row>
    <row r="99" spans="1:6">
      <c r="A99" s="1194" t="s">
        <v>73</v>
      </c>
      <c r="B99" s="333">
        <v>68</v>
      </c>
    </row>
    <row r="100" spans="1:6">
      <c r="A100" s="1194" t="s">
        <v>74</v>
      </c>
      <c r="B100" s="333">
        <v>273</v>
      </c>
    </row>
    <row r="101" spans="1:6">
      <c r="A101" s="1194" t="s">
        <v>75</v>
      </c>
      <c r="B101" s="333">
        <v>37</v>
      </c>
    </row>
    <row r="102" spans="1:6">
      <c r="A102" s="1194" t="s">
        <v>76</v>
      </c>
      <c r="B102" s="333">
        <v>74</v>
      </c>
    </row>
    <row r="103" spans="1:6">
      <c r="A103" s="1194" t="s">
        <v>77</v>
      </c>
      <c r="B103" s="333">
        <v>152</v>
      </c>
    </row>
    <row r="104" spans="1:6">
      <c r="A104" s="1194" t="s">
        <v>78</v>
      </c>
      <c r="B104" s="333">
        <v>4697</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38</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v>
      </c>
    </row>
    <row r="130" spans="1:6">
      <c r="A130" s="1194" t="s">
        <v>296</v>
      </c>
      <c r="B130" s="333">
        <v>0</v>
      </c>
    </row>
    <row r="131" spans="1:6">
      <c r="A131" s="1194" t="s">
        <v>297</v>
      </c>
      <c r="B131" s="333">
        <v>0</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59130.898604786955</v>
      </c>
      <c r="C3" s="43" t="s">
        <v>171</v>
      </c>
      <c r="D3" s="43"/>
      <c r="E3" s="156"/>
      <c r="F3" s="43"/>
      <c r="G3" s="43"/>
      <c r="H3" s="43"/>
      <c r="I3" s="43"/>
      <c r="J3" s="43"/>
      <c r="K3" s="96"/>
    </row>
    <row r="4" spans="1:11">
      <c r="A4" s="364" t="s">
        <v>172</v>
      </c>
      <c r="B4" s="49">
        <f>IF(ISERROR('SEAP template'!B69),0,'SEAP template'!B69)</f>
        <v>1248.5867304393837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0.21633344369969096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977.02200000000005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977.02200000000005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0.21633344369969096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211.36253383035947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28557.325000000001</v>
      </c>
      <c r="C5" s="17">
        <f>IF(ISERROR('Eigen informatie GS &amp; warmtenet'!B57),0,'Eigen informatie GS &amp; warmtenet'!B57)</f>
        <v>0</v>
      </c>
      <c r="D5" s="30">
        <f>(SUM(HH_hh_gas_kWh,HH_rest_gas_kWh)/1000)*0.902</f>
        <v>27455.421466000003</v>
      </c>
      <c r="E5" s="17">
        <f>B46*B57</f>
        <v>4192.5146581049075</v>
      </c>
      <c r="F5" s="17">
        <f>B51*B62</f>
        <v>80402.505475188067</v>
      </c>
      <c r="G5" s="18"/>
      <c r="H5" s="17"/>
      <c r="I5" s="17"/>
      <c r="J5" s="17">
        <f>B50*B61+C50*C61</f>
        <v>628.22445903007792</v>
      </c>
      <c r="K5" s="17"/>
      <c r="L5" s="17"/>
      <c r="M5" s="17"/>
      <c r="N5" s="17">
        <f>B48*B59+C48*C59</f>
        <v>6600.3551104989929</v>
      </c>
      <c r="O5" s="17">
        <f>B69*B70*B71</f>
        <v>31.266666666666666</v>
      </c>
      <c r="P5" s="17">
        <f>B77*B78*B79/1000-B77*B78*B79/1000/B80</f>
        <v>838.93333333333339</v>
      </c>
    </row>
    <row r="6" spans="1:16">
      <c r="A6" s="16" t="s">
        <v>633</v>
      </c>
      <c r="B6" s="830">
        <f>kWh_PV_kleiner_dan_10kW</f>
        <v>1183.9540484721192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29741.279048472119</v>
      </c>
      <c r="C8" s="21">
        <f>C5</f>
        <v>0</v>
      </c>
      <c r="D8" s="21">
        <f>D5</f>
        <v>27455.421466000003</v>
      </c>
      <c r="E8" s="21">
        <f>E5</f>
        <v>4192.5146581049075</v>
      </c>
      <c r="F8" s="21">
        <f>F5</f>
        <v>80402.505475188067</v>
      </c>
      <c r="G8" s="21"/>
      <c r="H8" s="21"/>
      <c r="I8" s="21"/>
      <c r="J8" s="21">
        <f>J5</f>
        <v>628.22445903007792</v>
      </c>
      <c r="K8" s="21"/>
      <c r="L8" s="21">
        <f>L5</f>
        <v>0</v>
      </c>
      <c r="M8" s="21">
        <f>M5</f>
        <v>0</v>
      </c>
      <c r="N8" s="21">
        <f>N5</f>
        <v>6600.3551104989929</v>
      </c>
      <c r="O8" s="21">
        <f>O5</f>
        <v>31.266666666666666</v>
      </c>
      <c r="P8" s="21">
        <f>P5</f>
        <v>838.93333333333339</v>
      </c>
    </row>
    <row r="9" spans="1:16">
      <c r="B9" s="19"/>
      <c r="C9" s="19"/>
      <c r="D9" s="260"/>
      <c r="E9" s="19"/>
      <c r="F9" s="19"/>
      <c r="G9" s="19"/>
      <c r="H9" s="19"/>
      <c r="I9" s="19"/>
      <c r="J9" s="19"/>
      <c r="K9" s="19"/>
      <c r="L9" s="19"/>
      <c r="M9" s="19"/>
      <c r="N9" s="19"/>
      <c r="O9" s="19"/>
      <c r="P9" s="19"/>
    </row>
    <row r="10" spans="1:16">
      <c r="A10" s="24" t="s">
        <v>215</v>
      </c>
      <c r="B10" s="25">
        <f ca="1">'EF ele_warmte'!B12</f>
        <v>0.21633344369969096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6434.0333165894417</v>
      </c>
      <c r="C12" s="23">
        <f ca="1">C10*C8</f>
        <v>0</v>
      </c>
      <c r="D12" s="23">
        <f>D8*D10</f>
        <v>5545.9951361320009</v>
      </c>
      <c r="E12" s="23">
        <f>E10*E8</f>
        <v>951.70082738981409</v>
      </c>
      <c r="F12" s="23">
        <f>F10*F8</f>
        <v>21467.468961875216</v>
      </c>
      <c r="G12" s="23"/>
      <c r="H12" s="23"/>
      <c r="I12" s="23"/>
      <c r="J12" s="23">
        <f>J10*J8</f>
        <v>222.39145849664757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430</v>
      </c>
      <c r="C18" s="167" t="s">
        <v>111</v>
      </c>
      <c r="D18" s="229"/>
      <c r="E18" s="15"/>
    </row>
    <row r="19" spans="1:7">
      <c r="A19" s="172" t="s">
        <v>72</v>
      </c>
      <c r="B19" s="37">
        <f>aantalw2001_ander</f>
        <v>3</v>
      </c>
      <c r="C19" s="167" t="s">
        <v>111</v>
      </c>
      <c r="D19" s="230"/>
      <c r="E19" s="15"/>
    </row>
    <row r="20" spans="1:7">
      <c r="A20" s="172" t="s">
        <v>73</v>
      </c>
      <c r="B20" s="37">
        <f>aantalw2001_propaan</f>
        <v>68</v>
      </c>
      <c r="C20" s="168">
        <f>IF(ISERROR(B20/SUM($B$20,$B$21,$B$22)*100),0,B20/SUM($B$20,$B$21,$B$22)*100)</f>
        <v>17.989417989417987</v>
      </c>
      <c r="D20" s="230"/>
      <c r="E20" s="15"/>
    </row>
    <row r="21" spans="1:7">
      <c r="A21" s="172" t="s">
        <v>74</v>
      </c>
      <c r="B21" s="37">
        <f>aantalw2001_elektriciteit</f>
        <v>273</v>
      </c>
      <c r="C21" s="168">
        <f>IF(ISERROR(B21/SUM($B$20,$B$21,$B$22)*100),0,B21/SUM($B$20,$B$21,$B$22)*100)</f>
        <v>72.222222222222214</v>
      </c>
      <c r="D21" s="230"/>
      <c r="E21" s="15"/>
    </row>
    <row r="22" spans="1:7">
      <c r="A22" s="172" t="s">
        <v>75</v>
      </c>
      <c r="B22" s="37">
        <f>aantalw2001_hout</f>
        <v>37</v>
      </c>
      <c r="C22" s="168">
        <f>IF(ISERROR(B22/SUM($B$20,$B$21,$B$22)*100),0,B22/SUM($B$20,$B$21,$B$22)*100)</f>
        <v>9.7883597883597879</v>
      </c>
      <c r="D22" s="230"/>
      <c r="E22" s="15"/>
    </row>
    <row r="23" spans="1:7">
      <c r="A23" s="172" t="s">
        <v>76</v>
      </c>
      <c r="B23" s="37">
        <f>aantalw2001_niet_gespec</f>
        <v>74</v>
      </c>
      <c r="C23" s="167" t="s">
        <v>111</v>
      </c>
      <c r="D23" s="229"/>
      <c r="E23" s="15"/>
    </row>
    <row r="24" spans="1:7">
      <c r="A24" s="172" t="s">
        <v>77</v>
      </c>
      <c r="B24" s="37">
        <f>aantalw2001_steenkool</f>
        <v>152</v>
      </c>
      <c r="C24" s="167" t="s">
        <v>111</v>
      </c>
      <c r="D24" s="230"/>
      <c r="E24" s="15"/>
    </row>
    <row r="25" spans="1:7">
      <c r="A25" s="172" t="s">
        <v>78</v>
      </c>
      <c r="B25" s="37">
        <f>aantalw2001_stookolie</f>
        <v>4697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6456</v>
      </c>
      <c r="C28" s="36"/>
      <c r="D28" s="229"/>
    </row>
    <row r="29" spans="1:7" s="15" customFormat="1">
      <c r="A29" s="231" t="s">
        <v>714</v>
      </c>
      <c r="B29" s="37">
        <f>SUM(HH_hh_gas_aantal,HH_rest_gas_aantal)</f>
        <v>1731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1731</v>
      </c>
      <c r="C32" s="168">
        <f>IF(ISERROR(B32/SUM($B$32,$B$34,$B$35,$B$36,$B$38,$B$39)*100),0,B32/SUM($B$32,$B$34,$B$35,$B$36,$B$38,$B$39)*100)</f>
        <v>26.996257018091079</v>
      </c>
      <c r="D32" s="234"/>
      <c r="G32" s="15"/>
    </row>
    <row r="33" spans="1:7">
      <c r="A33" s="172" t="s">
        <v>72</v>
      </c>
      <c r="B33" s="34" t="s">
        <v>111</v>
      </c>
      <c r="C33" s="168"/>
      <c r="D33" s="234"/>
      <c r="G33" s="15"/>
    </row>
    <row r="34" spans="1:7">
      <c r="A34" s="172" t="s">
        <v>73</v>
      </c>
      <c r="B34" s="33">
        <f>IF((($B$28-$B$32-$B$39-$B$77-$B$38)*C20/100)&lt;0,0,($B$28-$B$32-$B$39-$B$77-$B$38)*C20/100)</f>
        <v>203.82010582010579</v>
      </c>
      <c r="C34" s="168">
        <f>IF(ISERROR(B34/SUM($B$32,$B$34,$B$35,$B$36,$B$38,$B$39)*100),0,B34/SUM($B$32,$B$34,$B$35,$B$36,$B$38,$B$39)*100)</f>
        <v>3.1787290364957235</v>
      </c>
      <c r="D34" s="234"/>
      <c r="G34" s="15"/>
    </row>
    <row r="35" spans="1:7">
      <c r="A35" s="172" t="s">
        <v>74</v>
      </c>
      <c r="B35" s="33">
        <f>IF((($B$28-$B$32-$B$39-$B$77-$B$38)*C21/100)&lt;0,0,($B$28-$B$32-$B$39-$B$77-$B$38)*C21/100)</f>
        <v>818.27777777777771</v>
      </c>
      <c r="C35" s="168">
        <f>IF(ISERROR(B35/SUM($B$32,$B$34,$B$35,$B$36,$B$38,$B$39)*100),0,B35/SUM($B$32,$B$34,$B$35,$B$36,$B$38,$B$39)*100)</f>
        <v>12.761662161225479</v>
      </c>
      <c r="D35" s="234"/>
      <c r="G35" s="15"/>
    </row>
    <row r="36" spans="1:7">
      <c r="A36" s="172" t="s">
        <v>75</v>
      </c>
      <c r="B36" s="33">
        <f>IF((($B$28-$B$32-$B$39-$B$77-$B$38)*C22/100)&lt;0,0,($B$28-$B$32-$B$39-$B$77-$B$38)*C22/100)</f>
        <v>110.90211640211639</v>
      </c>
      <c r="C36" s="168">
        <f>IF(ISERROR(B36/SUM($B$32,$B$34,$B$35,$B$36,$B$38,$B$39)*100),0,B36/SUM($B$32,$B$34,$B$35,$B$36,$B$38,$B$39)*100)</f>
        <v>1.7296025639756143</v>
      </c>
      <c r="D36" s="234"/>
      <c r="G36" s="15"/>
    </row>
    <row r="37" spans="1:7">
      <c r="A37" s="172" t="s">
        <v>76</v>
      </c>
      <c r="B37" s="34" t="s">
        <v>111</v>
      </c>
      <c r="C37" s="168"/>
      <c r="D37" s="174"/>
      <c r="G37" s="15"/>
    </row>
    <row r="38" spans="1:7">
      <c r="A38" s="172" t="s">
        <v>77</v>
      </c>
      <c r="B38" s="33">
        <f>IF((B24-(B29-B18)*0.1)&lt;0,0,B24-(B29-B18)*0.1)</f>
        <v>21.900000000000006</v>
      </c>
      <c r="C38" s="168">
        <f>IF(ISERROR(B38/SUM($B$32,$B$34,$B$35,$B$36,$B$38,$B$39)*100),0,B38/SUM($B$32,$B$34,$B$35,$B$36,$B$38,$B$39)*100)</f>
        <v>0.34154709918902065</v>
      </c>
      <c r="D38" s="235"/>
      <c r="G38" s="15"/>
    </row>
    <row r="39" spans="1:7">
      <c r="A39" s="172" t="s">
        <v>78</v>
      </c>
      <c r="B39" s="33">
        <f>IF((B25-(B29-B18))&lt;0,0,B25-(B29-B18)*0.9)</f>
        <v>3526.1</v>
      </c>
      <c r="C39" s="168">
        <f>IF(ISERROR(B39/SUM($B$32,$B$34,$B$35,$B$36,$B$38,$B$39)*100),0,B39/SUM($B$32,$B$34,$B$35,$B$36,$B$38,$B$39)*100)</f>
        <v>54.992202121023084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1731</v>
      </c>
      <c r="C44" s="34" t="s">
        <v>111</v>
      </c>
      <c r="D44" s="175"/>
    </row>
    <row r="45" spans="1:7">
      <c r="A45" s="172" t="s">
        <v>72</v>
      </c>
      <c r="B45" s="33" t="str">
        <f t="shared" si="0"/>
        <v>-</v>
      </c>
      <c r="C45" s="34" t="s">
        <v>111</v>
      </c>
      <c r="D45" s="175"/>
    </row>
    <row r="46" spans="1:7">
      <c r="A46" s="172" t="s">
        <v>73</v>
      </c>
      <c r="B46" s="33">
        <f t="shared" si="0"/>
        <v>203.82010582010579</v>
      </c>
      <c r="C46" s="34" t="s">
        <v>111</v>
      </c>
      <c r="D46" s="175"/>
    </row>
    <row r="47" spans="1:7">
      <c r="A47" s="172" t="s">
        <v>74</v>
      </c>
      <c r="B47" s="33">
        <f t="shared" si="0"/>
        <v>818.27777777777771</v>
      </c>
      <c r="C47" s="34" t="s">
        <v>111</v>
      </c>
      <c r="D47" s="175"/>
    </row>
    <row r="48" spans="1:7">
      <c r="A48" s="172" t="s">
        <v>75</v>
      </c>
      <c r="B48" s="33">
        <f t="shared" si="0"/>
        <v>110.90211640211639</v>
      </c>
      <c r="C48" s="33">
        <f>B48*10</f>
        <v>1109.0211640211639</v>
      </c>
      <c r="D48" s="235"/>
    </row>
    <row r="49" spans="1:6">
      <c r="A49" s="172" t="s">
        <v>76</v>
      </c>
      <c r="B49" s="33" t="str">
        <f t="shared" si="0"/>
        <v>-</v>
      </c>
      <c r="C49" s="34" t="s">
        <v>111</v>
      </c>
      <c r="D49" s="235"/>
    </row>
    <row r="50" spans="1:6">
      <c r="A50" s="172" t="s">
        <v>77</v>
      </c>
      <c r="B50" s="33">
        <f t="shared" si="0"/>
        <v>21.900000000000006</v>
      </c>
      <c r="C50" s="33">
        <f>B50*2</f>
        <v>43.800000000000011</v>
      </c>
      <c r="D50" s="235"/>
    </row>
    <row r="51" spans="1:6">
      <c r="A51" s="172" t="s">
        <v>78</v>
      </c>
      <c r="B51" s="33">
        <f t="shared" si="0"/>
        <v>3526.1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7899.5689999999995</v>
      </c>
      <c r="C5" s="17">
        <f>IF(ISERROR('Eigen informatie GS &amp; warmtenet'!B58),0,'Eigen informatie GS &amp; warmtenet'!B58)</f>
        <v>0</v>
      </c>
      <c r="D5" s="30">
        <f>SUM(D6:D12)</f>
        <v>4870.0170640000006</v>
      </c>
      <c r="E5" s="17">
        <f>SUM(E6:E12)</f>
        <v>158.36921694399197</v>
      </c>
      <c r="F5" s="17">
        <f>SUM(F6:F12)</f>
        <v>1473.6817398160067</v>
      </c>
      <c r="G5" s="18"/>
      <c r="H5" s="17"/>
      <c r="I5" s="17"/>
      <c r="J5" s="17">
        <f>SUM(J6:J12)</f>
        <v>0</v>
      </c>
      <c r="K5" s="17"/>
      <c r="L5" s="17"/>
      <c r="M5" s="17"/>
      <c r="N5" s="17">
        <f>SUM(N6:N12)</f>
        <v>278.26975801968183</v>
      </c>
      <c r="O5" s="17">
        <f>B38*B39*B40</f>
        <v>0</v>
      </c>
      <c r="P5" s="17">
        <f>B46*B47*B48/1000-B46*B47*B48/1000/B49</f>
        <v>0</v>
      </c>
      <c r="R5" s="32"/>
    </row>
    <row r="6" spans="1:18">
      <c r="A6" s="32" t="s">
        <v>54</v>
      </c>
      <c r="B6" s="37">
        <f>B26</f>
        <v>1763.4010000000001</v>
      </c>
      <c r="C6" s="33"/>
      <c r="D6" s="37">
        <f>IF(ISERROR(TER_kantoor_gas_kWh/1000),0,TER_kantoor_gas_kWh/1000)*0.902</f>
        <v>1347.1415100000002</v>
      </c>
      <c r="E6" s="33">
        <f>$C$26*'E Balans VL '!I12/100/3.6*1000000</f>
        <v>61.725971772750334</v>
      </c>
      <c r="F6" s="33">
        <f>$C$26*('E Balans VL '!L12+'E Balans VL '!N12)/100/3.6*1000000</f>
        <v>267.36945144847749</v>
      </c>
      <c r="G6" s="34"/>
      <c r="H6" s="33"/>
      <c r="I6" s="33"/>
      <c r="J6" s="33">
        <f>$C$26*('E Balans VL '!D12+'E Balans VL '!E12)/100/3.6*1000000</f>
        <v>0</v>
      </c>
      <c r="K6" s="33"/>
      <c r="L6" s="33"/>
      <c r="M6" s="33"/>
      <c r="N6" s="33">
        <f>$C$26*'E Balans VL '!Y12/100/3.6*1000000</f>
        <v>13.630537800676779</v>
      </c>
      <c r="O6" s="33"/>
      <c r="P6" s="33"/>
      <c r="R6" s="32"/>
    </row>
    <row r="7" spans="1:18">
      <c r="A7" s="32" t="s">
        <v>53</v>
      </c>
      <c r="B7" s="37">
        <f t="shared" ref="B7:B12" si="0">B27</f>
        <v>1291.3230000000001</v>
      </c>
      <c r="C7" s="33"/>
      <c r="D7" s="37">
        <f>IF(ISERROR(TER_horeca_gas_kWh/1000),0,TER_horeca_gas_kWh/1000)*0.902</f>
        <v>1023.703252</v>
      </c>
      <c r="E7" s="33">
        <f>$C$27*'E Balans VL '!I9/100/3.6*1000000</f>
        <v>72.84778761419561</v>
      </c>
      <c r="F7" s="33">
        <f>$C$27*('E Balans VL '!L9+'E Balans VL '!N9)/100/3.6*1000000</f>
        <v>224.95561287323588</v>
      </c>
      <c r="G7" s="34"/>
      <c r="H7" s="33"/>
      <c r="I7" s="33"/>
      <c r="J7" s="33">
        <f>$C$27*('E Balans VL '!D9+'E Balans VL '!E9)/100/3.6*1000000</f>
        <v>0</v>
      </c>
      <c r="K7" s="33"/>
      <c r="L7" s="33"/>
      <c r="M7" s="33"/>
      <c r="N7" s="33">
        <f>$C$27*'E Balans VL '!Y9/100/3.6*1000000</f>
        <v>0</v>
      </c>
      <c r="O7" s="33"/>
      <c r="P7" s="33"/>
      <c r="R7" s="32"/>
    </row>
    <row r="8" spans="1:18">
      <c r="A8" s="6" t="s">
        <v>52</v>
      </c>
      <c r="B8" s="37">
        <f t="shared" si="0"/>
        <v>3248.99</v>
      </c>
      <c r="C8" s="33"/>
      <c r="D8" s="37">
        <f>IF(ISERROR(TER_handel_gas_kWh/1000),0,TER_handel_gas_kWh/1000)*0.902</f>
        <v>1659.803574</v>
      </c>
      <c r="E8" s="33">
        <f>$C$28*'E Balans VL '!I13/100/3.6*1000000</f>
        <v>16.679984567403451</v>
      </c>
      <c r="F8" s="33">
        <f>$C$28*('E Balans VL '!L13+'E Balans VL '!N13)/100/3.6*1000000</f>
        <v>500.9440559510345</v>
      </c>
      <c r="G8" s="34"/>
      <c r="H8" s="33"/>
      <c r="I8" s="33"/>
      <c r="J8" s="33">
        <f>$C$28*('E Balans VL '!D13+'E Balans VL '!E13)/100/3.6*1000000</f>
        <v>0</v>
      </c>
      <c r="K8" s="33"/>
      <c r="L8" s="33"/>
      <c r="M8" s="33"/>
      <c r="N8" s="33">
        <f>$C$28*'E Balans VL '!Y13/100/3.6*1000000</f>
        <v>1.5195922822612349</v>
      </c>
      <c r="O8" s="33"/>
      <c r="P8" s="33"/>
      <c r="R8" s="32"/>
    </row>
    <row r="9" spans="1:18">
      <c r="A9" s="32" t="s">
        <v>51</v>
      </c>
      <c r="B9" s="37">
        <f t="shared" si="0"/>
        <v>329.80200000000002</v>
      </c>
      <c r="C9" s="33"/>
      <c r="D9" s="37">
        <f>IF(ISERROR(TER_gezond_gas_kWh/1000),0,TER_gezond_gas_kWh/1000)*0.902</f>
        <v>613.40690400000005</v>
      </c>
      <c r="E9" s="33">
        <f>$C$29*'E Balans VL '!I10/100/3.6*1000000</f>
        <v>0.13670058023433529</v>
      </c>
      <c r="F9" s="33">
        <f>$C$29*('E Balans VL '!L10+'E Balans VL '!N10)/100/3.6*1000000</f>
        <v>81.225502608374498</v>
      </c>
      <c r="G9" s="34"/>
      <c r="H9" s="33"/>
      <c r="I9" s="33"/>
      <c r="J9" s="33">
        <f>$C$29*('E Balans VL '!D10+'E Balans VL '!E10)/100/3.6*1000000</f>
        <v>0</v>
      </c>
      <c r="K9" s="33"/>
      <c r="L9" s="33"/>
      <c r="M9" s="33"/>
      <c r="N9" s="33">
        <f>$C$29*'E Balans VL '!Y10/100/3.6*1000000</f>
        <v>2.850305581214116</v>
      </c>
      <c r="O9" s="33"/>
      <c r="P9" s="33"/>
      <c r="R9" s="32"/>
    </row>
    <row r="10" spans="1:18">
      <c r="A10" s="32" t="s">
        <v>50</v>
      </c>
      <c r="B10" s="37">
        <f t="shared" si="0"/>
        <v>1127.4849999999999</v>
      </c>
      <c r="C10" s="33"/>
      <c r="D10" s="37">
        <f>IF(ISERROR(TER_ander_gas_kWh/1000),0,TER_ander_gas_kWh/1000)*0.902</f>
        <v>157.59383200000002</v>
      </c>
      <c r="E10" s="33">
        <f>$C$30*'E Balans VL '!I14/100/3.6*1000000</f>
        <v>6.8731763780962867</v>
      </c>
      <c r="F10" s="33">
        <f>$C$30*('E Balans VL '!L14+'E Balans VL '!N14)/100/3.6*1000000</f>
        <v>298.91171829252107</v>
      </c>
      <c r="G10" s="34"/>
      <c r="H10" s="33"/>
      <c r="I10" s="33"/>
      <c r="J10" s="33">
        <f>$C$30*('E Balans VL '!D14+'E Balans VL '!E14)/100/3.6*1000000</f>
        <v>0</v>
      </c>
      <c r="K10" s="33"/>
      <c r="L10" s="33"/>
      <c r="M10" s="33"/>
      <c r="N10" s="33">
        <f>$C$30*'E Balans VL '!Y14/100/3.6*1000000</f>
        <v>259.86092934238116</v>
      </c>
      <c r="O10" s="33"/>
      <c r="P10" s="33"/>
      <c r="R10" s="32"/>
    </row>
    <row r="11" spans="1:18">
      <c r="A11" s="32" t="s">
        <v>55</v>
      </c>
      <c r="B11" s="37">
        <f t="shared" si="0"/>
        <v>138.56800000000001</v>
      </c>
      <c r="C11" s="33"/>
      <c r="D11" s="37">
        <f>IF(ISERROR(TER_onderwijs_gas_kWh/1000),0,TER_onderwijs_gas_kWh/1000)*0.902</f>
        <v>0</v>
      </c>
      <c r="E11" s="33">
        <f>$C$31*'E Balans VL '!I11/100/3.6*1000000</f>
        <v>0.10559603131198499</v>
      </c>
      <c r="F11" s="33">
        <f>$C$31*('E Balans VL '!L11+'E Balans VL '!N11)/100/3.6*1000000</f>
        <v>100.27539864236329</v>
      </c>
      <c r="G11" s="34"/>
      <c r="H11" s="33"/>
      <c r="I11" s="33"/>
      <c r="J11" s="33">
        <f>$C$31*('E Balans VL '!D11+'E Balans VL '!E11)/100/3.6*1000000</f>
        <v>0</v>
      </c>
      <c r="K11" s="33"/>
      <c r="L11" s="33"/>
      <c r="M11" s="33"/>
      <c r="N11" s="33">
        <f>$C$31*'E Balans VL '!Y11/100/3.6*1000000</f>
        <v>0.40839301314854048</v>
      </c>
      <c r="O11" s="33"/>
      <c r="P11" s="33"/>
      <c r="R11" s="32"/>
    </row>
    <row r="12" spans="1:18">
      <c r="A12" s="32" t="s">
        <v>261</v>
      </c>
      <c r="B12" s="37">
        <f t="shared" si="0"/>
        <v>0</v>
      </c>
      <c r="C12" s="33"/>
      <c r="D12" s="37">
        <f>IF(ISERROR(TER_rest_gas_kWh/1000),0,TER_rest_gas_kWh/1000)*0.902</f>
        <v>68.367992000000001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7899.5689999999995</v>
      </c>
      <c r="C16" s="21">
        <f ca="1">C5+C13+C14</f>
        <v>0</v>
      </c>
      <c r="D16" s="21">
        <f t="shared" ref="D16:N16" ca="1" si="1">MAX((D5+D13+D14),0)</f>
        <v>4870.0170640000006</v>
      </c>
      <c r="E16" s="21">
        <f t="shared" si="1"/>
        <v>158.36921694399197</v>
      </c>
      <c r="F16" s="21">
        <f t="shared" ca="1" si="1"/>
        <v>1473.6817398160067</v>
      </c>
      <c r="G16" s="21">
        <f t="shared" si="1"/>
        <v>0</v>
      </c>
      <c r="H16" s="21">
        <f t="shared" si="1"/>
        <v>0</v>
      </c>
      <c r="I16" s="21">
        <f t="shared" si="1"/>
        <v>0</v>
      </c>
      <c r="J16" s="21">
        <f t="shared" si="1"/>
        <v>0</v>
      </c>
      <c r="K16" s="21">
        <f t="shared" si="1"/>
        <v>0</v>
      </c>
      <c r="L16" s="21">
        <f t="shared" ca="1" si="1"/>
        <v>0</v>
      </c>
      <c r="M16" s="21">
        <f t="shared" si="1"/>
        <v>0</v>
      </c>
      <c r="N16" s="21">
        <f t="shared" ca="1" si="1"/>
        <v>278.26975801968183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0.21633344369969096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1708.9409655133238</v>
      </c>
      <c r="C20" s="23">
        <f t="shared" ref="C20:P20" ca="1" si="2">C16*C18</f>
        <v>0</v>
      </c>
      <c r="D20" s="23">
        <f t="shared" ca="1" si="2"/>
        <v>983.74344692800014</v>
      </c>
      <c r="E20" s="23">
        <f t="shared" si="2"/>
        <v>35.949812246286179</v>
      </c>
      <c r="F20" s="23">
        <f t="shared" ca="1" si="2"/>
        <v>393.47302453087383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1763.4010000000001</v>
      </c>
      <c r="C26" s="39">
        <f>IF(ISERROR(B26*3.6/1000000/'E Balans VL '!Z12*100),0,B26*3.6/1000000/'E Balans VL '!Z12*100)</f>
        <v>3.7107849664566678E-2</v>
      </c>
      <c r="D26" s="238" t="s">
        <v>720</v>
      </c>
      <c r="F26" s="6"/>
    </row>
    <row r="27" spans="1:18">
      <c r="A27" s="232" t="s">
        <v>53</v>
      </c>
      <c r="B27" s="33">
        <f>IF(ISERROR(TER_horeca_ele_kWh/1000),0,TER_horeca_ele_kWh/1000)</f>
        <v>1291.3230000000001</v>
      </c>
      <c r="C27" s="39">
        <f>IF(ISERROR(B27*3.6/1000000/'E Balans VL '!Z9*100),0,B27*3.6/1000000/'E Balans VL '!Z9*100)</f>
        <v>0.10933268982597298</v>
      </c>
      <c r="D27" s="238" t="s">
        <v>720</v>
      </c>
      <c r="F27" s="6"/>
    </row>
    <row r="28" spans="1:18">
      <c r="A28" s="172" t="s">
        <v>52</v>
      </c>
      <c r="B28" s="33">
        <f>IF(ISERROR(TER_handel_ele_kWh/1000),0,TER_handel_ele_kWh/1000)</f>
        <v>3248.99</v>
      </c>
      <c r="C28" s="39">
        <f>IF(ISERROR(B28*3.6/1000000/'E Balans VL '!Z13*100),0,B28*3.6/1000000/'E Balans VL '!Z13*100)</f>
        <v>8.9947838882763267E-2</v>
      </c>
      <c r="D28" s="238" t="s">
        <v>720</v>
      </c>
      <c r="F28" s="6"/>
    </row>
    <row r="29" spans="1:18">
      <c r="A29" s="232" t="s">
        <v>51</v>
      </c>
      <c r="B29" s="33">
        <f>IF(ISERROR(TER_gezond_ele_kWh/1000),0,TER_gezond_ele_kWh/1000)</f>
        <v>329.80200000000002</v>
      </c>
      <c r="C29" s="39">
        <f>IF(ISERROR(B29*3.6/1000000/'E Balans VL '!Z10*100),0,B29*3.6/1000000/'E Balans VL '!Z10*100)</f>
        <v>4.2870603718545175E-2</v>
      </c>
      <c r="D29" s="238" t="s">
        <v>720</v>
      </c>
      <c r="F29" s="6"/>
    </row>
    <row r="30" spans="1:18">
      <c r="A30" s="232" t="s">
        <v>50</v>
      </c>
      <c r="B30" s="33">
        <f>IF(ISERROR(TER_ander_ele_kWh/1000),0,TER_ander_ele_kWh/1000)</f>
        <v>1127.4849999999999</v>
      </c>
      <c r="C30" s="39">
        <f>IF(ISERROR(B30*3.6/1000000/'E Balans VL '!Z14*100),0,B30*3.6/1000000/'E Balans VL '!Z14*100)</f>
        <v>8.7390427327319942E-2</v>
      </c>
      <c r="D30" s="238" t="s">
        <v>720</v>
      </c>
      <c r="F30" s="6"/>
    </row>
    <row r="31" spans="1:18">
      <c r="A31" s="232" t="s">
        <v>55</v>
      </c>
      <c r="B31" s="33">
        <f>IF(ISERROR(TER_onderwijs_ele_kWh/1000),0,TER_onderwijs_ele_kWh/1000)</f>
        <v>138.56800000000001</v>
      </c>
      <c r="C31" s="39">
        <f>IF(ISERROR(B31*3.6/1000000/'E Balans VL '!Z11*100),0,B31*3.6/1000000/'E Balans VL '!Z11*100)</f>
        <v>2.6510419548753036E-2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20077.100999999999</v>
      </c>
      <c r="C5" s="17">
        <f>IF(ISERROR('Eigen informatie GS &amp; warmtenet'!B59),0,'Eigen informatie GS &amp; warmtenet'!B59)</f>
        <v>0</v>
      </c>
      <c r="D5" s="30">
        <f>SUM(D6:D15)</f>
        <v>15008.582754000001</v>
      </c>
      <c r="E5" s="17">
        <f>SUM(E6:E15)</f>
        <v>53.779906492847871</v>
      </c>
      <c r="F5" s="17">
        <f>SUM(F6:F15)</f>
        <v>6903.8668480154747</v>
      </c>
      <c r="G5" s="18"/>
      <c r="H5" s="17"/>
      <c r="I5" s="17"/>
      <c r="J5" s="17">
        <f>SUM(J6:J15)</f>
        <v>3104.3656646294558</v>
      </c>
      <c r="K5" s="17"/>
      <c r="L5" s="17"/>
      <c r="M5" s="17"/>
      <c r="N5" s="17">
        <f>SUM(N6:N15)</f>
        <v>112.15231652762873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16433.444</v>
      </c>
      <c r="C7" s="33"/>
      <c r="D7" s="37">
        <f>IF( ISERROR(IND_nonf_gas_kWhh/1000),0,IND_nonf_gas_kWh/1000)*0.902</f>
        <v>0</v>
      </c>
      <c r="E7" s="33">
        <f>C29*'E Balans VL '!I17/100/3.6*1000000</f>
        <v>13.845750452110703</v>
      </c>
      <c r="F7" s="33">
        <f>C29*'E Balans VL '!L17/100/3.6*1000000+C29*'E Balans VL '!N17/100/3.6*1000000</f>
        <v>5683.8343372613999</v>
      </c>
      <c r="G7" s="34"/>
      <c r="H7" s="33"/>
      <c r="I7" s="33"/>
      <c r="J7" s="40">
        <f>C29*'E Balans VL '!D17/100/3.6*1000000+C29*'E Balans VL '!E17/100/3.6*1000000</f>
        <v>3085.3084375801927</v>
      </c>
      <c r="K7" s="33"/>
      <c r="L7" s="33"/>
      <c r="M7" s="33"/>
      <c r="N7" s="33">
        <f>C29*'E Balans VL '!Y17/100/3.6*1000000</f>
        <v>0</v>
      </c>
      <c r="O7" s="33"/>
      <c r="P7" s="33"/>
      <c r="R7" s="32"/>
    </row>
    <row r="8" spans="1:18">
      <c r="A8" s="6" t="s">
        <v>36</v>
      </c>
      <c r="B8" s="37">
        <f t="shared" si="0"/>
        <v>175.565</v>
      </c>
      <c r="C8" s="33"/>
      <c r="D8" s="37">
        <f>IF( ISERROR(IND_metaal_Gas_kWH/1000),0,IND_metaal_Gas_kWH/1000)*0.902</f>
        <v>114.601806</v>
      </c>
      <c r="E8" s="33">
        <f>C30*'E Balans VL '!I18/100/3.6*1000000</f>
        <v>1.2336565183398549</v>
      </c>
      <c r="F8" s="33">
        <f>C30*'E Balans VL '!L18/100/3.6*1000000+C30*'E Balans VL '!N18/100/3.6*1000000</f>
        <v>19.276009843648499</v>
      </c>
      <c r="G8" s="34"/>
      <c r="H8" s="33"/>
      <c r="I8" s="33"/>
      <c r="J8" s="40">
        <f>C30*'E Balans VL '!D18/100/3.6*1000000+C30*'E Balans VL '!E18/100/3.6*1000000</f>
        <v>3.6222843613565234</v>
      </c>
      <c r="K8" s="33"/>
      <c r="L8" s="33"/>
      <c r="M8" s="33"/>
      <c r="N8" s="33">
        <f>C30*'E Balans VL '!Y18/100/3.6*1000000</f>
        <v>0.65803026417773769</v>
      </c>
      <c r="O8" s="33"/>
      <c r="P8" s="33"/>
      <c r="R8" s="32"/>
    </row>
    <row r="9" spans="1:18">
      <c r="A9" s="6" t="s">
        <v>33</v>
      </c>
      <c r="B9" s="37">
        <f t="shared" si="0"/>
        <v>919.60299999999995</v>
      </c>
      <c r="C9" s="33"/>
      <c r="D9" s="37">
        <f>IF( ISERROR(IND_andere_gas_kWh/1000),0,IND_andere_gas_kWh/1000)*0.902</f>
        <v>202.11564999999999</v>
      </c>
      <c r="E9" s="33">
        <f>C31*'E Balans VL '!I19/100/3.6*1000000</f>
        <v>15.445858934643729</v>
      </c>
      <c r="F9" s="33">
        <f>C31*'E Balans VL '!L19/100/3.6*1000000+C31*'E Balans VL '!N19/100/3.6*1000000</f>
        <v>718.89324872395946</v>
      </c>
      <c r="G9" s="34"/>
      <c r="H9" s="33"/>
      <c r="I9" s="33"/>
      <c r="J9" s="40">
        <f>C31*'E Balans VL '!D19/100/3.6*1000000+C31*'E Balans VL '!E19/100/3.6*1000000</f>
        <v>8.2940072910351187E-2</v>
      </c>
      <c r="K9" s="33"/>
      <c r="L9" s="33"/>
      <c r="M9" s="33"/>
      <c r="N9" s="33">
        <f>C31*'E Balans VL '!Y19/100/3.6*1000000</f>
        <v>68.157336031256818</v>
      </c>
      <c r="O9" s="33"/>
      <c r="P9" s="33"/>
      <c r="R9" s="32"/>
    </row>
    <row r="10" spans="1:18">
      <c r="A10" s="6" t="s">
        <v>41</v>
      </c>
      <c r="B10" s="37">
        <f t="shared" si="0"/>
        <v>686.64800000000002</v>
      </c>
      <c r="C10" s="33"/>
      <c r="D10" s="37">
        <f>IF( ISERROR(IND_voed_gas_kWh/1000),0,IND_voed_gas_kWh/1000)*0.902</f>
        <v>0</v>
      </c>
      <c r="E10" s="33">
        <f>C32*'E Balans VL '!I20/100/3.6*1000000</f>
        <v>6.2646910154373181</v>
      </c>
      <c r="F10" s="33">
        <f>C32*'E Balans VL '!L20/100/3.6*1000000+C32*'E Balans VL '!N20/100/3.6*1000000</f>
        <v>110.7777994925568</v>
      </c>
      <c r="G10" s="34"/>
      <c r="H10" s="33"/>
      <c r="I10" s="33"/>
      <c r="J10" s="40">
        <f>C32*'E Balans VL '!D20/100/3.6*1000000+C32*'E Balans VL '!E20/100/3.6*1000000</f>
        <v>2.8280666522201972</v>
      </c>
      <c r="K10" s="33"/>
      <c r="L10" s="33"/>
      <c r="M10" s="33"/>
      <c r="N10" s="33">
        <f>C32*'E Balans VL '!Y20/100/3.6*1000000</f>
        <v>10.045118802855988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11.869</v>
      </c>
      <c r="C12" s="33"/>
      <c r="D12" s="37">
        <f>IF( ISERROR(IND_min_gas_kWh/1000),0,IND_min_gas_kWh/1000)*0.902</f>
        <v>0</v>
      </c>
      <c r="E12" s="33">
        <f>C34*'E Balans VL '!I22/100/3.6*1000000</f>
        <v>0.2943897866924623</v>
      </c>
      <c r="F12" s="33">
        <f>C34*'E Balans VL '!L22/100/3.6*1000000+C34*'E Balans VL '!N22/100/3.6*1000000</f>
        <v>1.2611948956306138</v>
      </c>
      <c r="G12" s="34"/>
      <c r="H12" s="33"/>
      <c r="I12" s="33"/>
      <c r="J12" s="40">
        <f>C34*'E Balans VL '!D22/100/3.6*1000000+C34*'E Balans VL '!E22/100/3.6*1000000</f>
        <v>6.7422884280577286E-2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1849.972</v>
      </c>
      <c r="C15" s="33"/>
      <c r="D15" s="37">
        <f>IF( ISERROR(IND_rest_gas_kWh/1000),0,IND_rest_gas_kWh/1000)*0.902</f>
        <v>14691.865298000001</v>
      </c>
      <c r="E15" s="33">
        <f>C37*'E Balans VL '!I15/100/3.6*1000000</f>
        <v>16.695559785623797</v>
      </c>
      <c r="F15" s="33">
        <f>C37*'E Balans VL '!L15/100/3.6*1000000+C37*'E Balans VL '!N15/100/3.6*1000000</f>
        <v>369.82425779827884</v>
      </c>
      <c r="G15" s="34"/>
      <c r="H15" s="33"/>
      <c r="I15" s="33"/>
      <c r="J15" s="40">
        <f>C37*'E Balans VL '!D15/100/3.6*1000000+C37*'E Balans VL '!E15/100/3.6*1000000</f>
        <v>12.456513078495753</v>
      </c>
      <c r="K15" s="33"/>
      <c r="L15" s="33"/>
      <c r="M15" s="33"/>
      <c r="N15" s="33">
        <f>C37*'E Balans VL '!Y15/100/3.6*1000000</f>
        <v>33.291831429338181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20077.100999999999</v>
      </c>
      <c r="C18" s="21">
        <f>C5+C16</f>
        <v>0</v>
      </c>
      <c r="D18" s="21">
        <f>MAX((D5+D16),0)</f>
        <v>15008.582754000001</v>
      </c>
      <c r="E18" s="21">
        <f>MAX((E5+E16),0)</f>
        <v>53.779906492847871</v>
      </c>
      <c r="F18" s="21">
        <f>MAX((F5+F16),0)</f>
        <v>6903.8668480154747</v>
      </c>
      <c r="G18" s="21"/>
      <c r="H18" s="21"/>
      <c r="I18" s="21"/>
      <c r="J18" s="21">
        <f>MAX((J5+J16),0)</f>
        <v>3104.3656646294558</v>
      </c>
      <c r="K18" s="21"/>
      <c r="L18" s="21">
        <f>MAX((L5+L16),0)</f>
        <v>0</v>
      </c>
      <c r="M18" s="21"/>
      <c r="N18" s="21">
        <f>MAX((N5+N16),0)</f>
        <v>112.15231652762873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0.21633344369969096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4343.3483988365087</v>
      </c>
      <c r="C22" s="23">
        <f ca="1">C18*C20</f>
        <v>0</v>
      </c>
      <c r="D22" s="23">
        <f>D18*D20</f>
        <v>3031.7337163080006</v>
      </c>
      <c r="E22" s="23">
        <f>E18*E20</f>
        <v>12.208038773876467</v>
      </c>
      <c r="F22" s="23">
        <f>F18*F20</f>
        <v>1843.3324484201319</v>
      </c>
      <c r="G22" s="23"/>
      <c r="H22" s="23"/>
      <c r="I22" s="23"/>
      <c r="J22" s="23">
        <f>J18*J20</f>
        <v>1098.9454452788273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16433.444</v>
      </c>
      <c r="C29" s="39">
        <f>IF(ISERROR(B29*3.6/1000000/'E Balans VL '!Z17*100),0,B29*3.6/1000000/'E Balans VL '!Z17*100)</f>
        <v>7.000214205112175</v>
      </c>
      <c r="D29" s="238" t="s">
        <v>720</v>
      </c>
    </row>
    <row r="30" spans="1:18">
      <c r="A30" s="172" t="s">
        <v>36</v>
      </c>
      <c r="B30" s="37">
        <f>IF( ISERROR(IND_metaal_ele_kWh/1000),0,IND_metaal_ele_kWh/1000)</f>
        <v>175.565</v>
      </c>
      <c r="C30" s="39">
        <f>IF(ISERROR(B30*3.6/1000000/'E Balans VL '!Z18*100),0,B30*3.6/1000000/'E Balans VL '!Z18*100)</f>
        <v>1.1687469258972922E-2</v>
      </c>
      <c r="D30" s="238" t="s">
        <v>720</v>
      </c>
    </row>
    <row r="31" spans="1:18">
      <c r="A31" s="6" t="s">
        <v>33</v>
      </c>
      <c r="B31" s="37">
        <f>IF( ISERROR(IND_ander_ele_kWh/1000),0,IND_ander_ele_kWh/1000)</f>
        <v>919.60299999999995</v>
      </c>
      <c r="C31" s="39">
        <f>IF(ISERROR(B31*3.6/1000000/'E Balans VL '!Z19*100),0,B31*3.6/1000000/'E Balans VL '!Z19*100)</f>
        <v>4.0762356652186256E-2</v>
      </c>
      <c r="D31" s="238" t="s">
        <v>720</v>
      </c>
    </row>
    <row r="32" spans="1:18">
      <c r="A32" s="172" t="s">
        <v>41</v>
      </c>
      <c r="B32" s="37">
        <f>IF( ISERROR(IND_voed_ele_kWh/1000),0,IND_voed_ele_kWh/1000)</f>
        <v>686.64800000000002</v>
      </c>
      <c r="C32" s="39">
        <f>IF(ISERROR(B32*3.6/1000000/'E Balans VL '!Z20*100),0,B32*3.6/1000000/'E Balans VL '!Z20*100)</f>
        <v>2.2936012938178058E-2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11.869</v>
      </c>
      <c r="C34" s="39">
        <f>IF(ISERROR(B34*3.6/1000000/'E Balans VL '!Z22*100),0,B34*3.6/1000000/'E Balans VL '!Z22*100)</f>
        <v>2.3083901264458811E-3</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1849.972</v>
      </c>
      <c r="C37" s="39">
        <f>IF(ISERROR(B37*3.6/1000000/'E Balans VL '!Z15*100),0,B37*3.6/1000000/'E Balans VL '!Z15*100)</f>
        <v>1.3760777817808505E-2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435.125</v>
      </c>
      <c r="C5" s="17">
        <f>'Eigen informatie GS &amp; warmtenet'!B60</f>
        <v>0</v>
      </c>
      <c r="D5" s="30">
        <f>IF(ISERROR(SUM(LB_lb_gas_kWh,LB_rest_gas_kWh,onbekend_gas_kWh)/1000),0,SUM(LB_lb_gas_kWh,LB_rest_gas_kWh,onbekend_gas_kWh)/1000)*0.902</f>
        <v>36.001525999999998</v>
      </c>
      <c r="E5" s="17">
        <f>B17*'E Balans VL '!I25/3.6*1000000/100</f>
        <v>4.5567232007210166</v>
      </c>
      <c r="F5" s="17">
        <f>B17*('E Balans VL '!L25/3.6*1000000+'E Balans VL '!N25/3.6*1000000)/100</f>
        <v>2234.8712824593972</v>
      </c>
      <c r="G5" s="18"/>
      <c r="H5" s="17"/>
      <c r="I5" s="17"/>
      <c r="J5" s="17">
        <f>('E Balans VL '!D25+'E Balans VL '!E25)/3.6*1000000*landbouw!B17/100</f>
        <v>38.860562591909243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435.125</v>
      </c>
      <c r="C8" s="21">
        <f>C5+C6</f>
        <v>0</v>
      </c>
      <c r="D8" s="21">
        <f>MAX((D5+D6),0)</f>
        <v>36.001525999999998</v>
      </c>
      <c r="E8" s="21">
        <f>MAX((E5+E6),0)</f>
        <v>4.5567232007210166</v>
      </c>
      <c r="F8" s="21">
        <f>MAX((F5+F6),0)</f>
        <v>2234.8712824593972</v>
      </c>
      <c r="G8" s="21"/>
      <c r="H8" s="21"/>
      <c r="I8" s="21"/>
      <c r="J8" s="21">
        <f>MAX((J5+J6),0)</f>
        <v>38.860562591909243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0.21633344369969096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94.132089689828035</v>
      </c>
      <c r="C12" s="23">
        <f ca="1">C8*C10</f>
        <v>0</v>
      </c>
      <c r="D12" s="23">
        <f>D8*D10</f>
        <v>7.2723082520000002</v>
      </c>
      <c r="E12" s="23">
        <f>E8*E10</f>
        <v>1.0343761665636708</v>
      </c>
      <c r="F12" s="23">
        <f>F8*F10</f>
        <v>596.71063241665911</v>
      </c>
      <c r="G12" s="23"/>
      <c r="H12" s="23"/>
      <c r="I12" s="23"/>
      <c r="J12" s="23">
        <f>J8*J10</f>
        <v>13.756639157535872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6.6974136964707956E-2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84.712281568114548</v>
      </c>
      <c r="C26" s="248">
        <f>B26*'GWP N2O_CH4'!B5</f>
        <v>1778.9579129304054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21.66148174400999</v>
      </c>
      <c r="C27" s="248">
        <f>B27*'GWP N2O_CH4'!B5</f>
        <v>454.89111662420976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1.2240319594303719</v>
      </c>
      <c r="C28" s="248">
        <f>B28*'GWP N2O_CH4'!B4</f>
        <v>379.44990742341531</v>
      </c>
      <c r="D28" s="50"/>
    </row>
    <row r="29" spans="1:4">
      <c r="A29" s="41" t="s">
        <v>278</v>
      </c>
      <c r="B29" s="248">
        <f>B34*'ha_N2O bodem landbouw'!B4</f>
        <v>35.529399282579085</v>
      </c>
      <c r="C29" s="248">
        <f>B29*'GWP N2O_CH4'!B4</f>
        <v>11014.113777599516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5.8716998638015426E-3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2.8892027334348386E-6</v>
      </c>
      <c r="C5" s="446" t="s">
        <v>212</v>
      </c>
      <c r="D5" s="431">
        <f>SUM(D6:D11)</f>
        <v>1.4964018448981935E-5</v>
      </c>
      <c r="E5" s="431">
        <f>SUM(E6:E11)</f>
        <v>1.6443799789765553E-3</v>
      </c>
      <c r="F5" s="444" t="s">
        <v>212</v>
      </c>
      <c r="G5" s="431">
        <f>SUM(G6:G11)</f>
        <v>0.26273903342251326</v>
      </c>
      <c r="H5" s="431">
        <f>SUM(H6:H11)</f>
        <v>5.0596373780871201E-2</v>
      </c>
      <c r="I5" s="446" t="s">
        <v>212</v>
      </c>
      <c r="J5" s="446" t="s">
        <v>212</v>
      </c>
      <c r="K5" s="446" t="s">
        <v>212</v>
      </c>
      <c r="L5" s="446" t="s">
        <v>212</v>
      </c>
      <c r="M5" s="431">
        <f>SUM(M6:M11)</f>
        <v>1.3686521767344483E-2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1.0549260176092019E-6</v>
      </c>
      <c r="C6" s="432"/>
      <c r="D6" s="432">
        <f>vkm_2011_GW_PW*SUMIFS(TableVerdeelsleutelVkm[CNG],TableVerdeelsleutelVkm[Voertuigtype],"Lichte voertuigen")*SUMIFS(TableECFTransport[EnergieConsumptieFactor (PJ per km)],TableECFTransport[Index],CONCATENATE($A6,"_CNG_CNG"))</f>
        <v>4.5476634374483717E-6</v>
      </c>
      <c r="E6" s="434">
        <f>vkm_2011_GW_PW*SUMIFS(TableVerdeelsleutelVkm[LPG],TableVerdeelsleutelVkm[Voertuigtype],"Lichte voertuigen")*SUMIFS(TableECFTransport[EnergieConsumptieFactor (PJ per km)],TableECFTransport[Index],CONCATENATE($A6,"_LPG_LPG"))</f>
        <v>4.7315647678930082E-4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5.8199545591569764E-2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1.5322734283908842E-2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3.2220987834609663E-3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1.8249402420800389E-2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6.2574671963109803E-6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7.8833999112794977E-4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6.8058079807876507E-7</v>
      </c>
      <c r="C8" s="432"/>
      <c r="D8" s="434">
        <f>vkm_2011_NGW_PW*SUMIFS(TableVerdeelsleutelVkm[CNG],TableVerdeelsleutelVkm[Voertuigtype],"Lichte voertuigen")*SUMIFS(TableECFTransport[EnergieConsumptieFactor (PJ per km)],TableECFTransport[Index],CONCATENATE($A8,"_CNG_CNG"))</f>
        <v>5.2634965106620078E-6</v>
      </c>
      <c r="E8" s="434">
        <f>vkm_2011_NGW_PW*SUMIFS(TableVerdeelsleutelVkm[LPG],TableVerdeelsleutelVkm[Voertuigtype],"Lichte voertuigen")*SUMIFS(TableECFTransport[EnergieConsumptieFactor (PJ per km)],TableECFTransport[Index],CONCATENATE($A8,"_LPG_LPG"))</f>
        <v>5.0003093072629827E-4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5.8336260130986653E-2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1.6928920217142734E-2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3.3023130822257426E-3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5.302618155289123E-3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1.5795106429606164E-6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2.2905212615746717E-4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1.1536959177468717E-6</v>
      </c>
      <c r="C10" s="432"/>
      <c r="D10" s="434">
        <f>vkm_2011_SW_PW*SUMIFS(TableVerdeelsleutelVkm[CNG],TableVerdeelsleutelVkm[Voertuigtype],"Lichte voertuigen")*SUMIFS(TableECFTransport[EnergieConsumptieFactor (PJ per km)],TableECFTransport[Index],CONCATENATE($A10,"_CNG_CNG"))</f>
        <v>5.1528585008715555E-6</v>
      </c>
      <c r="E10" s="434">
        <f>vkm_2011_SW_PW*SUMIFS(TableVerdeelsleutelVkm[LPG],TableVerdeelsleutelVkm[Voertuigtype],"Lichte voertuigen")*SUMIFS(TableECFTransport[EnergieConsumptieFactor (PJ per km)],TableECFTransport[Index],CONCATENATE($A10,"_LPG_LPG"))</f>
        <v>6.7119257146095606E-4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7.5899395945254036E-2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1.831977835820154E-2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4.1250774782030982E-3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4.6751811178613281E-2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1.710394377881319E-5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2.0196403061692601E-3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0.80255631484301071</v>
      </c>
      <c r="C14" s="21"/>
      <c r="D14" s="21">
        <f t="shared" ref="D14:M14" si="0">((D5)*10^9/3600)+D12</f>
        <v>4.1566717913838707</v>
      </c>
      <c r="E14" s="21">
        <f t="shared" si="0"/>
        <v>456.77221638237643</v>
      </c>
      <c r="F14" s="21"/>
      <c r="G14" s="21">
        <f t="shared" si="0"/>
        <v>72983.064839587008</v>
      </c>
      <c r="H14" s="21">
        <f t="shared" si="0"/>
        <v>14054.548272464221</v>
      </c>
      <c r="I14" s="21"/>
      <c r="J14" s="21"/>
      <c r="K14" s="21"/>
      <c r="L14" s="21"/>
      <c r="M14" s="21">
        <f t="shared" si="0"/>
        <v>3801.8116020401344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0.21633344369969096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0.17361977135292192</v>
      </c>
      <c r="C18" s="23"/>
      <c r="D18" s="23">
        <f t="shared" ref="D18:M18" si="1">D14*D16</f>
        <v>0.83964770185954196</v>
      </c>
      <c r="E18" s="23">
        <f t="shared" si="1"/>
        <v>103.68729311879945</v>
      </c>
      <c r="F18" s="23"/>
      <c r="G18" s="23">
        <f t="shared" si="1"/>
        <v>19486.478312169733</v>
      </c>
      <c r="H18" s="23">
        <f t="shared" si="1"/>
        <v>3499.5825198435909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4.2652227245323429E-3</v>
      </c>
      <c r="H50" s="322">
        <f t="shared" si="2"/>
        <v>0</v>
      </c>
      <c r="I50" s="322">
        <f t="shared" si="2"/>
        <v>0</v>
      </c>
      <c r="J50" s="322">
        <f t="shared" si="2"/>
        <v>0</v>
      </c>
      <c r="K50" s="322">
        <f t="shared" si="2"/>
        <v>0</v>
      </c>
      <c r="L50" s="322">
        <f t="shared" si="2"/>
        <v>0</v>
      </c>
      <c r="M50" s="322">
        <f t="shared" si="2"/>
        <v>1.8180791458663489E-4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4.2652227245323429E-3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1.8180791458663489E-4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1184.784090147873</v>
      </c>
      <c r="H54" s="21">
        <f t="shared" si="3"/>
        <v>0</v>
      </c>
      <c r="I54" s="21">
        <f t="shared" si="3"/>
        <v>0</v>
      </c>
      <c r="J54" s="21">
        <f t="shared" si="3"/>
        <v>0</v>
      </c>
      <c r="K54" s="21">
        <f t="shared" si="3"/>
        <v>0</v>
      </c>
      <c r="L54" s="21">
        <f t="shared" si="3"/>
        <v>0</v>
      </c>
      <c r="M54" s="21">
        <f t="shared" si="3"/>
        <v>50.50219849628747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0.21633344369969096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316.33735206948211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1248.5867304393837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1248.5867304393837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2018-06-27T09:00:47Z</dcterms:modified>
</cp:coreProperties>
</file>