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H68"/>
  <c r="H69" s="1"/>
  <c r="D8" i="17"/>
  <c r="D12" s="1"/>
  <c r="E48" i="14" s="1"/>
  <c r="C97" i="18"/>
  <c r="I100" s="1"/>
  <c r="H7" s="1"/>
  <c r="I67" i="14" s="1"/>
  <c r="F16" i="16"/>
  <c r="D13" i="15"/>
  <c r="E8" i="16"/>
  <c r="L68" i="14"/>
  <c r="B16" i="18"/>
  <c r="B78" i="14" s="1"/>
  <c r="B81" s="1"/>
  <c r="C13" i="15"/>
  <c r="C16" s="1"/>
  <c r="D10" i="14" s="1"/>
  <c r="D12" i="22"/>
  <c r="E17" i="14"/>
  <c r="D13" i="48"/>
  <c r="D30" s="1"/>
  <c r="D31" i="20"/>
  <c r="E43" i="14" s="1"/>
  <c r="I101" i="18"/>
  <c r="H16" s="1"/>
  <c r="I78" i="14" s="1"/>
  <c r="E101" i="18"/>
  <c r="E16" s="1"/>
  <c r="F78" i="14" s="1"/>
  <c r="F101" i="18"/>
  <c r="H101"/>
  <c r="J16" s="1"/>
  <c r="K78" i="14" s="1"/>
  <c r="K81" s="1"/>
  <c r="D101" i="18"/>
  <c r="G101"/>
  <c r="C101"/>
  <c r="B101"/>
  <c r="C16" s="1"/>
  <c r="D78" i="14" s="1"/>
  <c r="O78"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C100" i="18"/>
  <c r="E31" i="20"/>
  <c r="F43" i="14" s="1"/>
  <c r="H14" i="22"/>
  <c r="F8" i="17"/>
  <c r="G22" i="14" s="1"/>
  <c r="E9"/>
  <c r="J9"/>
  <c r="J15" s="1"/>
  <c r="N9"/>
  <c r="N15" s="1"/>
  <c r="I11" i="48"/>
  <c r="M11"/>
  <c r="M28" s="1"/>
  <c r="M19" i="19"/>
  <c r="N35" i="14" s="1"/>
  <c r="J7" i="15"/>
  <c r="O5" i="16"/>
  <c r="B7" i="18"/>
  <c r="B67" i="14" s="1"/>
  <c r="E19" i="18"/>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10"/>
  <c r="I15" s="1"/>
  <c r="C66"/>
  <c r="B66"/>
  <c r="F8" i="16"/>
  <c r="J9"/>
  <c r="B7" i="48"/>
  <c r="C22" i="14"/>
  <c r="C65"/>
  <c r="B65"/>
  <c r="F6" i="15"/>
  <c r="F8"/>
  <c r="N10" i="16"/>
  <c r="E14"/>
  <c r="I41" i="14"/>
  <c r="H15"/>
  <c r="L15"/>
  <c r="M46"/>
  <c r="P20"/>
  <c r="K20"/>
  <c r="L20"/>
  <c r="G20"/>
  <c r="L69"/>
  <c r="D5" i="15"/>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H9" i="18"/>
  <c r="B10" i="48"/>
  <c r="C18" i="14"/>
  <c r="J12" i="17"/>
  <c r="K48" i="14" s="1"/>
  <c r="P24" i="48"/>
  <c r="E5" i="17"/>
  <c r="C8"/>
  <c r="G24" i="48"/>
  <c r="I24"/>
  <c r="G81" i="14"/>
  <c r="D79"/>
  <c r="H79"/>
  <c r="H81" s="1"/>
  <c r="L79"/>
  <c r="L81" s="1"/>
  <c r="F79"/>
  <c r="F81" s="1"/>
  <c r="J79"/>
  <c r="E68"/>
  <c r="E69" s="1"/>
  <c r="I68"/>
  <c r="M68"/>
  <c r="M69" s="1"/>
  <c r="D19" i="18"/>
  <c r="H19"/>
  <c r="L19"/>
  <c r="B68" i="14"/>
  <c r="G68"/>
  <c r="G69" s="1"/>
  <c r="K68"/>
  <c r="E81"/>
  <c r="I81"/>
  <c r="M81"/>
  <c r="F19" i="18"/>
  <c r="D11" i="14"/>
  <c r="C4" i="48"/>
  <c r="M8" i="18"/>
  <c r="M17"/>
  <c r="M18"/>
  <c r="D13" i="14"/>
  <c r="N5" i="17" l="1"/>
  <c r="N8" s="1"/>
  <c r="L8"/>
  <c r="L7" i="48" s="1"/>
  <c r="L24" s="1"/>
  <c r="L5" i="17"/>
  <c r="D7" i="48"/>
  <c r="D24" s="1"/>
  <c r="D100" i="18"/>
  <c r="G100"/>
  <c r="L29" i="48"/>
  <c r="E22" i="14"/>
  <c r="G31" i="20"/>
  <c r="H43" i="14" s="1"/>
  <c r="B100" i="18"/>
  <c r="C7" s="1"/>
  <c r="B35" i="13"/>
  <c r="B19" i="18"/>
  <c r="I16"/>
  <c r="D16" i="15"/>
  <c r="E100" i="18"/>
  <c r="E7" s="1"/>
  <c r="H100"/>
  <c r="J7" s="1"/>
  <c r="K14" i="48"/>
  <c r="F7"/>
  <c r="F24" s="1"/>
  <c r="L30"/>
  <c r="I69" i="14"/>
  <c r="F12" i="17"/>
  <c r="G48" i="14" s="1"/>
  <c r="F100" i="18"/>
  <c r="L12" i="17"/>
  <c r="M48" i="14" s="1"/>
  <c r="D81"/>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O68" i="14"/>
  <c r="C68"/>
  <c r="E8" i="17"/>
  <c r="F22" i="14" s="1"/>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12" i="17"/>
  <c r="F48" i="14" s="1"/>
  <c r="C5" i="48"/>
  <c r="M19" i="18"/>
  <c r="O22" i="14" l="1"/>
  <c r="N7" i="48"/>
  <c r="N24" s="1"/>
  <c r="N12" i="17"/>
  <c r="O48" i="14" s="1"/>
  <c r="J78"/>
  <c r="I19" i="18"/>
  <c r="E7" i="48"/>
  <c r="E24" s="1"/>
  <c r="F67" i="14"/>
  <c r="F69" s="1"/>
  <c r="E9" i="18"/>
  <c r="D67" i="14"/>
  <c r="C9" i="18"/>
  <c r="C14" i="48"/>
  <c r="M22" i="14"/>
  <c r="R22" s="1"/>
  <c r="E16" i="15"/>
  <c r="E20" s="1"/>
  <c r="F36" i="14" s="1"/>
  <c r="K67"/>
  <c r="K69" s="1"/>
  <c r="J9" i="18"/>
  <c r="J67" i="14"/>
  <c r="I9" i="18"/>
  <c r="M7"/>
  <c r="M9" s="1"/>
  <c r="K10" i="14"/>
  <c r="J16" i="15"/>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9"/>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O67" i="14" l="1"/>
  <c r="D69"/>
  <c r="M18" i="22"/>
  <c r="N45" i="14" s="1"/>
  <c r="N46" s="1"/>
  <c r="N53" s="1"/>
  <c r="C78"/>
  <c r="C81" s="1"/>
  <c r="J81"/>
  <c r="E5" i="48"/>
  <c r="E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R10" i="14"/>
  <c r="O13" l="1"/>
  <c r="O15" s="1"/>
  <c r="F13"/>
  <c r="F15" s="1"/>
  <c r="F23" s="1"/>
  <c r="F55" s="1"/>
  <c r="N25" i="48"/>
  <c r="N31" s="1"/>
  <c r="N14"/>
  <c r="E8"/>
  <c r="Q8" s="1"/>
  <c r="Q14" s="1"/>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K55" i="14"/>
  <c r="F25" i="48"/>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<sst xmlns="http://schemas.openxmlformats.org/spreadsheetml/2006/main" count="2056" uniqueCount="910">
  <si>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</si>
  <si>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</si>
  <si>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</si>
  <si>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</si>
  <si>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</si>
  <si>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</si>
  <si>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</si>
  <si>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</si>
  <si>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</si>
  <si>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</si>
  <si>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</si>
  <si>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</si>
  <si>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</si>
  <si>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</si>
  <si>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</si>
  <si>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</si>
  <si>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</si>
  <si>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</si>
  <si>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</si>
  <si>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</si>
  <si>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</si>
  <si>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</si>
  <si>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</si>
  <si>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</si>
  <si>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</si>
  <si>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</si>
  <si>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</si>
  <si>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</si>
  <si>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</si>
  <si>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</si>
  <si>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</si>
  <si>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</si>
  <si>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</si>
  <si>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</si>
  <si>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</si>
  <si>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</si>
  <si>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</si>
  <si>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</si>
  <si>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</si>
  <si>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</si>
  <si>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</si>
  <si>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</si>
  <si>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</si>
  <si>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</si>
  <si>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</si>
  <si>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</si>
  <si>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</si>
  <si>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</si>
  <si>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</si>
  <si>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</si>
  <si>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</si>
  <si>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</si>
  <si>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</si>
  <si>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</si>
  <si>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</si>
  <si>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</si>
  <si>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</si>
  <si>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</si>
  <si>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</si>
  <si>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</si>
  <si>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</si>
  <si>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</si>
  <si>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</si>
  <si>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</si>
  <si>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</si>
  <si>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</si>
  <si>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</si>
  <si>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</si>
  <si>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</si>
  <si>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</si>
  <si>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</si>
  <si>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</si>
  <si>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</si>
  <si>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</si>
  <si>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</si>
  <si>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</si>
  <si>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</si>
  <si>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</si>
  <si>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</si>
  <si>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</si>
  <si>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</si>
  <si>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</si>
  <si>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</si>
  <si>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</si>
  <si>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</si>
  <si>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</si>
  <si>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</si>
  <si>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</si>
  <si>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</si>
  <si>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</si>
  <si>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</si>
  <si>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</si>
  <si>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</si>
  <si>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</si>
  <si>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</si>
  <si>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</si>
  <si>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</si>
  <si>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</si>
  <si>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</si>
  <si>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</si>
  <si>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</si>
  <si>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</si>
  <si>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</si>
  <si>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</si>
  <si>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</si>
  <si>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</si>
  <si>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</si>
  <si>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</si>
  <si>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</si>
  <si>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</si>
  <si>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</si>
  <si>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</si>
  <si>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</si>
  <si>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</si>
  <si>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</si>
  <si>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</si>
  <si>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</si>
  <si>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</si>
  <si>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</si>
  <si>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</si>
  <si>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</si>
  <si>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</si>
  <si>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</si>
  <si>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</si>
  <si>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</si>
  <si>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</si>
  <si>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</si>
  <si>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</si>
  <si>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</si>
  <si>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</si>
  <si>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</si>
  <si>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</si>
  <si>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</si>
  <si>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</si>
  <si>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</si>
  <si>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</si>
  <si>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</si>
  <si>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</si>
  <si>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</si>
  <si>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</si>
  <si>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</si>
  <si>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</si>
  <si>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</si>
  <si>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</si>
  <si>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</si>
  <si>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</si>
  <si>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</si>
  <si>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</si>
  <si>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</si>
  <si>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</si>
  <si>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</si>
  <si>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</si>
  <si>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</si>
  <si>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</si>
  <si>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</si>
  <si>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</si>
  <si>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</si>
  <si>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</si>
  <si>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</si>
  <si>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</si>
  <si>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</si>
  <si>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</si>
  <si>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</si>
  <si>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</si>
  <si>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</si>
  <si>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</si>
  <si>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</si>
  <si>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</si>
  <si>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</si>
  <si>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</si>
  <si>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</si>
  <si>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</si>
  <si>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</si>
  <si>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</si>
  <si>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</si>
  <si>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</si>
  <si>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</si>
  <si>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</si>
  <si>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</si>
  <si>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</si>
  <si>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</si>
  <si>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</si>
  <si>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</si>
  <si>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</si>
  <si>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</si>
  <si>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</si>
  <si>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</si>
  <si>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</si>
  <si>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</si>
  <si>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</si>
  <si>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</si>
  <si>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</si>
  <si>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</si>
  <si>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</si>
  <si>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</si>
  <si>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</si>
  <si>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</si>
  <si>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</si>
  <si>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</si>
  <si>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</si>
  <si>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</si>
  <si>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</si>
  <si>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</si>
  <si>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</si>
  <si>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</si>
  <si>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</si>
  <si>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</si>
  <si>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</si>
  <si>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</si>
  <si>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</si>
  <si>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</si>
  <si>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</si>
  <si>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</si>
  <si>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</si>
  <si>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</si>
  <si>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</si>
  <si>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</si>
  <si>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</si>
  <si>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</si>
  <si>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</si>
  <si>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</si>
  <si>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</si>
  <si>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</si>
  <si>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</si>
  <si>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</si>
  <si>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</si>
  <si>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</si>
  <si>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</si>
  <si>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</si>
  <si>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</si>
  <si>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</si>
  <si>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</si>
  <si>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</si>
  <si>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</si>
  <si>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</si>
  <si>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</si>
  <si>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</si>
  <si>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</si>
  <si>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</si>
  <si>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</si>
  <si>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</si>
  <si>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</si>
  <si>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</si>
  <si>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</si>
  <si>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</si>
  <si>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</si>
  <si>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</si>
  <si>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</si>
  <si>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</si>
  <si>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</si>
  <si>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</si>
  <si>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</si>
  <si>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</si>
  <si>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</si>
  <si>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</si>
  <si>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</si>
  <si>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</si>
  <si>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</si>
  <si>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</si>
  <si>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</si>
  <si>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</si>
  <si>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</si>
  <si>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</si>
  <si>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</si>
  <si>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</si>
  <si>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</si>
  <si>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</si>
  <si>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</si>
  <si>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</si>
  <si>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</si>
  <si>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</si>
  <si>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</si>
  <si>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</si>
  <si>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</si>
  <si>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</si>
  <si>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</si>
  <si>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</si>
  <si>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</si>
  <si>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</si>
  <si>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</si>
  <si>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</si>
  <si>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</si>
  <si>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</si>
  <si>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</si>
  <si>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</si>
  <si>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</si>
  <si>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</si>
  <si>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</si>
  <si>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</si>
  <si>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</si>
  <si>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</si>
  <si>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</si>
  <si>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</si>
  <si>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</si>
  <si>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</si>
  <si>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</si>
  <si>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</si>
  <si>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</si>
  <si>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</si>
  <si>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</si>
  <si>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</si>
  <si>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</si>
  <si>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</si>
  <si>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</si>
  <si>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</si>
  <si>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</si>
  <si>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</si>
  <si>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</si>
  <si>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</si>
  <si>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</si>
  <si>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</si>
  <si>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</si>
  <si>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</si>
  <si>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</si>
  <si>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</si>
  <si>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</si>
  <si>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</si>
  <si>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</si>
  <si>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</si>
  <si>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</si>
  <si>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</si>
  <si>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</si>
  <si>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</si>
  <si>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</si>
  <si>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</si>
  <si>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</si>
  <si>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</si>
  <si>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</si>
  <si>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</si>
  <si>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</si>
  <si>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</si>
  <si>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</si>
  <si>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</si>
  <si>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</si>
  <si>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</si>
  <si>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</si>
  <si>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</si>
  <si>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</si>
  <si>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</si>
  <si>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</si>
  <si>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</si>
  <si>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</si>
  <si>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</si>
  <si>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</si>
  <si>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</si>
  <si>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</si>
  <si>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</si>
  <si>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</si>
  <si>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</si>
  <si>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</si>
  <si>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</si>
  <si>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</si>
  <si>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</si>
  <si>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</si>
  <si>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</si>
  <si>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</si>
  <si>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</si>
  <si>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</si>
  <si>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</si>
  <si>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</si>
  <si>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</si>
  <si>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</si>
  <si>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</si>
  <si>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</si>
  <si>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</si>
  <si>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</si>
  <si>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</si>
  <si>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</si>
  <si>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</si>
  <si>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</si>
  <si>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</si>
  <si>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</si>
  <si>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</si>
  <si>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</si>
  <si>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</si>
  <si>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</si>
  <si>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</si>
  <si>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</si>
  <si>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</si>
  <si>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</si>
  <si>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</si>
  <si>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</si>
  <si>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</si>
  <si>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</si>
  <si>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</si>
  <si>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</si>
  <si>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</si>
  <si>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</si>
  <si>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</si>
  <si>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</si>
  <si>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</si>
  <si>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</si>
  <si>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</si>
  <si>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</si>
  <si>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</si>
  <si>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</si>
  <si>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</si>
  <si>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</si>
  <si>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</si>
  <si>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</si>
  <si>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</si>
  <si>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</si>
  <si>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</si>
  <si>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</si>
  <si>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</si>
  <si>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</si>
  <si>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</si>
  <si>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</si>
  <si>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</si>
  <si>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</si>
  <si>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</si>
  <si>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</si>
  <si>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</si>
  <si>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</si>
  <si>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</si>
  <si>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</si>
  <si>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</si>
  <si>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</si>
  <si>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</si>
  <si>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</si>
  <si>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</si>
  <si>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</si>
  <si>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</si>
  <si>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</si>
  <si>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</si>
  <si>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</si>
  <si>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</si>
  <si>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</si>
  <si>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</si>
  <si>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</si>
  <si>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</si>
  <si>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</si>
  <si>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</si>
  <si>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</si>
  <si>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</si>
  <si>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</si>
  <si>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</si>
  <si>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</si>
  <si>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</si>
  <si>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</si>
  <si>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</si>
  <si>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</si>
  <si>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</si>
  <si>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</si>
  <si>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</si>
  <si>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</si>
  <si>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</si>
  <si>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</si>
  <si>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</si>
  <si>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</si>
  <si>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</si>
  <si>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</si>
  <si>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</si>
  <si>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</si>
  <si>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</si>
  <si>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</si>
  <si>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</si>
  <si>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</si>
  <si>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</si>
  <si>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</si>
  <si>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</si>
  <si>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</si>
  <si>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</si>
  <si>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</si>
  <si>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</si>
  <si>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</si>
  <si>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</si>
  <si>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</si>
  <si>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</si>
  <si>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</si>
  <si>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</si>
  <si>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</si>
  <si>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</si>
  <si>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</si>
  <si>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</si>
  <si>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</si>
  <si>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</si>
  <si>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</si>
  <si>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</si>
  <si>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</si>
  <si>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</si>
  <si>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</si>
  <si>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</si>
  <si>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</si>
  <si>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</si>
  <si>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</si>
  <si>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</si>
  <si>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</si>
  <si>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</si>
  <si>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</si>
  <si>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</si>
  <si>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</si>
  <si>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</si>
  <si>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</si>
  <si>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</si>
  <si>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</si>
  <si>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</si>
  <si>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</si>
  <si>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</si>
  <si>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</si>
  <si>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</si>
  <si>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</si>
  <si>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</si>
  <si>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</si>
  <si>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</si>
  <si>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</si>
  <si>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</si>
  <si>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</si>
  <si>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</si>
  <si>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</si>
  <si>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</si>
  <si>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</si>
  <si>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</si>
  <si>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</si>
  <si>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</si>
  <si>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</si>
  <si>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</si>
  <si>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</si>
  <si>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</si>
  <si>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</si>
  <si>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</si>
  <si>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</si>
  <si>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</si>
  <si>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</si>
  <si>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</si>
  <si>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</si>
  <si>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</si>
  <si>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</si>
  <si>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</si>
  <si>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</si>
  <si>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</si>
  <si>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</si>
  <si>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</si>
  <si>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</si>
  <si>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</si>
  <si>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</si>
  <si>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</si>
  <si>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</si>
  <si>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</si>
  <si>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</si>
  <si>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</si>
  <si>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</si>
  <si>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</si>
  <si>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</si>
  <si>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</si>
  <si>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</si>
  <si>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</si>
  <si>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</si>
  <si>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</si>
  <si>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</si>
  <si>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</si>
  <si>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</si>
  <si>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</si>
  <si>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</si>
  <si>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</si>
  <si>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</si>
  <si>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</si>
  <si>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</si>
  <si>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</si>
  <si>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</si>
  <si>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</si>
  <si>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</si>
  <si>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</si>
  <si>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</si>
  <si>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</si>
  <si>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</si>
  <si>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</si>
  <si>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</si>
  <si>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</si>
  <si>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</si>
  <si>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</si>
  <si>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</si>
  <si>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</si>
  <si>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</si>
  <si>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</si>
  <si>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</si>
  <si>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</si>
  <si>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</si>
  <si>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</si>
  <si>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</si>
  <si>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</si>
  <si>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</si>
  <si>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</si>
  <si>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</si>
  <si>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</si>
  <si>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</si>
  <si>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</si>
  <si>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</si>
  <si>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</si>
  <si>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</si>
  <si>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</si>
  <si>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</si>
  <si>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</si>
  <si>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</si>
  <si>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</si>
  <si>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</si>
  <si>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</si>
  <si>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</si>
  <si>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</si>
  <si>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</si>
  <si>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</si>
  <si>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</si>
  <si>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</si>
  <si>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</si>
  <si>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</si>
  <si>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</si>
  <si>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</si>
  <si>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</si>
  <si>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</si>
  <si>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</si>
  <si>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</si>
  <si>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</si>
  <si>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</si>
  <si>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</si>
  <si>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</si>
  <si>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</si>
  <si>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</si>
  <si>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</si>
  <si>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</si>
  <si>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</si>
  <si>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</si>
  <si>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</si>
  <si>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</si>
  <si>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</si>
  <si>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</si>
  <si>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</si>
  <si>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</si>
  <si>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</si>
  <si>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</si>
  <si>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</si>
  <si>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</si>
  <si>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</si>
  <si>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</si>
  <si>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</si>
  <si>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</si>
  <si>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</si>
  <si>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</si>
  <si>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</si>
  <si>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</si>
  <si>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</si>
  <si>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</si>
  <si>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</si>
  <si>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</si>
  <si>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</si>
  <si>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</si>
  <si>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</si>
  <si>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</si>
  <si>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</si>
  <si>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</si>
  <si>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</si>
  <si>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</si>
  <si>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</si>
  <si>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</si>
  <si>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</si>
  <si>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</si>
  <si>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</si>
  <si>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</si>
  <si>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</si>
  <si>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</si>
  <si>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</si>
  <si>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</si>
  <si>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</si>
  <si>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</si>
  <si>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</si>
  <si>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</si>
  <si>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</si>
  <si>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</si>
  <si>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</si>
  <si>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</si>
  <si>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</si>
  <si>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</si>
  <si>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</si>
  <si>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</si>
  <si>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</si>
  <si>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</si>
  <si>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</si>
  <si>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</si>
  <si>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</si>
  <si>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</si>
  <si>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</si>
  <si>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</si>
  <si>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</si>
  <si>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</si>
  <si>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</si>
  <si>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</si>
  <si>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</si>
  <si>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</si>
  <si>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</si>
  <si>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</si>
  <si>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</si>
  <si>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</si>
  <si>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</si>
  <si>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</si>
  <si>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</si>
  <si>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</si>
  <si>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</si>
  <si>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</si>
  <si>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</si>
  <si>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</si>
  <si>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</si>
  <si>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</si>
  <si>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</si>
  <si>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</si>
  <si>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</si>
  <si>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</si>
  <si>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</si>
  <si>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</si>
  <si>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</si>
  <si>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</si>
  <si>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</si>
  <si>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</si>
  <si>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</si>
  <si>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</si>
  <si>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</si>
  <si>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</si>
  <si>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</si>
  <si>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</si>
  <si>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</si>
  <si>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</si>
  <si>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</si>
  <si>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</si>
  <si>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</si>
  <si>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</si>
  <si>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</si>
  <si>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</si>
  <si>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</si>
  <si>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</si>
  <si>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</si>
  <si>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</si>
  <si>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</si>
  <si>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</si>
  <si>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</si>
  <si>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</si>
  <si>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</si>
  <si>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</si>
  <si>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</si>
  <si>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</si>
  <si>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</si>
  <si>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</si>
  <si>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</si>
  <si>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</si>
  <si>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</si>
  <si>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</si>
  <si>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</si>
  <si>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</si>
  <si>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</si>
  <si>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</si>
  <si>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</si>
  <si>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</si>
  <si>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</si>
  <si>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</si>
  <si>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</si>
  <si>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</si>
  <si>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</si>
  <si>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</si>
  <si>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</si>
  <si>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</si>
  <si>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</si>
  <si>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</si>
  <si>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</si>
  <si>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</si>
  <si>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</si>
  <si>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</si>
  <si>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</si>
  <si>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</si>
  <si>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</si>
  <si>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</si>
  <si>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</si>
  <si>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</si>
  <si>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</si>
  <si>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</si>
  <si>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</si>
  <si>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</si>
  <si>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</si>
  <si>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</si>
  <si>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</si>
  <si>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</si>
  <si>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</si>
  <si>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</si>
  <si>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</si>
  <si>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</si>
  <si>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</si>
  <si>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</si>
  <si>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</si>
  <si>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</si>
  <si>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</si>
  <si>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</si>
  <si>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</si>
  <si>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</si>
  <si>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</si>
  <si>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</si>
  <si>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</si>
  <si>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</si>
  <si>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</si>
  <si>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</si>
  <si>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</si>
  <si>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</si>
  <si>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</si>
  <si>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</si>
  <si>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</si>
  <si>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</si>
  <si>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</si>
  <si>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</si>
  <si>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</si>
  <si>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</si>
  <si>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</si>
  <si>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</si>
  <si>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</si>
  <si>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</si>
  <si>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</si>
  <si>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</si>
  <si>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</si>
  <si>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</si>
  <si>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</si>
  <si>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</si>
  <si>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</si>
  <si>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</si>
  <si>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</si>
  <si>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</si>
  <si>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</si>
  <si>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</si>
  <si>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</si>
  <si>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</si>
  <si>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</si>
  <si>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</si>
  <si>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</si>
  <si>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</si>
  <si>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</si>
  <si>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</si>
  <si>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</si>
  <si>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</si>
  <si>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</si>
  <si>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</si>
  <si>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</si>
  <si>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</si>
  <si>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</si>
  <si>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</si>
  <si>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</si>
  <si>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</si>
  <si>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</si>
  <si>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</si>
  <si>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</si>
  <si>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</si>
  <si>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</si>
  <si>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</si>
  <si>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</si>
  <si>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</si>
  <si>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</si>
  <si>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</si>
  <si>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</si>
  <si>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</si>
  <si>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</si>
  <si>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</si>
  <si>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</si>
  <si>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</si>
  <si>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</si>
  <si>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</si>
  <si>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</si>
  <si>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</si>
  <si>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</si>
  <si>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</si>
  <si>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</si>
  <si>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</si>
  <si>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</si>
  <si>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</si>
  <si>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</si>
  <si>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</si>
  <si>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</si>
  <si>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</si>
  <si>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</si>
  <si>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</si>
  <si>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</si>
  <si>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</si>
  <si>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</si>
  <si>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</si>
  <si>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</si>
  <si>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</si>
  <si>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</si>
  <si>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</si>
  <si>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</si>
  <si>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</si>
  <si>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</si>
  <si>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</si>
  <si>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</si>
  <si>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</si>
  <si>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24045</t>
  </si>
  <si>
    <t>HULDENBERG</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</si>
  <si>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</si>
  <si>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</si>
  <si>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</si>
  <si>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</si>
  <si>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</si>
  <si>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</si>
  <si>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</si>
  <si>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Marc Siongers</t>
  </si>
  <si>
    <t>Biezenstraat 48 , 3040 Loonbeek</t>
  </si>
  <si>
    <t>WKK-0287 Siongers</t>
  </si>
  <si>
    <t>interne verbrandingsmotor</t>
  </si>
  <si>
    <t>WKK interne verbrandinsgmotor (gas)</t>
  </si>
  <si>
    <t>IVERLEK</t>
  </si>
  <si>
    <t>BMS-0075 Siongers</t>
  </si>
  <si>
    <t>biomassa uit land- of bosbouw</t>
  </si>
  <si>
    <t>niet WKK interne verbrandingsmotor (andere biomassa)</t>
  </si>
  <si>
    <t>Iverlek</t>
  </si>
  <si>
    <t>Electrabel NV</t>
  </si>
  <si>
    <t>Gewijde Boomstraat 46, 1050 Elsene</t>
  </si>
  <si>
    <t xml:space="preserve">BGS-0026 De Kock-Watco </t>
  </si>
  <si>
    <t>biogas - stortgas</t>
  </si>
  <si>
    <t>niet WKK interne verbrandingsmotor (gas)</t>
  </si>
  <si>
    <t>Wolfshaegen 15, 3040 Huldenberg</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</si>
</sst>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24045</v>
      </c>
      <c r="B6" s="396"/>
      <c r="C6" s="397"/>
    </row>
    <row r="7" spans="1:7" s="394" customFormat="1" ht="15.75" customHeight="1">
      <c r="A7" s="398" t="str">
        <f>txtMunicipality</f>
        <v>HULDENBERG</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24045</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3677</v>
      </c>
      <c r="C9" s="336">
        <v>3828</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1875</v>
      </c>
    </row>
    <row r="15" spans="1:6">
      <c r="A15" s="1194" t="s">
        <v>185</v>
      </c>
      <c r="B15" s="333">
        <v>8</v>
      </c>
    </row>
    <row r="16" spans="1:6">
      <c r="A16" s="1194" t="s">
        <v>6</v>
      </c>
      <c r="B16" s="333">
        <v>342</v>
      </c>
    </row>
    <row r="17" spans="1:6">
      <c r="A17" s="1194" t="s">
        <v>7</v>
      </c>
      <c r="B17" s="333">
        <v>435</v>
      </c>
    </row>
    <row r="18" spans="1:6">
      <c r="A18" s="1194" t="s">
        <v>8</v>
      </c>
      <c r="B18" s="333">
        <v>602</v>
      </c>
    </row>
    <row r="19" spans="1:6">
      <c r="A19" s="1194" t="s">
        <v>9</v>
      </c>
      <c r="B19" s="333">
        <v>581</v>
      </c>
    </row>
    <row r="20" spans="1:6">
      <c r="A20" s="1194" t="s">
        <v>10</v>
      </c>
      <c r="B20" s="333">
        <v>405</v>
      </c>
    </row>
    <row r="21" spans="1:6">
      <c r="A21" s="1194" t="s">
        <v>11</v>
      </c>
      <c r="B21" s="333">
        <v>0</v>
      </c>
    </row>
    <row r="22" spans="1:6">
      <c r="A22" s="1194" t="s">
        <v>12</v>
      </c>
      <c r="B22" s="333">
        <v>1017</v>
      </c>
    </row>
    <row r="23" spans="1:6">
      <c r="A23" s="1194" t="s">
        <v>13</v>
      </c>
      <c r="B23" s="333">
        <v>0</v>
      </c>
    </row>
    <row r="24" spans="1:6">
      <c r="A24" s="1194" t="s">
        <v>14</v>
      </c>
      <c r="B24" s="333">
        <v>0</v>
      </c>
    </row>
    <row r="25" spans="1:6">
      <c r="A25" s="1194" t="s">
        <v>15</v>
      </c>
      <c r="B25" s="333">
        <v>0</v>
      </c>
    </row>
    <row r="26" spans="1:6">
      <c r="A26" s="1194" t="s">
        <v>16</v>
      </c>
      <c r="B26" s="333">
        <v>208</v>
      </c>
    </row>
    <row r="27" spans="1:6">
      <c r="A27" s="1194" t="s">
        <v>17</v>
      </c>
      <c r="B27" s="333">
        <v>1</v>
      </c>
    </row>
    <row r="28" spans="1:6">
      <c r="A28" s="1194" t="s">
        <v>18</v>
      </c>
      <c r="B28" s="333">
        <v>12</v>
      </c>
    </row>
    <row r="29" spans="1:6">
      <c r="A29" s="1194" t="s">
        <v>888</v>
      </c>
      <c r="B29" s="333">
        <v>113</v>
      </c>
    </row>
    <row r="30" spans="1:6">
      <c r="A30" s="1190" t="s">
        <v>889</v>
      </c>
      <c r="B30" s="1190">
        <v>15</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3</v>
      </c>
      <c r="F38" s="333">
        <v>15798.125</v>
      </c>
    </row>
    <row r="39" spans="1:6">
      <c r="A39" s="1194" t="s">
        <v>30</v>
      </c>
      <c r="B39" s="1194" t="s">
        <v>31</v>
      </c>
      <c r="C39" s="333">
        <v>1202</v>
      </c>
      <c r="D39" s="333">
        <v>24576269.316434301</v>
      </c>
      <c r="E39" s="333">
        <v>3547</v>
      </c>
      <c r="F39" s="333">
        <v>17989384.7880079</v>
      </c>
    </row>
    <row r="40" spans="1:6">
      <c r="A40" s="1194" t="s">
        <v>30</v>
      </c>
      <c r="B40" s="1194" t="s">
        <v>29</v>
      </c>
      <c r="C40" s="333">
        <v>0</v>
      </c>
      <c r="D40" s="333">
        <v>0</v>
      </c>
      <c r="E40" s="333">
        <v>0</v>
      </c>
      <c r="F40" s="333">
        <v>0</v>
      </c>
    </row>
    <row r="41" spans="1:6">
      <c r="A41" s="1194" t="s">
        <v>32</v>
      </c>
      <c r="B41" s="1194" t="s">
        <v>33</v>
      </c>
      <c r="C41" s="333">
        <v>3</v>
      </c>
      <c r="D41" s="333">
        <v>106504.03250054301</v>
      </c>
      <c r="E41" s="333">
        <v>47</v>
      </c>
      <c r="F41" s="333">
        <v>372354.41906431701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7</v>
      </c>
      <c r="D48" s="333">
        <v>145784.67087483901</v>
      </c>
      <c r="E48" s="333">
        <v>26</v>
      </c>
      <c r="F48" s="333">
        <v>480838.10514417902</v>
      </c>
    </row>
    <row r="49" spans="1:6">
      <c r="A49" s="1194" t="s">
        <v>32</v>
      </c>
      <c r="B49" s="1194" t="s">
        <v>40</v>
      </c>
      <c r="C49" s="333">
        <v>0</v>
      </c>
      <c r="D49" s="333">
        <v>0</v>
      </c>
      <c r="E49" s="333">
        <v>0</v>
      </c>
      <c r="F49" s="333">
        <v>0</v>
      </c>
    </row>
    <row r="50" spans="1:6">
      <c r="A50" s="1194" t="s">
        <v>32</v>
      </c>
      <c r="B50" s="1194" t="s">
        <v>41</v>
      </c>
      <c r="C50" s="333">
        <v>5</v>
      </c>
      <c r="D50" s="333">
        <v>321824.72625058301</v>
      </c>
      <c r="E50" s="333">
        <v>8</v>
      </c>
      <c r="F50" s="333">
        <v>178686.47597324199</v>
      </c>
    </row>
    <row r="51" spans="1:6">
      <c r="A51" s="1194" t="s">
        <v>42</v>
      </c>
      <c r="B51" s="1194" t="s">
        <v>43</v>
      </c>
      <c r="C51" s="333">
        <v>3</v>
      </c>
      <c r="D51" s="333">
        <v>44135.616751811503</v>
      </c>
      <c r="E51" s="333">
        <v>49</v>
      </c>
      <c r="F51" s="333">
        <v>379832.06078648398</v>
      </c>
    </row>
    <row r="52" spans="1:6">
      <c r="A52" s="1194" t="s">
        <v>42</v>
      </c>
      <c r="B52" s="1194" t="s">
        <v>29</v>
      </c>
      <c r="C52" s="333">
        <v>2</v>
      </c>
      <c r="D52" s="333">
        <v>41195.737997948803</v>
      </c>
      <c r="E52" s="333">
        <v>5</v>
      </c>
      <c r="F52" s="333">
        <v>31230.291789659099</v>
      </c>
    </row>
    <row r="53" spans="1:6">
      <c r="A53" s="1194" t="s">
        <v>44</v>
      </c>
      <c r="B53" s="1194" t="s">
        <v>45</v>
      </c>
      <c r="C53" s="333">
        <v>57</v>
      </c>
      <c r="D53" s="333">
        <v>1354660.9303047101</v>
      </c>
      <c r="E53" s="333">
        <v>129</v>
      </c>
      <c r="F53" s="333">
        <v>763969.92145761196</v>
      </c>
    </row>
    <row r="54" spans="1:6">
      <c r="A54" s="1194" t="s">
        <v>46</v>
      </c>
      <c r="B54" s="1194" t="s">
        <v>47</v>
      </c>
      <c r="C54" s="333">
        <v>0</v>
      </c>
      <c r="D54" s="333">
        <v>0</v>
      </c>
      <c r="E54" s="333">
        <v>1</v>
      </c>
      <c r="F54" s="333">
        <v>711233</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11</v>
      </c>
      <c r="D57" s="333">
        <v>497574.76907965302</v>
      </c>
      <c r="E57" s="333">
        <v>33</v>
      </c>
      <c r="F57" s="333">
        <v>3672155.5594655802</v>
      </c>
    </row>
    <row r="58" spans="1:6">
      <c r="A58" s="1194" t="s">
        <v>49</v>
      </c>
      <c r="B58" s="1194" t="s">
        <v>51</v>
      </c>
      <c r="C58" s="333">
        <v>0</v>
      </c>
      <c r="D58" s="333">
        <v>0</v>
      </c>
      <c r="E58" s="333">
        <v>0</v>
      </c>
      <c r="F58" s="333">
        <v>0</v>
      </c>
    </row>
    <row r="59" spans="1:6">
      <c r="A59" s="1194" t="s">
        <v>49</v>
      </c>
      <c r="B59" s="1194" t="s">
        <v>52</v>
      </c>
      <c r="C59" s="333">
        <v>11</v>
      </c>
      <c r="D59" s="333">
        <v>184930.59599018999</v>
      </c>
      <c r="E59" s="333">
        <v>49</v>
      </c>
      <c r="F59" s="333">
        <v>1293314.9684061301</v>
      </c>
    </row>
    <row r="60" spans="1:6">
      <c r="A60" s="1194" t="s">
        <v>49</v>
      </c>
      <c r="B60" s="1194" t="s">
        <v>53</v>
      </c>
      <c r="C60" s="333">
        <v>7</v>
      </c>
      <c r="D60" s="333">
        <v>324343.36944800598</v>
      </c>
      <c r="E60" s="333">
        <v>20</v>
      </c>
      <c r="F60" s="333">
        <v>327191.66299337102</v>
      </c>
    </row>
    <row r="61" spans="1:6">
      <c r="A61" s="1194" t="s">
        <v>49</v>
      </c>
      <c r="B61" s="1194" t="s">
        <v>54</v>
      </c>
      <c r="C61" s="333">
        <v>37</v>
      </c>
      <c r="D61" s="333">
        <v>2824978.66642643</v>
      </c>
      <c r="E61" s="333">
        <v>143</v>
      </c>
      <c r="F61" s="333">
        <v>1412438.2203454699</v>
      </c>
    </row>
    <row r="62" spans="1:6">
      <c r="A62" s="1194" t="s">
        <v>49</v>
      </c>
      <c r="B62" s="1194" t="s">
        <v>55</v>
      </c>
      <c r="C62" s="333">
        <v>0</v>
      </c>
      <c r="D62" s="333">
        <v>0</v>
      </c>
      <c r="E62" s="333">
        <v>0</v>
      </c>
      <c r="F62" s="333">
        <v>0</v>
      </c>
    </row>
    <row r="63" spans="1:6">
      <c r="A63" s="1194" t="s">
        <v>49</v>
      </c>
      <c r="B63" s="1194" t="s">
        <v>29</v>
      </c>
      <c r="C63" s="333">
        <v>54</v>
      </c>
      <c r="D63" s="333">
        <v>3199427.5406168601</v>
      </c>
      <c r="E63" s="333">
        <v>80</v>
      </c>
      <c r="F63" s="333">
        <v>2117066.6298851902</v>
      </c>
    </row>
    <row r="64" spans="1:6">
      <c r="A64" s="1194" t="s">
        <v>56</v>
      </c>
      <c r="B64" s="1194" t="s">
        <v>57</v>
      </c>
      <c r="C64" s="333">
        <v>0</v>
      </c>
      <c r="D64" s="333">
        <v>0</v>
      </c>
      <c r="E64" s="333">
        <v>0</v>
      </c>
      <c r="F64" s="333">
        <v>0</v>
      </c>
    </row>
    <row r="65" spans="1:6">
      <c r="A65" s="1194" t="s">
        <v>56</v>
      </c>
      <c r="B65" s="1194" t="s">
        <v>29</v>
      </c>
      <c r="C65" s="333">
        <v>1</v>
      </c>
      <c r="D65" s="333">
        <v>31575.958334552699</v>
      </c>
      <c r="E65" s="333">
        <v>2</v>
      </c>
      <c r="F65" s="333">
        <v>232897.949030155</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0</v>
      </c>
      <c r="F68" s="333">
        <v>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35713476</v>
      </c>
      <c r="E73" s="333">
        <v>36760845.94896052</v>
      </c>
      <c r="F73" s="333">
        <v>35730992</v>
      </c>
    </row>
    <row r="74" spans="1:6">
      <c r="A74" s="1194" t="s">
        <v>64</v>
      </c>
      <c r="B74" s="1194" t="s">
        <v>775</v>
      </c>
      <c r="C74" s="1205" t="s">
        <v>776</v>
      </c>
      <c r="D74" s="333">
        <v>1403343.0146165814</v>
      </c>
      <c r="E74" s="333">
        <v>1515976.5475850035</v>
      </c>
      <c r="F74" s="333">
        <v>1458794.8305473237</v>
      </c>
    </row>
    <row r="75" spans="1:6">
      <c r="A75" s="1194" t="s">
        <v>65</v>
      </c>
      <c r="B75" s="1194" t="s">
        <v>773</v>
      </c>
      <c r="C75" s="1205" t="s">
        <v>777</v>
      </c>
      <c r="D75" s="333">
        <v>33944445</v>
      </c>
      <c r="E75" s="333">
        <v>35138164.25915087</v>
      </c>
      <c r="F75" s="333">
        <v>34033416</v>
      </c>
    </row>
    <row r="76" spans="1:6">
      <c r="A76" s="1194" t="s">
        <v>65</v>
      </c>
      <c r="B76" s="1194" t="s">
        <v>775</v>
      </c>
      <c r="C76" s="1205" t="s">
        <v>778</v>
      </c>
      <c r="D76" s="333">
        <v>822533.01461658138</v>
      </c>
      <c r="E76" s="333">
        <v>916731.01527965406</v>
      </c>
      <c r="F76" s="333">
        <v>870761.83054732368</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715969.97076683713</v>
      </c>
      <c r="C83" s="333">
        <v>658961.78299282189</v>
      </c>
      <c r="D83" s="333">
        <v>662924.33890535252</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944.68827287140164</v>
      </c>
    </row>
    <row r="92" spans="1:6">
      <c r="A92" s="1190" t="s">
        <v>69</v>
      </c>
      <c r="B92" s="336">
        <v>38.779609180358683</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519</v>
      </c>
    </row>
    <row r="98" spans="1:6">
      <c r="A98" s="1194" t="s">
        <v>72</v>
      </c>
      <c r="B98" s="333">
        <v>1</v>
      </c>
    </row>
    <row r="99" spans="1:6">
      <c r="A99" s="1194" t="s">
        <v>73</v>
      </c>
      <c r="B99" s="333">
        <v>94</v>
      </c>
    </row>
    <row r="100" spans="1:6">
      <c r="A100" s="1194" t="s">
        <v>74</v>
      </c>
      <c r="B100" s="333">
        <v>266</v>
      </c>
    </row>
    <row r="101" spans="1:6">
      <c r="A101" s="1194" t="s">
        <v>75</v>
      </c>
      <c r="B101" s="333">
        <v>58</v>
      </c>
    </row>
    <row r="102" spans="1:6">
      <c r="A102" s="1194" t="s">
        <v>76</v>
      </c>
      <c r="B102" s="333">
        <v>47</v>
      </c>
    </row>
    <row r="103" spans="1:6">
      <c r="A103" s="1194" t="s">
        <v>77</v>
      </c>
      <c r="B103" s="333">
        <v>96</v>
      </c>
    </row>
    <row r="104" spans="1:6">
      <c r="A104" s="1194" t="s">
        <v>78</v>
      </c>
      <c r="B104" s="333">
        <v>2219</v>
      </c>
    </row>
    <row r="105" spans="1:6">
      <c r="A105" s="1190" t="s">
        <v>79</v>
      </c>
      <c r="B105" s="1190">
        <v>4</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8</v>
      </c>
      <c r="C123" s="333">
        <v>7</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47</v>
      </c>
    </row>
    <row r="130" spans="1:6">
      <c r="A130" s="1194" t="s">
        <v>296</v>
      </c>
      <c r="B130" s="333">
        <v>1</v>
      </c>
    </row>
    <row r="131" spans="1:6">
      <c r="A131" s="1194" t="s">
        <v>297</v>
      </c>
      <c r="B131" s="333">
        <v>0</v>
      </c>
    </row>
    <row r="132" spans="1:6">
      <c r="A132" s="1190" t="s">
        <v>298</v>
      </c>
      <c r="B132" s="336">
        <v>8</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34775.470605546689</v>
      </c>
      <c r="C3" s="43" t="s">
        <v>171</v>
      </c>
      <c r="D3" s="43"/>
      <c r="E3" s="156"/>
      <c r="F3" s="43"/>
      <c r="G3" s="43"/>
      <c r="H3" s="43"/>
      <c r="I3" s="43"/>
      <c r="J3" s="43"/>
      <c r="K3" s="96"/>
    </row>
    <row r="4" spans="1:11">
      <c r="A4" s="364" t="s">
        <v>172</v>
      </c>
      <c r="B4" s="49">
        <f>IF(ISERROR('SEAP template'!B69),0,'SEAP template'!B69)</f>
        <v>5847.9678820517602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0.18383584723861937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711.23299999999995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711.23299999999995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0.18383584723861937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130.75012113906496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17989.384788007901</v>
      </c>
      <c r="C5" s="17">
        <f>IF(ISERROR('Eigen informatie GS &amp; warmtenet'!B57),0,'Eigen informatie GS &amp; warmtenet'!B57)</f>
        <v>0</v>
      </c>
      <c r="D5" s="30">
        <f>(SUM(HH_hh_gas_kWh,HH_rest_gas_kWh)/1000)*0.902</f>
        <v>22167.794923423739</v>
      </c>
      <c r="E5" s="17">
        <f>B46*B57</f>
        <v>3825.4686596127963</v>
      </c>
      <c r="F5" s="17">
        <f>B51*B62</f>
        <v>36581.418432218095</v>
      </c>
      <c r="G5" s="18"/>
      <c r="H5" s="17"/>
      <c r="I5" s="17"/>
      <c r="J5" s="17">
        <f>B50*B61+C50*C61</f>
        <v>794.60353950379704</v>
      </c>
      <c r="K5" s="17"/>
      <c r="L5" s="17"/>
      <c r="M5" s="17"/>
      <c r="N5" s="17">
        <f>B48*B59+C48*C59</f>
        <v>6829.4336362810927</v>
      </c>
      <c r="O5" s="17">
        <f>B69*B70*B71</f>
        <v>84.42</v>
      </c>
      <c r="P5" s="17">
        <f>B77*B78*B79/1000-B77*B78*B79/1000/B80</f>
        <v>305.06666666666666</v>
      </c>
    </row>
    <row r="6" spans="1:16">
      <c r="A6" s="16" t="s">
        <v>633</v>
      </c>
      <c r="B6" s="830">
        <f>kWh_PV_kleiner_dan_10kW</f>
        <v>944.68827287140164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18934.073060879302</v>
      </c>
      <c r="C8" s="21">
        <f>C5</f>
        <v>0</v>
      </c>
      <c r="D8" s="21">
        <f>D5</f>
        <v>22167.794923423739</v>
      </c>
      <c r="E8" s="21">
        <f>E5</f>
        <v>3825.4686596127963</v>
      </c>
      <c r="F8" s="21">
        <f>F5</f>
        <v>36581.418432218095</v>
      </c>
      <c r="G8" s="21"/>
      <c r="H8" s="21"/>
      <c r="I8" s="21"/>
      <c r="J8" s="21">
        <f>J5</f>
        <v>794.60353950379704</v>
      </c>
      <c r="K8" s="21"/>
      <c r="L8" s="21">
        <f>L5</f>
        <v>0</v>
      </c>
      <c r="M8" s="21">
        <f>M5</f>
        <v>0</v>
      </c>
      <c r="N8" s="21">
        <f>N5</f>
        <v>6829.4336362810927</v>
      </c>
      <c r="O8" s="21">
        <f>O5</f>
        <v>84.42</v>
      </c>
      <c r="P8" s="21">
        <f>P5</f>
        <v>305.06666666666666</v>
      </c>
    </row>
    <row r="9" spans="1:16">
      <c r="B9" s="19"/>
      <c r="C9" s="19"/>
      <c r="D9" s="260"/>
      <c r="E9" s="19"/>
      <c r="F9" s="19"/>
      <c r="G9" s="19"/>
      <c r="H9" s="19"/>
      <c r="I9" s="19"/>
      <c r="J9" s="19"/>
      <c r="K9" s="19"/>
      <c r="L9" s="19"/>
      <c r="M9" s="19"/>
      <c r="N9" s="19"/>
      <c r="O9" s="19"/>
      <c r="P9" s="19"/>
    </row>
    <row r="10" spans="1:16">
      <c r="A10" s="24" t="s">
        <v>215</v>
      </c>
      <c r="B10" s="25">
        <f ca="1">'EF ele_warmte'!B12</f>
        <v>0.18383584723861937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3480.7613628246654</v>
      </c>
      <c r="C12" s="23">
        <f ca="1">C10*C8</f>
        <v>0</v>
      </c>
      <c r="D12" s="23">
        <f>D8*D10</f>
        <v>4477.894574531595</v>
      </c>
      <c r="E12" s="23">
        <f>E10*E8</f>
        <v>868.38138573210483</v>
      </c>
      <c r="F12" s="23">
        <f>F10*F8</f>
        <v>9767.2387214022328</v>
      </c>
      <c r="G12" s="23"/>
      <c r="H12" s="23"/>
      <c r="I12" s="23"/>
      <c r="J12" s="23">
        <f>J10*J8</f>
        <v>281.28965298434412</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519</v>
      </c>
      <c r="C18" s="167" t="s">
        <v>111</v>
      </c>
      <c r="D18" s="229"/>
      <c r="E18" s="15"/>
    </row>
    <row r="19" spans="1:7">
      <c r="A19" s="172" t="s">
        <v>72</v>
      </c>
      <c r="B19" s="37">
        <f>aantalw2001_ander</f>
        <v>1</v>
      </c>
      <c r="C19" s="167" t="s">
        <v>111</v>
      </c>
      <c r="D19" s="230"/>
      <c r="E19" s="15"/>
    </row>
    <row r="20" spans="1:7">
      <c r="A20" s="172" t="s">
        <v>73</v>
      </c>
      <c r="B20" s="37">
        <f>aantalw2001_propaan</f>
        <v>94</v>
      </c>
      <c r="C20" s="168">
        <f>IF(ISERROR(B20/SUM($B$20,$B$21,$B$22)*100),0,B20/SUM($B$20,$B$21,$B$22)*100)</f>
        <v>22.488038277511961</v>
      </c>
      <c r="D20" s="230"/>
      <c r="E20" s="15"/>
    </row>
    <row r="21" spans="1:7">
      <c r="A21" s="172" t="s">
        <v>74</v>
      </c>
      <c r="B21" s="37">
        <f>aantalw2001_elektriciteit</f>
        <v>266</v>
      </c>
      <c r="C21" s="168">
        <f>IF(ISERROR(B21/SUM($B$20,$B$21,$B$22)*100),0,B21/SUM($B$20,$B$21,$B$22)*100)</f>
        <v>63.636363636363633</v>
      </c>
      <c r="D21" s="230"/>
      <c r="E21" s="15"/>
    </row>
    <row r="22" spans="1:7">
      <c r="A22" s="172" t="s">
        <v>75</v>
      </c>
      <c r="B22" s="37">
        <f>aantalw2001_hout</f>
        <v>58</v>
      </c>
      <c r="C22" s="168">
        <f>IF(ISERROR(B22/SUM($B$20,$B$21,$B$22)*100),0,B22/SUM($B$20,$B$21,$B$22)*100)</f>
        <v>13.875598086124402</v>
      </c>
      <c r="D22" s="230"/>
      <c r="E22" s="15"/>
    </row>
    <row r="23" spans="1:7">
      <c r="A23" s="172" t="s">
        <v>76</v>
      </c>
      <c r="B23" s="37">
        <f>aantalw2001_niet_gespec</f>
        <v>47</v>
      </c>
      <c r="C23" s="167" t="s">
        <v>111</v>
      </c>
      <c r="D23" s="229"/>
      <c r="E23" s="15"/>
    </row>
    <row r="24" spans="1:7">
      <c r="A24" s="172" t="s">
        <v>77</v>
      </c>
      <c r="B24" s="37">
        <f>aantalw2001_steenkool</f>
        <v>96</v>
      </c>
      <c r="C24" s="167" t="s">
        <v>111</v>
      </c>
      <c r="D24" s="230"/>
      <c r="E24" s="15"/>
    </row>
    <row r="25" spans="1:7">
      <c r="A25" s="172" t="s">
        <v>78</v>
      </c>
      <c r="B25" s="37">
        <f>aantalw2001_stookolie</f>
        <v>2219</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713</v>
      </c>
      <c r="B28" s="37">
        <f>aantalHuishoudens2011</f>
        <v>3677</v>
      </c>
      <c r="C28" s="36"/>
      <c r="D28" s="229"/>
    </row>
    <row r="29" spans="1:7" s="15" customFormat="1">
      <c r="A29" s="231" t="s">
        <v>714</v>
      </c>
      <c r="B29" s="37">
        <f>SUM(HH_hh_gas_aantal,HH_rest_gas_aantal)</f>
        <v>1202</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1202</v>
      </c>
      <c r="C32" s="168">
        <f>IF(ISERROR(B32/SUM($B$32,$B$34,$B$35,$B$36,$B$38,$B$39)*100),0,B32/SUM($B$32,$B$34,$B$35,$B$36,$B$38,$B$39)*100)</f>
        <v>32.832559409997266</v>
      </c>
      <c r="D32" s="234"/>
      <c r="G32" s="15"/>
    </row>
    <row r="33" spans="1:7">
      <c r="A33" s="172" t="s">
        <v>72</v>
      </c>
      <c r="B33" s="34" t="s">
        <v>111</v>
      </c>
      <c r="C33" s="168"/>
      <c r="D33" s="234"/>
      <c r="G33" s="15"/>
    </row>
    <row r="34" spans="1:7">
      <c r="A34" s="172" t="s">
        <v>73</v>
      </c>
      <c r="B34" s="33">
        <f>IF((($B$28-$B$32-$B$39-$B$77-$B$38)*C20/100)&lt;0,0,($B$28-$B$32-$B$39-$B$77-$B$38)*C20/100)</f>
        <v>185.97607655502395</v>
      </c>
      <c r="C34" s="168">
        <f>IF(ISERROR(B34/SUM($B$32,$B$34,$B$35,$B$36,$B$38,$B$39)*100),0,B34/SUM($B$32,$B$34,$B$35,$B$36,$B$38,$B$39)*100)</f>
        <v>5.0799256092604193</v>
      </c>
      <c r="D34" s="234"/>
      <c r="G34" s="15"/>
    </row>
    <row r="35" spans="1:7">
      <c r="A35" s="172" t="s">
        <v>74</v>
      </c>
      <c r="B35" s="33">
        <f>IF((($B$28-$B$32-$B$39-$B$77-$B$38)*C21/100)&lt;0,0,($B$28-$B$32-$B$39-$B$77-$B$38)*C21/100)</f>
        <v>526.27272727272725</v>
      </c>
      <c r="C35" s="168">
        <f>IF(ISERROR(B35/SUM($B$32,$B$34,$B$35,$B$36,$B$38,$B$39)*100),0,B35/SUM($B$32,$B$34,$B$35,$B$36,$B$38,$B$39)*100)</f>
        <v>14.375108638970971</v>
      </c>
      <c r="D35" s="234"/>
      <c r="G35" s="15"/>
    </row>
    <row r="36" spans="1:7">
      <c r="A36" s="172" t="s">
        <v>75</v>
      </c>
      <c r="B36" s="33">
        <f>IF((($B$28-$B$32-$B$39-$B$77-$B$38)*C22/100)&lt;0,0,($B$28-$B$32-$B$39-$B$77-$B$38)*C22/100)</f>
        <v>114.7511961722488</v>
      </c>
      <c r="C36" s="168">
        <f>IF(ISERROR(B36/SUM($B$32,$B$34,$B$35,$B$36,$B$38,$B$39)*100),0,B36/SUM($B$32,$B$34,$B$35,$B$36,$B$38,$B$39)*100)</f>
        <v>3.134422184437279</v>
      </c>
      <c r="D36" s="234"/>
      <c r="G36" s="15"/>
    </row>
    <row r="37" spans="1:7">
      <c r="A37" s="172" t="s">
        <v>76</v>
      </c>
      <c r="B37" s="34" t="s">
        <v>111</v>
      </c>
      <c r="C37" s="168"/>
      <c r="D37" s="174"/>
      <c r="G37" s="15"/>
    </row>
    <row r="38" spans="1:7">
      <c r="A38" s="172" t="s">
        <v>77</v>
      </c>
      <c r="B38" s="33">
        <f>IF((B24-(B29-B18)*0.1)&lt;0,0,B24-(B29-B18)*0.1)</f>
        <v>27.700000000000003</v>
      </c>
      <c r="C38" s="168">
        <f>IF(ISERROR(B38/SUM($B$32,$B$34,$B$35,$B$36,$B$38,$B$39)*100),0,B38/SUM($B$32,$B$34,$B$35,$B$36,$B$38,$B$39)*100)</f>
        <v>0.75662387325867264</v>
      </c>
      <c r="D38" s="235"/>
      <c r="G38" s="15"/>
    </row>
    <row r="39" spans="1:7">
      <c r="A39" s="172" t="s">
        <v>78</v>
      </c>
      <c r="B39" s="33">
        <f>IF((B25-(B29-B18))&lt;0,0,B25-(B29-B18)*0.9)</f>
        <v>1604.3</v>
      </c>
      <c r="C39" s="168">
        <f>IF(ISERROR(B39/SUM($B$32,$B$34,$B$35,$B$36,$B$38,$B$39)*100),0,B39/SUM($B$32,$B$34,$B$35,$B$36,$B$38,$B$39)*100)</f>
        <v>43.821360284075389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1202</v>
      </c>
      <c r="C44" s="34" t="s">
        <v>111</v>
      </c>
      <c r="D44" s="175"/>
    </row>
    <row r="45" spans="1:7">
      <c r="A45" s="172" t="s">
        <v>72</v>
      </c>
      <c r="B45" s="33" t="str">
        <f t="shared" si="0"/>
        <v>-</v>
      </c>
      <c r="C45" s="34" t="s">
        <v>111</v>
      </c>
      <c r="D45" s="175"/>
    </row>
    <row r="46" spans="1:7">
      <c r="A46" s="172" t="s">
        <v>73</v>
      </c>
      <c r="B46" s="33">
        <f t="shared" si="0"/>
        <v>185.97607655502395</v>
      </c>
      <c r="C46" s="34" t="s">
        <v>111</v>
      </c>
      <c r="D46" s="175"/>
    </row>
    <row r="47" spans="1:7">
      <c r="A47" s="172" t="s">
        <v>74</v>
      </c>
      <c r="B47" s="33">
        <f t="shared" si="0"/>
        <v>526.27272727272725</v>
      </c>
      <c r="C47" s="34" t="s">
        <v>111</v>
      </c>
      <c r="D47" s="175"/>
    </row>
    <row r="48" spans="1:7">
      <c r="A48" s="172" t="s">
        <v>75</v>
      </c>
      <c r="B48" s="33">
        <f t="shared" si="0"/>
        <v>114.7511961722488</v>
      </c>
      <c r="C48" s="33">
        <f>B48*10</f>
        <v>1147.511961722488</v>
      </c>
      <c r="D48" s="235"/>
    </row>
    <row r="49" spans="1:6">
      <c r="A49" s="172" t="s">
        <v>76</v>
      </c>
      <c r="B49" s="33" t="str">
        <f t="shared" si="0"/>
        <v>-</v>
      </c>
      <c r="C49" s="34" t="s">
        <v>111</v>
      </c>
      <c r="D49" s="235"/>
    </row>
    <row r="50" spans="1:6">
      <c r="A50" s="172" t="s">
        <v>77</v>
      </c>
      <c r="B50" s="33">
        <f t="shared" si="0"/>
        <v>27.700000000000003</v>
      </c>
      <c r="C50" s="33">
        <f>B50*2</f>
        <v>55.400000000000006</v>
      </c>
      <c r="D50" s="235"/>
    </row>
    <row r="51" spans="1:6">
      <c r="A51" s="172" t="s">
        <v>78</v>
      </c>
      <c r="B51" s="33">
        <f t="shared" si="0"/>
        <v>1604.3</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8822.1670410957413</v>
      </c>
      <c r="C5" s="17">
        <f>IF(ISERROR('Eigen informatie GS &amp; warmtenet'!B58),0,'Eigen informatie GS &amp; warmtenet'!B58)</f>
        <v>0</v>
      </c>
      <c r="D5" s="30">
        <f>SUM(D6:D12)</f>
        <v>6342.1919572881488</v>
      </c>
      <c r="E5" s="17">
        <f>SUM(E6:E12)</f>
        <v>142.32899446477492</v>
      </c>
      <c r="F5" s="17">
        <f>SUM(F6:F12)</f>
        <v>1861.8373165318169</v>
      </c>
      <c r="G5" s="18"/>
      <c r="H5" s="17"/>
      <c r="I5" s="17"/>
      <c r="J5" s="17">
        <f>SUM(J6:J12)</f>
        <v>0</v>
      </c>
      <c r="K5" s="17"/>
      <c r="L5" s="17"/>
      <c r="M5" s="17"/>
      <c r="N5" s="17">
        <f>SUM(N6:N12)</f>
        <v>917.92088917795297</v>
      </c>
      <c r="O5" s="17">
        <f>B38*B39*B40</f>
        <v>1.5633333333333335</v>
      </c>
      <c r="P5" s="17">
        <f>B46*B47*B48/1000-B46*B47*B48/1000/B49</f>
        <v>0</v>
      </c>
      <c r="R5" s="32"/>
    </row>
    <row r="6" spans="1:18">
      <c r="A6" s="32" t="s">
        <v>54</v>
      </c>
      <c r="B6" s="37">
        <f>B26</f>
        <v>1412.43822034547</v>
      </c>
      <c r="C6" s="33"/>
      <c r="D6" s="37">
        <f>IF(ISERROR(TER_kantoor_gas_kWh/1000),0,TER_kantoor_gas_kWh/1000)*0.902</f>
        <v>2548.1307571166403</v>
      </c>
      <c r="E6" s="33">
        <f>$C$26*'E Balans VL '!I12/100/3.6*1000000</f>
        <v>49.440893886188221</v>
      </c>
      <c r="F6" s="33">
        <f>$C$26*('E Balans VL '!L12+'E Balans VL '!N12)/100/3.6*1000000</f>
        <v>214.15595895580873</v>
      </c>
      <c r="G6" s="34"/>
      <c r="H6" s="33"/>
      <c r="I6" s="33"/>
      <c r="J6" s="33">
        <f>$C$26*('E Balans VL '!D12+'E Balans VL '!E12)/100/3.6*1000000</f>
        <v>0</v>
      </c>
      <c r="K6" s="33"/>
      <c r="L6" s="33"/>
      <c r="M6" s="33"/>
      <c r="N6" s="33">
        <f>$C$26*'E Balans VL '!Y12/100/3.6*1000000</f>
        <v>10.917705362274129</v>
      </c>
      <c r="O6" s="33"/>
      <c r="P6" s="33"/>
      <c r="R6" s="32"/>
    </row>
    <row r="7" spans="1:18">
      <c r="A7" s="32" t="s">
        <v>53</v>
      </c>
      <c r="B7" s="37">
        <f t="shared" ref="B7:B12" si="0">B27</f>
        <v>327.19166299337104</v>
      </c>
      <c r="C7" s="33"/>
      <c r="D7" s="37">
        <f>IF(ISERROR(TER_horeca_gas_kWh/1000),0,TER_horeca_gas_kWh/1000)*0.902</f>
        <v>292.55771924210143</v>
      </c>
      <c r="E7" s="33">
        <f>$C$27*'E Balans VL '!I9/100/3.6*1000000</f>
        <v>18.457960382395854</v>
      </c>
      <c r="F7" s="33">
        <f>$C$27*('E Balans VL '!L9+'E Balans VL '!N9)/100/3.6*1000000</f>
        <v>56.998598395356566</v>
      </c>
      <c r="G7" s="34"/>
      <c r="H7" s="33"/>
      <c r="I7" s="33"/>
      <c r="J7" s="33">
        <f>$C$27*('E Balans VL '!D9+'E Balans VL '!E9)/100/3.6*1000000</f>
        <v>0</v>
      </c>
      <c r="K7" s="33"/>
      <c r="L7" s="33"/>
      <c r="M7" s="33"/>
      <c r="N7" s="33">
        <f>$C$27*'E Balans VL '!Y9/100/3.6*1000000</f>
        <v>0</v>
      </c>
      <c r="O7" s="33"/>
      <c r="P7" s="33"/>
      <c r="R7" s="32"/>
    </row>
    <row r="8" spans="1:18">
      <c r="A8" s="6" t="s">
        <v>52</v>
      </c>
      <c r="B8" s="37">
        <f t="shared" si="0"/>
        <v>1293.31496840613</v>
      </c>
      <c r="C8" s="33"/>
      <c r="D8" s="37">
        <f>IF(ISERROR(TER_handel_gas_kWh/1000),0,TER_handel_gas_kWh/1000)*0.902</f>
        <v>166.80739758315138</v>
      </c>
      <c r="E8" s="33">
        <f>$C$28*'E Balans VL '!I13/100/3.6*1000000</f>
        <v>6.6397476489020084</v>
      </c>
      <c r="F8" s="33">
        <f>$C$28*('E Balans VL '!L13+'E Balans VL '!N13)/100/3.6*1000000</f>
        <v>199.40918436054005</v>
      </c>
      <c r="G8" s="34"/>
      <c r="H8" s="33"/>
      <c r="I8" s="33"/>
      <c r="J8" s="33">
        <f>$C$28*('E Balans VL '!D13+'E Balans VL '!E13)/100/3.6*1000000</f>
        <v>0</v>
      </c>
      <c r="K8" s="33"/>
      <c r="L8" s="33"/>
      <c r="M8" s="33"/>
      <c r="N8" s="33">
        <f>$C$28*'E Balans VL '!Y13/100/3.6*1000000</f>
        <v>0.60489919775773049</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3672.1555594655802</v>
      </c>
      <c r="C10" s="33"/>
      <c r="D10" s="37">
        <f>IF(ISERROR(TER_ander_gas_kWh/1000),0,TER_ander_gas_kWh/1000)*0.902</f>
        <v>448.81244170984706</v>
      </c>
      <c r="E10" s="33">
        <f>$C$30*'E Balans VL '!I14/100/3.6*1000000</f>
        <v>22.385550892485288</v>
      </c>
      <c r="F10" s="33">
        <f>$C$30*('E Balans VL '!L14+'E Balans VL '!N14)/100/3.6*1000000</f>
        <v>973.53874163939281</v>
      </c>
      <c r="G10" s="34"/>
      <c r="H10" s="33"/>
      <c r="I10" s="33"/>
      <c r="J10" s="33">
        <f>$C$30*('E Balans VL '!D14+'E Balans VL '!E14)/100/3.6*1000000</f>
        <v>0</v>
      </c>
      <c r="K10" s="33"/>
      <c r="L10" s="33"/>
      <c r="M10" s="33"/>
      <c r="N10" s="33">
        <f>$C$30*'E Balans VL '!Y14/100/3.6*1000000</f>
        <v>846.35250701562973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2117.0666298851902</v>
      </c>
      <c r="C12" s="33"/>
      <c r="D12" s="37">
        <f>IF(ISERROR(TER_rest_gas_kWh/1000),0,TER_rest_gas_kWh/1000)*0.902</f>
        <v>2885.8836416364084</v>
      </c>
      <c r="E12" s="33">
        <f>$C$32*'E Balans VL '!I8/100/3.6*1000000</f>
        <v>45.404841654803555</v>
      </c>
      <c r="F12" s="33">
        <f>$C$32*('E Balans VL '!L8+'E Balans VL '!N8)/100/3.6*1000000</f>
        <v>417.73483318071868</v>
      </c>
      <c r="G12" s="34"/>
      <c r="H12" s="33"/>
      <c r="I12" s="33"/>
      <c r="J12" s="33">
        <f>$C$32*('E Balans VL '!D8+'E Balans VL '!E8)/100/3.6*1000000</f>
        <v>0</v>
      </c>
      <c r="K12" s="33"/>
      <c r="L12" s="33"/>
      <c r="M12" s="33"/>
      <c r="N12" s="33">
        <f>$C$32*'E Balans VL '!Y8/100/3.6*1000000</f>
        <v>60.045777602291459</v>
      </c>
      <c r="O12" s="33"/>
      <c r="P12" s="33"/>
      <c r="R12" s="32"/>
    </row>
    <row r="13" spans="1:18">
      <c r="A13" s="16" t="s">
        <v>497</v>
      </c>
      <c r="B13" s="248">
        <f ca="1">'lokale energieproductie'!N90+'lokale energieproductie'!N59</f>
        <v>4864.5</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-13898.571428571429</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13686.667041095741</v>
      </c>
      <c r="C16" s="21">
        <f ca="1">C5+C13+C14</f>
        <v>0</v>
      </c>
      <c r="D16" s="21">
        <f t="shared" ref="D16:N16" ca="1" si="1">MAX((D5+D13+D14),0)</f>
        <v>6342.1919572881488</v>
      </c>
      <c r="E16" s="21">
        <f t="shared" si="1"/>
        <v>142.32899446477492</v>
      </c>
      <c r="F16" s="21">
        <f t="shared" ca="1" si="1"/>
        <v>1861.8373165318169</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0.18383584723861937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2516.1000313727232</v>
      </c>
      <c r="C20" s="23">
        <f t="shared" ref="C20:P20" ca="1" si="2">C16*C18</f>
        <v>0</v>
      </c>
      <c r="D20" s="23">
        <f t="shared" ca="1" si="2"/>
        <v>1281.1227753722062</v>
      </c>
      <c r="E20" s="23">
        <f t="shared" si="2"/>
        <v>32.308681743503911</v>
      </c>
      <c r="F20" s="23">
        <f t="shared" ca="1" si="2"/>
        <v>497.11056351399515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1412.43822034547</v>
      </c>
      <c r="C26" s="39">
        <f>IF(ISERROR(B26*3.6/1000000/'E Balans VL '!Z12*100),0,B26*3.6/1000000/'E Balans VL '!Z12*100)</f>
        <v>2.9722419994696499E-2</v>
      </c>
      <c r="D26" s="238" t="s">
        <v>720</v>
      </c>
      <c r="F26" s="6"/>
    </row>
    <row r="27" spans="1:18">
      <c r="A27" s="232" t="s">
        <v>53</v>
      </c>
      <c r="B27" s="33">
        <f>IF(ISERROR(TER_horeca_ele_kWh/1000),0,TER_horeca_ele_kWh/1000)</f>
        <v>327.19166299337104</v>
      </c>
      <c r="C27" s="39">
        <f>IF(ISERROR(B27*3.6/1000000/'E Balans VL '!Z9*100),0,B27*3.6/1000000/'E Balans VL '!Z9*100)</f>
        <v>2.770239870558994E-2</v>
      </c>
      <c r="D27" s="238" t="s">
        <v>720</v>
      </c>
      <c r="F27" s="6"/>
    </row>
    <row r="28" spans="1:18">
      <c r="A28" s="172" t="s">
        <v>52</v>
      </c>
      <c r="B28" s="33">
        <f>IF(ISERROR(TER_handel_ele_kWh/1000),0,TER_handel_ele_kWh/1000)</f>
        <v>1293.31496840613</v>
      </c>
      <c r="C28" s="39">
        <f>IF(ISERROR(B28*3.6/1000000/'E Balans VL '!Z13*100),0,B28*3.6/1000000/'E Balans VL '!Z13*100)</f>
        <v>3.5805246061964079E-2</v>
      </c>
      <c r="D28" s="238" t="s">
        <v>720</v>
      </c>
      <c r="F28" s="6"/>
    </row>
    <row r="29" spans="1:18">
      <c r="A29" s="232" t="s">
        <v>51</v>
      </c>
      <c r="B29" s="33">
        <f>IF(ISERROR(TER_gezond_ele_kWh/1000),0,TER_gezond_ele_kWh/1000)</f>
        <v>0</v>
      </c>
      <c r="C29" s="39">
        <f>IF(ISERROR(B29*3.6/1000000/'E Balans VL '!Z10*100),0,B29*3.6/1000000/'E Balans VL '!Z10*100)</f>
        <v>0</v>
      </c>
      <c r="D29" s="238" t="s">
        <v>720</v>
      </c>
      <c r="F29" s="6"/>
    </row>
    <row r="30" spans="1:18">
      <c r="A30" s="232" t="s">
        <v>50</v>
      </c>
      <c r="B30" s="33">
        <f>IF(ISERROR(TER_ander_ele_kWh/1000),0,TER_ander_ele_kWh/1000)</f>
        <v>3672.1555594655802</v>
      </c>
      <c r="C30" s="39">
        <f>IF(ISERROR(B30*3.6/1000000/'E Balans VL '!Z14*100),0,B30*3.6/1000000/'E Balans VL '!Z14*100)</f>
        <v>0.28462573209762498</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2117.0666298851902</v>
      </c>
      <c r="C32" s="39">
        <f>IF(ISERROR(B32*3.6/1000000/'E Balans VL '!Z8*100),0,B32*3.6/1000000/'E Balans VL '!Z8*100)</f>
        <v>1.7456840091816909E-2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1031.8790001817381</v>
      </c>
      <c r="C5" s="17">
        <f>IF(ISERROR('Eigen informatie GS &amp; warmtenet'!B59),0,'Eigen informatie GS &amp; warmtenet'!B59)</f>
        <v>0</v>
      </c>
      <c r="D5" s="30">
        <f>SUM(D6:D15)</f>
        <v>517.85031352262047</v>
      </c>
      <c r="E5" s="17">
        <f>SUM(E6:E15)</f>
        <v>12.223859952285398</v>
      </c>
      <c r="F5" s="17">
        <f>SUM(F6:F15)</f>
        <v>416.03659293701577</v>
      </c>
      <c r="G5" s="18"/>
      <c r="H5" s="17"/>
      <c r="I5" s="17"/>
      <c r="J5" s="17">
        <f>SUM(J6:J15)</f>
        <v>4.0071834663918171</v>
      </c>
      <c r="K5" s="17"/>
      <c r="L5" s="17"/>
      <c r="M5" s="17"/>
      <c r="N5" s="17">
        <f>SUM(N6:N15)</f>
        <v>38.864572343445566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372.35441906431703</v>
      </c>
      <c r="C9" s="33"/>
      <c r="D9" s="37">
        <f>IF( ISERROR(IND_andere_gas_kWh/1000),0,IND_andere_gas_kWh/1000)*0.902</f>
        <v>96.0666373154898</v>
      </c>
      <c r="E9" s="33">
        <f>C31*'E Balans VL '!I19/100/3.6*1000000</f>
        <v>6.2541486169125768</v>
      </c>
      <c r="F9" s="33">
        <f>C31*'E Balans VL '!L19/100/3.6*1000000+C31*'E Balans VL '!N19/100/3.6*1000000</f>
        <v>291.08547710030251</v>
      </c>
      <c r="G9" s="34"/>
      <c r="H9" s="33"/>
      <c r="I9" s="33"/>
      <c r="J9" s="40">
        <f>C31*'E Balans VL '!D19/100/3.6*1000000+C31*'E Balans VL '!E19/100/3.6*1000000</f>
        <v>3.3583081683819994E-2</v>
      </c>
      <c r="K9" s="33"/>
      <c r="L9" s="33"/>
      <c r="M9" s="33"/>
      <c r="N9" s="33">
        <f>C31*'E Balans VL '!Y19/100/3.6*1000000</f>
        <v>27.597436353393881</v>
      </c>
      <c r="O9" s="33"/>
      <c r="P9" s="33"/>
      <c r="R9" s="32"/>
    </row>
    <row r="10" spans="1:18">
      <c r="A10" s="6" t="s">
        <v>41</v>
      </c>
      <c r="B10" s="37">
        <f t="shared" si="0"/>
        <v>178.68647597324198</v>
      </c>
      <c r="C10" s="33"/>
      <c r="D10" s="37">
        <f>IF( ISERROR(IND_voed_gas_kWh/1000),0,IND_voed_gas_kWh/1000)*0.902</f>
        <v>290.28590307802591</v>
      </c>
      <c r="E10" s="33">
        <f>C32*'E Balans VL '!I20/100/3.6*1000000</f>
        <v>1.6302611536183393</v>
      </c>
      <c r="F10" s="33">
        <f>C32*'E Balans VL '!L20/100/3.6*1000000+C32*'E Balans VL '!N20/100/3.6*1000000</f>
        <v>28.827717560373543</v>
      </c>
      <c r="G10" s="34"/>
      <c r="H10" s="33"/>
      <c r="I10" s="33"/>
      <c r="J10" s="40">
        <f>C32*'E Balans VL '!D20/100/3.6*1000000+C32*'E Balans VL '!E20/100/3.6*1000000</f>
        <v>0.73594806058223605</v>
      </c>
      <c r="K10" s="33"/>
      <c r="L10" s="33"/>
      <c r="M10" s="33"/>
      <c r="N10" s="33">
        <f>C32*'E Balans VL '!Y20/100/3.6*1000000</f>
        <v>2.6140422452477661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480.838105144179</v>
      </c>
      <c r="C15" s="33"/>
      <c r="D15" s="37">
        <f>IF( ISERROR(IND_rest_gas_kWh/1000),0,IND_rest_gas_kWh/1000)*0.902</f>
        <v>131.49777312910479</v>
      </c>
      <c r="E15" s="33">
        <f>C37*'E Balans VL '!I15/100/3.6*1000000</f>
        <v>4.3394501817544819</v>
      </c>
      <c r="F15" s="33">
        <f>C37*'E Balans VL '!L15/100/3.6*1000000+C37*'E Balans VL '!N15/100/3.6*1000000</f>
        <v>96.123398276339728</v>
      </c>
      <c r="G15" s="34"/>
      <c r="H15" s="33"/>
      <c r="I15" s="33"/>
      <c r="J15" s="40">
        <f>C37*'E Balans VL '!D15/100/3.6*1000000+C37*'E Balans VL '!E15/100/3.6*1000000</f>
        <v>3.2376523241257611</v>
      </c>
      <c r="K15" s="33"/>
      <c r="L15" s="33"/>
      <c r="M15" s="33"/>
      <c r="N15" s="33">
        <f>C37*'E Balans VL '!Y15/100/3.6*1000000</f>
        <v>8.65309374480392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1031.8790001817381</v>
      </c>
      <c r="C18" s="21">
        <f>C5+C16</f>
        <v>0</v>
      </c>
      <c r="D18" s="21">
        <f>MAX((D5+D16),0)</f>
        <v>517.85031352262047</v>
      </c>
      <c r="E18" s="21">
        <f>MAX((E5+E16),0)</f>
        <v>12.223859952285398</v>
      </c>
      <c r="F18" s="21">
        <f>MAX((F5+F16),0)</f>
        <v>416.03659293701577</v>
      </c>
      <c r="G18" s="21"/>
      <c r="H18" s="21"/>
      <c r="I18" s="21"/>
      <c r="J18" s="21">
        <f>MAX((J5+J16),0)</f>
        <v>4.0071834663918171</v>
      </c>
      <c r="K18" s="21"/>
      <c r="L18" s="21">
        <f>MAX((L5+L16),0)</f>
        <v>0</v>
      </c>
      <c r="M18" s="21"/>
      <c r="N18" s="21">
        <f>MAX((N5+N16),0)</f>
        <v>38.864572343445566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0.18383584723861937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189.69635024614931</v>
      </c>
      <c r="C22" s="23">
        <f ca="1">C18*C20</f>
        <v>0</v>
      </c>
      <c r="D22" s="23">
        <f>D18*D20</f>
        <v>104.60576333156934</v>
      </c>
      <c r="E22" s="23">
        <f>E18*E20</f>
        <v>2.7748162091687854</v>
      </c>
      <c r="F22" s="23">
        <f>F18*F20</f>
        <v>111.08177031418322</v>
      </c>
      <c r="G22" s="23"/>
      <c r="H22" s="23"/>
      <c r="I22" s="23"/>
      <c r="J22" s="23">
        <f>J18*J20</f>
        <v>1.4185429471027031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372.35441906431703</v>
      </c>
      <c r="C31" s="39">
        <f>IF(ISERROR(B31*3.6/1000000/'E Balans VL '!Z19*100),0,B31*3.6/1000000/'E Balans VL '!Z19*100)</f>
        <v>1.6504995776348393E-2</v>
      </c>
      <c r="D31" s="238" t="s">
        <v>720</v>
      </c>
    </row>
    <row r="32" spans="1:18">
      <c r="A32" s="172" t="s">
        <v>41</v>
      </c>
      <c r="B32" s="37">
        <f>IF( ISERROR(IND_voed_ele_kWh/1000),0,IND_voed_ele_kWh/1000)</f>
        <v>178.68647597324198</v>
      </c>
      <c r="C32" s="39">
        <f>IF(ISERROR(B32*3.6/1000000/'E Balans VL '!Z20*100),0,B32*3.6/1000000/'E Balans VL '!Z20*100)</f>
        <v>5.968640882664366E-3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480.838105144179</v>
      </c>
      <c r="C37" s="39">
        <f>IF(ISERROR(B37*3.6/1000000/'E Balans VL '!Z15*100),0,B37*3.6/1000000/'E Balans VL '!Z15*100)</f>
        <v>3.5766521499920501E-3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411.0623525761431</v>
      </c>
      <c r="C5" s="17">
        <f>'Eigen informatie GS &amp; warmtenet'!B60</f>
        <v>0</v>
      </c>
      <c r="D5" s="30">
        <f>IF(ISERROR(SUM(LB_lb_gas_kWh,LB_rest_gas_kWh,onbekend_gas_kWh)/1000),0,SUM(LB_lb_gas_kWh,LB_rest_gas_kWh,onbekend_gas_kWh)/1000)*0.902</f>
        <v>1298.8730411191323</v>
      </c>
      <c r="E5" s="17">
        <f>B17*'E Balans VL '!I25/3.6*1000000/100</f>
        <v>4.304733947547656</v>
      </c>
      <c r="F5" s="17">
        <f>B17*('E Balans VL '!L25/3.6*1000000+'E Balans VL '!N25/3.6*1000000)/100</f>
        <v>2111.2816939330578</v>
      </c>
      <c r="G5" s="18"/>
      <c r="H5" s="17"/>
      <c r="I5" s="17"/>
      <c r="J5" s="17">
        <f>('E Balans VL '!D25+'E Balans VL '!E25)/3.6*1000000*landbouw!B17/100</f>
        <v>36.711552499770583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411.0623525761431</v>
      </c>
      <c r="C8" s="21">
        <f>C5+C6</f>
        <v>0</v>
      </c>
      <c r="D8" s="21">
        <f>MAX((D5+D6),0)</f>
        <v>1298.8730411191323</v>
      </c>
      <c r="E8" s="21">
        <f>MAX((E5+E6),0)</f>
        <v>4.304733947547656</v>
      </c>
      <c r="F8" s="21">
        <f>MAX((F5+F6),0)</f>
        <v>2111.2816939330578</v>
      </c>
      <c r="G8" s="21"/>
      <c r="H8" s="21"/>
      <c r="I8" s="21"/>
      <c r="J8" s="21">
        <f>MAX((J5+J6),0)</f>
        <v>36.711552499770583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0.18383584723861937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75.56799585373534</v>
      </c>
      <c r="C12" s="23">
        <f ca="1">C8*C10</f>
        <v>0</v>
      </c>
      <c r="D12" s="23">
        <f>D8*D10</f>
        <v>262.37235430606472</v>
      </c>
      <c r="E12" s="23">
        <f>E8*E10</f>
        <v>0.97717460609331797</v>
      </c>
      <c r="F12" s="23">
        <f>F8*F10</f>
        <v>563.71221228012644</v>
      </c>
      <c r="G12" s="23"/>
      <c r="H12" s="23"/>
      <c r="I12" s="23"/>
      <c r="J12" s="23">
        <f>J8*J10</f>
        <v>12.995889584918785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6.3270431031243163E-2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158.59609483457618</v>
      </c>
      <c r="C26" s="248">
        <f>B26*'GWP N2O_CH4'!B5</f>
        <v>3330.5179915260996</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26.519285271166808</v>
      </c>
      <c r="C27" s="248">
        <f>B27*'GWP N2O_CH4'!B5</f>
        <v>556.904990694503</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2.1972478683673047</v>
      </c>
      <c r="C28" s="248">
        <f>B28*'GWP N2O_CH4'!B4</f>
        <v>681.14683919386448</v>
      </c>
      <c r="D28" s="50"/>
    </row>
    <row r="29" spans="1:4">
      <c r="A29" s="41" t="s">
        <v>278</v>
      </c>
      <c r="B29" s="248">
        <f>B34*'ha_N2O bodem landbouw'!B4</f>
        <v>16.869491935891563</v>
      </c>
      <c r="C29" s="248">
        <f>B29*'GWP N2O_CH4'!B4</f>
        <v>5229.5425001263848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2.7879051011972379E-3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2.0021429295520478E-6</v>
      </c>
      <c r="C5" s="446" t="s">
        <v>212</v>
      </c>
      <c r="D5" s="431">
        <f>SUM(D6:D11)</f>
        <v>1.1970597493778513E-5</v>
      </c>
      <c r="E5" s="431">
        <f>SUM(E6:E11)</f>
        <v>1.1772249827701254E-3</v>
      </c>
      <c r="F5" s="444" t="s">
        <v>212</v>
      </c>
      <c r="G5" s="431">
        <f>SUM(G6:G11)</f>
        <v>0.16407117409952862</v>
      </c>
      <c r="H5" s="431">
        <f>SUM(H6:H11)</f>
        <v>3.9185949416157072E-2</v>
      </c>
      <c r="I5" s="446" t="s">
        <v>212</v>
      </c>
      <c r="J5" s="446" t="s">
        <v>212</v>
      </c>
      <c r="K5" s="446" t="s">
        <v>212</v>
      </c>
      <c r="L5" s="446" t="s">
        <v>212</v>
      </c>
      <c r="M5" s="431">
        <f>SUM(M6:M11)</f>
        <v>8.8979137806135603E-3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1.026494653251663E-6</v>
      </c>
      <c r="C6" s="432"/>
      <c r="D6" s="432">
        <f>vkm_2011_GW_PW*SUMIFS(TableVerdeelsleutelVkm[CNG],TableVerdeelsleutelVkm[Voertuigtype],"Lichte voertuigen")*SUMIFS(TableECFTransport[EnergieConsumptieFactor (PJ per km)],TableECFTransport[Index],CONCATENATE($A6,"_CNG_CNG"))</f>
        <v>4.4250991305611672E-6</v>
      </c>
      <c r="E6" s="434">
        <f>vkm_2011_GW_PW*SUMIFS(TableVerdeelsleutelVkm[LPG],TableVerdeelsleutelVkm[Voertuigtype],"Lichte voertuigen")*SUMIFS(TableECFTransport[EnergieConsumptieFactor (PJ per km)],TableECFTransport[Index],CONCATENATE($A6,"_LPG_LPG"))</f>
        <v>4.604044126964903E-4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5.663100670018175E-2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1.490977049866931E-2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3.1352598364832673E-3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1.3123662877248303E-2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4.499922137517516E-6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5.6691764681697325E-4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9.7564827630038459E-7</v>
      </c>
      <c r="C8" s="432"/>
      <c r="D8" s="434">
        <f>vkm_2011_NGW_PW*SUMIFS(TableVerdeelsleutelVkm[CNG],TableVerdeelsleutelVkm[Voertuigtype],"Lichte voertuigen")*SUMIFS(TableECFTransport[EnergieConsumptieFactor (PJ per km)],TableECFTransport[Index],CONCATENATE($A8,"_CNG_CNG"))</f>
        <v>7.5454983632173462E-6</v>
      </c>
      <c r="E8" s="434">
        <f>vkm_2011_NGW_PW*SUMIFS(TableVerdeelsleutelVkm[LPG],TableVerdeelsleutelVkm[Voertuigtype],"Lichte voertuigen")*SUMIFS(TableECFTransport[EnergieConsumptieFactor (PJ per km)],TableECFTransport[Index],CONCATENATE($A8,"_LPG_LPG"))</f>
        <v>7.1682057007363506E-4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8.3628089131043928E-2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2.4268495197201451E-2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4.7340390377938329E-3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1.0688415391054629E-2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3.1837981487909606E-6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4.6169725951948566E-4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0.55615081376445774</v>
      </c>
      <c r="C14" s="21"/>
      <c r="D14" s="21">
        <f t="shared" ref="D14:M14" si="0">((D5)*10^9/3600)+D12</f>
        <v>3.3251659704940311</v>
      </c>
      <c r="E14" s="21">
        <f t="shared" si="0"/>
        <v>327.00693965836814</v>
      </c>
      <c r="F14" s="21"/>
      <c r="G14" s="21">
        <f t="shared" si="0"/>
        <v>45575.326138757948</v>
      </c>
      <c r="H14" s="21">
        <f t="shared" si="0"/>
        <v>10884.985948932521</v>
      </c>
      <c r="I14" s="21"/>
      <c r="J14" s="21"/>
      <c r="K14" s="21"/>
      <c r="L14" s="21"/>
      <c r="M14" s="21">
        <f t="shared" si="0"/>
        <v>2471.6427168371001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0.18383584723861937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0.1022404560408367</v>
      </c>
      <c r="C18" s="23"/>
      <c r="D18" s="23">
        <f t="shared" ref="D18:M18" si="1">D14*D16</f>
        <v>0.67168352603979431</v>
      </c>
      <c r="E18" s="23">
        <f t="shared" si="1"/>
        <v>74.230575302449566</v>
      </c>
      <c r="F18" s="23"/>
      <c r="G18" s="23">
        <f t="shared" si="1"/>
        <v>12168.612079048373</v>
      </c>
      <c r="H18" s="23">
        <f t="shared" si="1"/>
        <v>2710.3615012841979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9.4009612650880967E-3</v>
      </c>
      <c r="H50" s="322">
        <f t="shared" si="2"/>
        <v>0</v>
      </c>
      <c r="I50" s="322">
        <f t="shared" si="2"/>
        <v>0</v>
      </c>
      <c r="J50" s="322">
        <f t="shared" si="2"/>
        <v>0</v>
      </c>
      <c r="K50" s="322">
        <f t="shared" si="2"/>
        <v>0</v>
      </c>
      <c r="L50" s="322">
        <f t="shared" si="2"/>
        <v>0</v>
      </c>
      <c r="M50" s="322">
        <f t="shared" si="2"/>
        <v>4.0072213647478395E-4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9.4009612650880967E-3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4.0072213647478395E-4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2611.3781291911378</v>
      </c>
      <c r="H54" s="21">
        <f t="shared" si="3"/>
        <v>0</v>
      </c>
      <c r="I54" s="21">
        <f t="shared" si="3"/>
        <v>0</v>
      </c>
      <c r="J54" s="21">
        <f t="shared" si="3"/>
        <v>0</v>
      </c>
      <c r="K54" s="21">
        <f t="shared" si="3"/>
        <v>0</v>
      </c>
      <c r="L54" s="21">
        <f t="shared" si="3"/>
        <v>0</v>
      </c>
      <c r="M54" s="21">
        <f t="shared" si="3"/>
        <v>111.31170457632888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0.18383584723861937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697.23796049403381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4"/>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983.46788205176028</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4864.5</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13898.571428571429</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5847.9678820517602</v>
      </c>
      <c r="C9" s="578">
        <f t="shared" ref="C9:L9" si="0">SUM(C7:C8)</f>
        <v>0</v>
      </c>
      <c r="D9" s="578">
        <f t="shared" si="0"/>
        <v>0</v>
      </c>
      <c r="E9" s="578">
        <f t="shared" si="0"/>
        <v>0</v>
      </c>
      <c r="F9" s="578">
        <f t="shared" si="0"/>
        <v>0</v>
      </c>
      <c r="G9" s="578">
        <f t="shared" si="0"/>
        <v>0</v>
      </c>
      <c r="H9" s="578">
        <f t="shared" si="0"/>
        <v>0</v>
      </c>
      <c r="I9" s="578">
        <f t="shared" si="0"/>
        <v>0</v>
      </c>
      <c r="J9" s="578">
        <f t="shared" si="0"/>
        <v>13898.571428571429</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63.75">
      <c r="A27" s="608"/>
      <c r="B27" s="839">
        <v>24045</v>
      </c>
      <c r="C27" s="839">
        <v>3040</v>
      </c>
      <c r="D27" s="656" t="s">
        <v>894</v>
      </c>
      <c r="E27" s="655" t="s">
        <v>895</v>
      </c>
      <c r="F27" s="655" t="s">
        <v>896</v>
      </c>
      <c r="G27" s="655" t="s">
        <v>897</v>
      </c>
      <c r="H27" s="655" t="s">
        <v>898</v>
      </c>
      <c r="I27" s="655" t="s">
        <v>895</v>
      </c>
      <c r="J27" s="838">
        <v>40026</v>
      </c>
      <c r="K27" s="838">
        <v>40891</v>
      </c>
      <c r="L27" s="655" t="s">
        <v>899</v>
      </c>
      <c r="M27" s="655">
        <v>12</v>
      </c>
      <c r="N27" s="655">
        <v>0</v>
      </c>
      <c r="O27" s="655">
        <v>0</v>
      </c>
      <c r="P27" s="655">
        <v>0</v>
      </c>
      <c r="Q27" s="655">
        <v>0</v>
      </c>
      <c r="R27" s="655">
        <v>0</v>
      </c>
      <c r="S27" s="655">
        <v>0</v>
      </c>
      <c r="T27" s="655">
        <v>0</v>
      </c>
      <c r="U27" s="655">
        <v>0</v>
      </c>
      <c r="V27" s="655">
        <v>0</v>
      </c>
      <c r="W27" s="655">
        <v>0</v>
      </c>
      <c r="X27" s="655">
        <v>1600</v>
      </c>
      <c r="Y27" s="655" t="s">
        <v>50</v>
      </c>
      <c r="Z27" s="657" t="s">
        <v>156</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12</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12</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63.75">
      <c r="A63" s="610"/>
      <c r="B63" s="839">
        <v>24045</v>
      </c>
      <c r="C63" s="839">
        <v>3040</v>
      </c>
      <c r="D63" s="658" t="s">
        <v>894</v>
      </c>
      <c r="E63" s="658" t="s">
        <v>895</v>
      </c>
      <c r="F63" s="658" t="s">
        <v>900</v>
      </c>
      <c r="G63" s="658" t="s">
        <v>901</v>
      </c>
      <c r="H63" s="658" t="s">
        <v>902</v>
      </c>
      <c r="I63" s="658" t="s">
        <v>895</v>
      </c>
      <c r="J63" s="838">
        <v>40891</v>
      </c>
      <c r="K63" s="838">
        <v>40891</v>
      </c>
      <c r="L63" s="658" t="s">
        <v>903</v>
      </c>
      <c r="M63" s="658">
        <v>12</v>
      </c>
      <c r="N63" s="658">
        <v>0</v>
      </c>
      <c r="O63" s="658">
        <v>0</v>
      </c>
      <c r="P63" s="658">
        <v>0</v>
      </c>
      <c r="Q63" s="658">
        <v>0</v>
      </c>
      <c r="R63" s="658">
        <v>0</v>
      </c>
      <c r="S63" s="658">
        <v>0</v>
      </c>
      <c r="T63" s="658">
        <v>0</v>
      </c>
      <c r="U63" s="658">
        <v>0</v>
      </c>
      <c r="V63" s="658">
        <v>0</v>
      </c>
      <c r="W63" s="658">
        <v>0</v>
      </c>
      <c r="X63" s="658">
        <v>1600</v>
      </c>
      <c r="Y63" s="658" t="s">
        <v>50</v>
      </c>
      <c r="Z63" s="659" t="s">
        <v>156</v>
      </c>
    </row>
    <row r="64" spans="1:26" s="624" customFormat="1" ht="63.75">
      <c r="A64" s="610"/>
      <c r="B64" s="839">
        <v>24045</v>
      </c>
      <c r="C64" s="839">
        <v>3040</v>
      </c>
      <c r="D64" s="658" t="s">
        <v>904</v>
      </c>
      <c r="E64" s="658" t="s">
        <v>905</v>
      </c>
      <c r="F64" s="658" t="s">
        <v>906</v>
      </c>
      <c r="G64" s="658" t="s">
        <v>907</v>
      </c>
      <c r="H64" s="658" t="s">
        <v>908</v>
      </c>
      <c r="I64" s="658" t="s">
        <v>909</v>
      </c>
      <c r="J64" s="838">
        <v>37659</v>
      </c>
      <c r="K64" s="838">
        <v>37712</v>
      </c>
      <c r="L64" s="658" t="s">
        <v>903</v>
      </c>
      <c r="M64" s="658">
        <v>1081</v>
      </c>
      <c r="N64" s="658">
        <v>4864.5</v>
      </c>
      <c r="O64" s="658">
        <v>0</v>
      </c>
      <c r="P64" s="658">
        <v>0</v>
      </c>
      <c r="Q64" s="658">
        <v>0</v>
      </c>
      <c r="R64" s="658">
        <v>13898.571428571429</v>
      </c>
      <c r="S64" s="658">
        <v>0</v>
      </c>
      <c r="T64" s="658">
        <v>0</v>
      </c>
      <c r="U64" s="658">
        <v>0</v>
      </c>
      <c r="V64" s="658">
        <v>0</v>
      </c>
      <c r="W64" s="658">
        <v>0</v>
      </c>
      <c r="X64" s="658">
        <v>1600</v>
      </c>
      <c r="Y64" s="658" t="s">
        <v>50</v>
      </c>
      <c r="Z64" s="659" t="s">
        <v>156</v>
      </c>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1093</v>
      </c>
      <c r="N88" s="613">
        <f t="shared" ref="N88:W88" si="5">SUM(N63:N87)</f>
        <v>4864.5</v>
      </c>
      <c r="O88" s="613">
        <f t="shared" si="5"/>
        <v>0</v>
      </c>
      <c r="P88" s="613">
        <f t="shared" si="5"/>
        <v>0</v>
      </c>
      <c r="Q88" s="613">
        <f t="shared" si="5"/>
        <v>0</v>
      </c>
      <c r="R88" s="613">
        <f t="shared" si="5"/>
        <v>13898.571428571429</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1093</v>
      </c>
      <c r="N90" s="613">
        <f t="shared" ref="N90:W90" si="7">SUMIF($Z$63:$Z$88,"tertiair",N63:N88)</f>
        <v>4864.5</v>
      </c>
      <c r="O90" s="613">
        <f t="shared" si="7"/>
        <v>0</v>
      </c>
      <c r="P90" s="613">
        <f t="shared" si="7"/>
        <v>0</v>
      </c>
      <c r="Q90" s="613">
        <f t="shared" si="7"/>
        <v>0</v>
      </c>
      <c r="R90" s="613">
        <f t="shared" si="7"/>
        <v>13898.571428571429</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14397.900041095741</v>
      </c>
      <c r="D10" s="702">
        <f ca="1">tertiair!C16</f>
        <v>0</v>
      </c>
      <c r="E10" s="702">
        <f ca="1">tertiair!D16</f>
        <v>6342.1919572881488</v>
      </c>
      <c r="F10" s="702">
        <f>tertiair!E16</f>
        <v>142.32899446477492</v>
      </c>
      <c r="G10" s="702">
        <f ca="1">tertiair!F16</f>
        <v>1861.8373165318169</v>
      </c>
      <c r="H10" s="702">
        <f>tertiair!G16</f>
        <v>0</v>
      </c>
      <c r="I10" s="702">
        <f>tertiair!H16</f>
        <v>0</v>
      </c>
      <c r="J10" s="702">
        <f>tertiair!I16</f>
        <v>0</v>
      </c>
      <c r="K10" s="702">
        <f>tertiair!J16</f>
        <v>0</v>
      </c>
      <c r="L10" s="702">
        <f>tertiair!K16</f>
        <v>0</v>
      </c>
      <c r="M10" s="702">
        <f ca="1">tertiair!L16</f>
        <v>0</v>
      </c>
      <c r="N10" s="702">
        <f>tertiair!M16</f>
        <v>0</v>
      </c>
      <c r="O10" s="702">
        <f ca="1">tertiair!N16</f>
        <v>0</v>
      </c>
      <c r="P10" s="702">
        <f>tertiair!O16</f>
        <v>1.5633333333333335</v>
      </c>
      <c r="Q10" s="703">
        <f>tertiair!P16</f>
        <v>0</v>
      </c>
      <c r="R10" s="705">
        <f ca="1">SUM(C10:Q10)</f>
        <v>22745.82164271381</v>
      </c>
      <c r="S10" s="67"/>
    </row>
    <row r="11" spans="1:19" s="457" customFormat="1">
      <c r="A11" s="858" t="s">
        <v>226</v>
      </c>
      <c r="B11" s="863"/>
      <c r="C11" s="702">
        <f>huishoudens!B8</f>
        <v>18934.073060879302</v>
      </c>
      <c r="D11" s="702">
        <f>huishoudens!C8</f>
        <v>0</v>
      </c>
      <c r="E11" s="702">
        <f>huishoudens!D8</f>
        <v>22167.794923423739</v>
      </c>
      <c r="F11" s="702">
        <f>huishoudens!E8</f>
        <v>3825.4686596127963</v>
      </c>
      <c r="G11" s="702">
        <f>huishoudens!F8</f>
        <v>36581.418432218095</v>
      </c>
      <c r="H11" s="702">
        <f>huishoudens!G8</f>
        <v>0</v>
      </c>
      <c r="I11" s="702">
        <f>huishoudens!H8</f>
        <v>0</v>
      </c>
      <c r="J11" s="702">
        <f>huishoudens!I8</f>
        <v>0</v>
      </c>
      <c r="K11" s="702">
        <f>huishoudens!J8</f>
        <v>794.60353950379704</v>
      </c>
      <c r="L11" s="702">
        <f>huishoudens!K8</f>
        <v>0</v>
      </c>
      <c r="M11" s="702">
        <f>huishoudens!L8</f>
        <v>0</v>
      </c>
      <c r="N11" s="702">
        <f>huishoudens!M8</f>
        <v>0</v>
      </c>
      <c r="O11" s="702">
        <f>huishoudens!N8</f>
        <v>6829.4336362810927</v>
      </c>
      <c r="P11" s="702">
        <f>huishoudens!O8</f>
        <v>84.42</v>
      </c>
      <c r="Q11" s="703">
        <f>huishoudens!P8</f>
        <v>305.06666666666666</v>
      </c>
      <c r="R11" s="705">
        <f>SUM(C11:Q11)</f>
        <v>89522.278918585478</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1031.8790001817381</v>
      </c>
      <c r="D13" s="702">
        <f>industrie!C18</f>
        <v>0</v>
      </c>
      <c r="E13" s="702">
        <f>industrie!D18</f>
        <v>517.85031352262047</v>
      </c>
      <c r="F13" s="702">
        <f>industrie!E18</f>
        <v>12.223859952285398</v>
      </c>
      <c r="G13" s="702">
        <f>industrie!F18</f>
        <v>416.03659293701577</v>
      </c>
      <c r="H13" s="702">
        <f>industrie!G18</f>
        <v>0</v>
      </c>
      <c r="I13" s="702">
        <f>industrie!H18</f>
        <v>0</v>
      </c>
      <c r="J13" s="702">
        <f>industrie!I18</f>
        <v>0</v>
      </c>
      <c r="K13" s="702">
        <f>industrie!J18</f>
        <v>4.0071834663918171</v>
      </c>
      <c r="L13" s="702">
        <f>industrie!K18</f>
        <v>0</v>
      </c>
      <c r="M13" s="702">
        <f>industrie!L18</f>
        <v>0</v>
      </c>
      <c r="N13" s="702">
        <f>industrie!M18</f>
        <v>0</v>
      </c>
      <c r="O13" s="702">
        <f>industrie!N18</f>
        <v>38.864572343445566</v>
      </c>
      <c r="P13" s="702">
        <f>industrie!O18</f>
        <v>0</v>
      </c>
      <c r="Q13" s="703">
        <f>industrie!P18</f>
        <v>0</v>
      </c>
      <c r="R13" s="705">
        <f>SUM(C13:Q13)</f>
        <v>2020.861522403497</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34363.852102156787</v>
      </c>
      <c r="D15" s="707">
        <f t="shared" ref="D15:Q15" ca="1" si="0">SUM(D9:D14)</f>
        <v>0</v>
      </c>
      <c r="E15" s="707">
        <f t="shared" ca="1" si="0"/>
        <v>29027.837194234507</v>
      </c>
      <c r="F15" s="707">
        <f t="shared" si="0"/>
        <v>3980.0215140298565</v>
      </c>
      <c r="G15" s="707">
        <f t="shared" ca="1" si="0"/>
        <v>38859.292341686931</v>
      </c>
      <c r="H15" s="707">
        <f t="shared" si="0"/>
        <v>0</v>
      </c>
      <c r="I15" s="707">
        <f t="shared" si="0"/>
        <v>0</v>
      </c>
      <c r="J15" s="707">
        <f t="shared" si="0"/>
        <v>0</v>
      </c>
      <c r="K15" s="707">
        <f t="shared" si="0"/>
        <v>798.61072297018882</v>
      </c>
      <c r="L15" s="707">
        <f t="shared" si="0"/>
        <v>0</v>
      </c>
      <c r="M15" s="707">
        <f t="shared" ca="1" si="0"/>
        <v>0</v>
      </c>
      <c r="N15" s="707">
        <f t="shared" si="0"/>
        <v>0</v>
      </c>
      <c r="O15" s="707">
        <f t="shared" ca="1" si="0"/>
        <v>6868.2982086245383</v>
      </c>
      <c r="P15" s="707">
        <f t="shared" si="0"/>
        <v>85.983333333333334</v>
      </c>
      <c r="Q15" s="708">
        <f t="shared" si="0"/>
        <v>305.06666666666666</v>
      </c>
      <c r="R15" s="709">
        <f ca="1">SUM(R9:R14)</f>
        <v>114288.96208370279</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2611.3781291911378</v>
      </c>
      <c r="I18" s="702">
        <f>transport!H54</f>
        <v>0</v>
      </c>
      <c r="J18" s="702">
        <f>transport!I54</f>
        <v>0</v>
      </c>
      <c r="K18" s="702">
        <f>transport!J54</f>
        <v>0</v>
      </c>
      <c r="L18" s="702">
        <f>transport!K54</f>
        <v>0</v>
      </c>
      <c r="M18" s="702">
        <f>transport!L54</f>
        <v>0</v>
      </c>
      <c r="N18" s="702">
        <f>transport!M54</f>
        <v>111.31170457632888</v>
      </c>
      <c r="O18" s="702">
        <f>transport!N54</f>
        <v>0</v>
      </c>
      <c r="P18" s="702">
        <f>transport!O54</f>
        <v>0</v>
      </c>
      <c r="Q18" s="703">
        <f>transport!P54</f>
        <v>0</v>
      </c>
      <c r="R18" s="705">
        <f>SUM(C18:Q18)</f>
        <v>2722.6898337674666</v>
      </c>
      <c r="S18" s="67"/>
    </row>
    <row r="19" spans="1:19" s="457" customFormat="1" ht="15" thickBot="1">
      <c r="A19" s="858" t="s">
        <v>308</v>
      </c>
      <c r="B19" s="863"/>
      <c r="C19" s="711">
        <f>transport!B14</f>
        <v>0.55615081376445774</v>
      </c>
      <c r="D19" s="711">
        <f>transport!C14</f>
        <v>0</v>
      </c>
      <c r="E19" s="711">
        <f>transport!D14</f>
        <v>3.3251659704940311</v>
      </c>
      <c r="F19" s="711">
        <f>transport!E14</f>
        <v>327.00693965836814</v>
      </c>
      <c r="G19" s="711">
        <f>transport!F14</f>
        <v>0</v>
      </c>
      <c r="H19" s="711">
        <f>transport!G14</f>
        <v>45575.326138757948</v>
      </c>
      <c r="I19" s="711">
        <f>transport!H14</f>
        <v>10884.985948932521</v>
      </c>
      <c r="J19" s="711">
        <f>transport!I14</f>
        <v>0</v>
      </c>
      <c r="K19" s="711">
        <f>transport!J14</f>
        <v>0</v>
      </c>
      <c r="L19" s="711">
        <f>transport!K14</f>
        <v>0</v>
      </c>
      <c r="M19" s="711">
        <f>transport!L14</f>
        <v>0</v>
      </c>
      <c r="N19" s="711">
        <f>transport!M14</f>
        <v>2471.6427168371001</v>
      </c>
      <c r="O19" s="711">
        <f>transport!N14</f>
        <v>0</v>
      </c>
      <c r="P19" s="711">
        <f>transport!O14</f>
        <v>0</v>
      </c>
      <c r="Q19" s="712">
        <f>transport!P14</f>
        <v>0</v>
      </c>
      <c r="R19" s="713">
        <f>SUM(C19:Q19)</f>
        <v>59262.84306097019</v>
      </c>
      <c r="S19" s="67"/>
    </row>
    <row r="20" spans="1:19" s="457" customFormat="1" ht="15.75" thickBot="1">
      <c r="A20" s="714" t="s">
        <v>231</v>
      </c>
      <c r="B20" s="866"/>
      <c r="C20" s="861">
        <f>SUM(C17:C19)</f>
        <v>0.55615081376445774</v>
      </c>
      <c r="D20" s="715">
        <f t="shared" ref="D20:R20" si="1">SUM(D17:D19)</f>
        <v>0</v>
      </c>
      <c r="E20" s="715">
        <f t="shared" si="1"/>
        <v>3.3251659704940311</v>
      </c>
      <c r="F20" s="715">
        <f t="shared" si="1"/>
        <v>327.00693965836814</v>
      </c>
      <c r="G20" s="715">
        <f t="shared" si="1"/>
        <v>0</v>
      </c>
      <c r="H20" s="715">
        <f t="shared" si="1"/>
        <v>48186.704267949084</v>
      </c>
      <c r="I20" s="715">
        <f t="shared" si="1"/>
        <v>10884.985948932521</v>
      </c>
      <c r="J20" s="715">
        <f t="shared" si="1"/>
        <v>0</v>
      </c>
      <c r="K20" s="715">
        <f t="shared" si="1"/>
        <v>0</v>
      </c>
      <c r="L20" s="715">
        <f t="shared" si="1"/>
        <v>0</v>
      </c>
      <c r="M20" s="715">
        <f t="shared" si="1"/>
        <v>0</v>
      </c>
      <c r="N20" s="715">
        <f t="shared" si="1"/>
        <v>2582.9544214134289</v>
      </c>
      <c r="O20" s="715">
        <f t="shared" si="1"/>
        <v>0</v>
      </c>
      <c r="P20" s="715">
        <f t="shared" si="1"/>
        <v>0</v>
      </c>
      <c r="Q20" s="716">
        <f t="shared" si="1"/>
        <v>0</v>
      </c>
      <c r="R20" s="717">
        <f t="shared" si="1"/>
        <v>61985.532894737655</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411.0623525761431</v>
      </c>
      <c r="D22" s="711">
        <f>+landbouw!C8</f>
        <v>0</v>
      </c>
      <c r="E22" s="711">
        <f>+landbouw!D8</f>
        <v>1298.8730411191323</v>
      </c>
      <c r="F22" s="711">
        <f>+landbouw!E8</f>
        <v>4.304733947547656</v>
      </c>
      <c r="G22" s="711">
        <f>+landbouw!F8</f>
        <v>2111.2816939330578</v>
      </c>
      <c r="H22" s="711">
        <f>+landbouw!G8</f>
        <v>0</v>
      </c>
      <c r="I22" s="711">
        <f>+landbouw!H8</f>
        <v>0</v>
      </c>
      <c r="J22" s="711">
        <f>+landbouw!I8</f>
        <v>0</v>
      </c>
      <c r="K22" s="711">
        <f>+landbouw!J8</f>
        <v>36.711552499770583</v>
      </c>
      <c r="L22" s="711">
        <f>+landbouw!K8</f>
        <v>0</v>
      </c>
      <c r="M22" s="711">
        <f>+landbouw!L8</f>
        <v>0</v>
      </c>
      <c r="N22" s="711">
        <f>+landbouw!M8</f>
        <v>0</v>
      </c>
      <c r="O22" s="711">
        <f>+landbouw!N8</f>
        <v>0</v>
      </c>
      <c r="P22" s="711">
        <f>+landbouw!O8</f>
        <v>0</v>
      </c>
      <c r="Q22" s="712">
        <f>+landbouw!P8</f>
        <v>0</v>
      </c>
      <c r="R22" s="713">
        <f>SUM(C22:Q22)</f>
        <v>3862.2333740756512</v>
      </c>
      <c r="S22" s="67"/>
    </row>
    <row r="23" spans="1:19" s="457" customFormat="1" ht="17.25" thickTop="1" thickBot="1">
      <c r="A23" s="718" t="s">
        <v>116</v>
      </c>
      <c r="B23" s="852"/>
      <c r="C23" s="719">
        <f ca="1">C20+C15+C22</f>
        <v>34775.470605546689</v>
      </c>
      <c r="D23" s="719">
        <f t="shared" ref="D23:Q23" ca="1" si="2">D20+D15+D22</f>
        <v>0</v>
      </c>
      <c r="E23" s="719">
        <f t="shared" ca="1" si="2"/>
        <v>30330.035401324134</v>
      </c>
      <c r="F23" s="719">
        <f t="shared" si="2"/>
        <v>4311.3331876357724</v>
      </c>
      <c r="G23" s="719">
        <f t="shared" ca="1" si="2"/>
        <v>40970.574035619989</v>
      </c>
      <c r="H23" s="719">
        <f t="shared" si="2"/>
        <v>48186.704267949084</v>
      </c>
      <c r="I23" s="719">
        <f t="shared" si="2"/>
        <v>10884.985948932521</v>
      </c>
      <c r="J23" s="719">
        <f t="shared" si="2"/>
        <v>0</v>
      </c>
      <c r="K23" s="719">
        <f t="shared" si="2"/>
        <v>835.32227546995944</v>
      </c>
      <c r="L23" s="719">
        <f t="shared" si="2"/>
        <v>0</v>
      </c>
      <c r="M23" s="719">
        <f t="shared" ca="1" si="2"/>
        <v>0</v>
      </c>
      <c r="N23" s="719">
        <f t="shared" si="2"/>
        <v>2582.9544214134289</v>
      </c>
      <c r="O23" s="719">
        <f t="shared" ca="1" si="2"/>
        <v>6868.2982086245383</v>
      </c>
      <c r="P23" s="719">
        <f t="shared" si="2"/>
        <v>85.983333333333334</v>
      </c>
      <c r="Q23" s="720">
        <f t="shared" si="2"/>
        <v>305.06666666666666</v>
      </c>
      <c r="R23" s="721">
        <f ca="1">R20+R15+R22</f>
        <v>180136.7283525161</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2646.8501525117881</v>
      </c>
      <c r="D36" s="702">
        <f ca="1">tertiair!C20</f>
        <v>0</v>
      </c>
      <c r="E36" s="702">
        <f ca="1">tertiair!D20</f>
        <v>1281.1227753722062</v>
      </c>
      <c r="F36" s="702">
        <f>tertiair!E20</f>
        <v>32.308681743503911</v>
      </c>
      <c r="G36" s="702">
        <f ca="1">tertiair!F20</f>
        <v>497.11056351399515</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4457.392173141493</v>
      </c>
    </row>
    <row r="37" spans="1:18">
      <c r="A37" s="873" t="s">
        <v>226</v>
      </c>
      <c r="B37" s="880"/>
      <c r="C37" s="702">
        <f ca="1">huishoudens!B12</f>
        <v>3480.7613628246654</v>
      </c>
      <c r="D37" s="702">
        <f ca="1">huishoudens!C12</f>
        <v>0</v>
      </c>
      <c r="E37" s="702">
        <f>huishoudens!D12</f>
        <v>4477.894574531595</v>
      </c>
      <c r="F37" s="702">
        <f>huishoudens!E12</f>
        <v>868.38138573210483</v>
      </c>
      <c r="G37" s="702">
        <f>huishoudens!F12</f>
        <v>9767.2387214022328</v>
      </c>
      <c r="H37" s="702">
        <f>huishoudens!G12</f>
        <v>0</v>
      </c>
      <c r="I37" s="702">
        <f>huishoudens!H12</f>
        <v>0</v>
      </c>
      <c r="J37" s="702">
        <f>huishoudens!I12</f>
        <v>0</v>
      </c>
      <c r="K37" s="702">
        <f>huishoudens!J12</f>
        <v>281.28965298434412</v>
      </c>
      <c r="L37" s="702">
        <f>huishoudens!K12</f>
        <v>0</v>
      </c>
      <c r="M37" s="702">
        <f>huishoudens!L12</f>
        <v>0</v>
      </c>
      <c r="N37" s="702">
        <f>huishoudens!M12</f>
        <v>0</v>
      </c>
      <c r="O37" s="702">
        <f>huishoudens!N12</f>
        <v>0</v>
      </c>
      <c r="P37" s="702">
        <f>huishoudens!O12</f>
        <v>0</v>
      </c>
      <c r="Q37" s="812">
        <f>huishoudens!P12</f>
        <v>0</v>
      </c>
      <c r="R37" s="905">
        <f ca="1">SUM(C37:Q37)</f>
        <v>18875.565697474944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189.69635024614931</v>
      </c>
      <c r="D39" s="702">
        <f ca="1">industrie!C22</f>
        <v>0</v>
      </c>
      <c r="E39" s="702">
        <f>industrie!D22</f>
        <v>104.60576333156934</v>
      </c>
      <c r="F39" s="702">
        <f>industrie!E22</f>
        <v>2.7748162091687854</v>
      </c>
      <c r="G39" s="702">
        <f>industrie!F22</f>
        <v>111.08177031418322</v>
      </c>
      <c r="H39" s="702">
        <f>industrie!G22</f>
        <v>0</v>
      </c>
      <c r="I39" s="702">
        <f>industrie!H22</f>
        <v>0</v>
      </c>
      <c r="J39" s="702">
        <f>industrie!I22</f>
        <v>0</v>
      </c>
      <c r="K39" s="702">
        <f>industrie!J22</f>
        <v>1.4185429471027031</v>
      </c>
      <c r="L39" s="702">
        <f>industrie!K22</f>
        <v>0</v>
      </c>
      <c r="M39" s="702">
        <f>industrie!L22</f>
        <v>0</v>
      </c>
      <c r="N39" s="702">
        <f>industrie!M22</f>
        <v>0</v>
      </c>
      <c r="O39" s="702">
        <f>industrie!N22</f>
        <v>0</v>
      </c>
      <c r="P39" s="702">
        <f>industrie!O22</f>
        <v>0</v>
      </c>
      <c r="Q39" s="812">
        <f>industrie!P22</f>
        <v>0</v>
      </c>
      <c r="R39" s="906">
        <f ca="1">SUM(C39:Q39)</f>
        <v>409.57724304817333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6317.307865582603</v>
      </c>
      <c r="D41" s="747">
        <f t="shared" ref="D41:R41" ca="1" si="4">SUM(D35:D40)</f>
        <v>0</v>
      </c>
      <c r="E41" s="747">
        <f t="shared" ca="1" si="4"/>
        <v>5863.6231132353705</v>
      </c>
      <c r="F41" s="747">
        <f t="shared" si="4"/>
        <v>903.46488368477753</v>
      </c>
      <c r="G41" s="747">
        <f t="shared" ca="1" si="4"/>
        <v>10375.431055230412</v>
      </c>
      <c r="H41" s="747">
        <f t="shared" si="4"/>
        <v>0</v>
      </c>
      <c r="I41" s="747">
        <f t="shared" si="4"/>
        <v>0</v>
      </c>
      <c r="J41" s="747">
        <f t="shared" si="4"/>
        <v>0</v>
      </c>
      <c r="K41" s="747">
        <f t="shared" si="4"/>
        <v>282.70819593144682</v>
      </c>
      <c r="L41" s="747">
        <f t="shared" si="4"/>
        <v>0</v>
      </c>
      <c r="M41" s="747">
        <f t="shared" ca="1" si="4"/>
        <v>0</v>
      </c>
      <c r="N41" s="747">
        <f t="shared" si="4"/>
        <v>0</v>
      </c>
      <c r="O41" s="747">
        <f t="shared" ca="1" si="4"/>
        <v>0</v>
      </c>
      <c r="P41" s="747">
        <f t="shared" si="4"/>
        <v>0</v>
      </c>
      <c r="Q41" s="748">
        <f t="shared" si="4"/>
        <v>0</v>
      </c>
      <c r="R41" s="749">
        <f t="shared" ca="1" si="4"/>
        <v>23742.53511366461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697.23796049403381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697.23796049403381</v>
      </c>
    </row>
    <row r="45" spans="1:18" ht="15" thickBot="1">
      <c r="A45" s="876" t="s">
        <v>308</v>
      </c>
      <c r="B45" s="886"/>
      <c r="C45" s="711">
        <f ca="1">transport!B18</f>
        <v>0.1022404560408367</v>
      </c>
      <c r="D45" s="711">
        <f>transport!C18</f>
        <v>0</v>
      </c>
      <c r="E45" s="711">
        <f>transport!D18</f>
        <v>0.67168352603979431</v>
      </c>
      <c r="F45" s="711">
        <f>transport!E18</f>
        <v>74.230575302449566</v>
      </c>
      <c r="G45" s="711">
        <f>transport!F18</f>
        <v>0</v>
      </c>
      <c r="H45" s="711">
        <f>transport!G18</f>
        <v>12168.612079048373</v>
      </c>
      <c r="I45" s="711">
        <f>transport!H18</f>
        <v>2710.3615012841979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14953.978079617102</v>
      </c>
    </row>
    <row r="46" spans="1:18" ht="15.75" thickBot="1">
      <c r="A46" s="874" t="s">
        <v>231</v>
      </c>
      <c r="B46" s="887"/>
      <c r="C46" s="747">
        <f t="shared" ref="C46:R46" ca="1" si="5">SUM(C43:C45)</f>
        <v>0.1022404560408367</v>
      </c>
      <c r="D46" s="747">
        <f t="shared" ca="1" si="5"/>
        <v>0</v>
      </c>
      <c r="E46" s="747">
        <f t="shared" si="5"/>
        <v>0.67168352603979431</v>
      </c>
      <c r="F46" s="747">
        <f t="shared" si="5"/>
        <v>74.230575302449566</v>
      </c>
      <c r="G46" s="747">
        <f t="shared" si="5"/>
        <v>0</v>
      </c>
      <c r="H46" s="747">
        <f t="shared" si="5"/>
        <v>12865.850039542407</v>
      </c>
      <c r="I46" s="747">
        <f t="shared" si="5"/>
        <v>2710.3615012841979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15651.216040111136</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75.56799585373534</v>
      </c>
      <c r="D48" s="702">
        <f ca="1">+landbouw!C12</f>
        <v>0</v>
      </c>
      <c r="E48" s="702">
        <f>+landbouw!D12</f>
        <v>262.37235430606472</v>
      </c>
      <c r="F48" s="702">
        <f>+landbouw!E12</f>
        <v>0.97717460609331797</v>
      </c>
      <c r="G48" s="702">
        <f>+landbouw!F12</f>
        <v>563.71221228012644</v>
      </c>
      <c r="H48" s="702">
        <f>+landbouw!G12</f>
        <v>0</v>
      </c>
      <c r="I48" s="702">
        <f>+landbouw!H12</f>
        <v>0</v>
      </c>
      <c r="J48" s="702">
        <f>+landbouw!I12</f>
        <v>0</v>
      </c>
      <c r="K48" s="702">
        <f>+landbouw!J12</f>
        <v>12.995889584918785</v>
      </c>
      <c r="L48" s="702">
        <f>+landbouw!K12</f>
        <v>0</v>
      </c>
      <c r="M48" s="702">
        <f>+landbouw!L12</f>
        <v>0</v>
      </c>
      <c r="N48" s="702">
        <f>+landbouw!M12</f>
        <v>0</v>
      </c>
      <c r="O48" s="702">
        <f>+landbouw!N12</f>
        <v>0</v>
      </c>
      <c r="P48" s="702">
        <f>+landbouw!O12</f>
        <v>0</v>
      </c>
      <c r="Q48" s="703">
        <f>+landbouw!P12</f>
        <v>0</v>
      </c>
      <c r="R48" s="745">
        <f ca="1">SUM(C48:Q48)</f>
        <v>915.62562663093865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6392.9781018923795</v>
      </c>
      <c r="D53" s="757">
        <f t="shared" ref="D53:Q53" ca="1" si="6">D41+D46+D48</f>
        <v>0</v>
      </c>
      <c r="E53" s="757">
        <f t="shared" ca="1" si="6"/>
        <v>6126.6671510674751</v>
      </c>
      <c r="F53" s="757">
        <f t="shared" si="6"/>
        <v>978.67263359332037</v>
      </c>
      <c r="G53" s="757">
        <f t="shared" ca="1" si="6"/>
        <v>10939.143267510539</v>
      </c>
      <c r="H53" s="757">
        <f t="shared" si="6"/>
        <v>12865.850039542407</v>
      </c>
      <c r="I53" s="757">
        <f t="shared" si="6"/>
        <v>2710.3615012841979</v>
      </c>
      <c r="J53" s="757">
        <f t="shared" si="6"/>
        <v>0</v>
      </c>
      <c r="K53" s="757">
        <f t="shared" si="6"/>
        <v>295.70408551636558</v>
      </c>
      <c r="L53" s="757">
        <f t="shared" si="6"/>
        <v>0</v>
      </c>
      <c r="M53" s="757">
        <f t="shared" ca="1" si="6"/>
        <v>0</v>
      </c>
      <c r="N53" s="757">
        <f t="shared" si="6"/>
        <v>0</v>
      </c>
      <c r="O53" s="757">
        <f t="shared" ca="1" si="6"/>
        <v>0</v>
      </c>
      <c r="P53" s="757">
        <f>P41+P46+P48</f>
        <v>0</v>
      </c>
      <c r="Q53" s="758">
        <f t="shared" si="6"/>
        <v>0</v>
      </c>
      <c r="R53" s="759">
        <f ca="1">R41+R46+R48</f>
        <v>40309.376780406681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0.18383584723861937</v>
      </c>
      <c r="D55" s="823">
        <f t="shared" ca="1" si="7"/>
        <v>0</v>
      </c>
      <c r="E55" s="823">
        <f t="shared" ca="1" si="7"/>
        <v>0.20200000000000001</v>
      </c>
      <c r="F55" s="823">
        <f t="shared" si="7"/>
        <v>0.22700000000000001</v>
      </c>
      <c r="G55" s="823">
        <f t="shared" ca="1" si="7"/>
        <v>0.26700000000000002</v>
      </c>
      <c r="H55" s="823">
        <f t="shared" si="7"/>
        <v>0.26700000000000002</v>
      </c>
      <c r="I55" s="823">
        <f t="shared" si="7"/>
        <v>0.24900000000000003</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983.46788205176028</v>
      </c>
      <c r="C66" s="779">
        <f>'lokale energieproductie'!B6</f>
        <v>983.46788205176028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4864.5</v>
      </c>
      <c r="C68" s="778">
        <f>B68*IFERROR(SUM(J68:L68)/SUM(D68:M68),0)</f>
        <v>4864.5</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13898.571428571429</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5847.9678820517602</v>
      </c>
      <c r="C69" s="787">
        <f>SUM(C64:C68)</f>
        <v>5847.9678820517602</v>
      </c>
      <c r="D69" s="788">
        <f t="shared" ref="D69:M69" si="8">SUM(D67:D68)</f>
        <v>0</v>
      </c>
      <c r="E69" s="788">
        <f t="shared" si="8"/>
        <v>0</v>
      </c>
      <c r="F69" s="788">
        <f t="shared" si="8"/>
        <v>0</v>
      </c>
      <c r="G69" s="788">
        <f t="shared" si="8"/>
        <v>0</v>
      </c>
      <c r="H69" s="788">
        <f t="shared" si="8"/>
        <v>0</v>
      </c>
      <c r="I69" s="788">
        <f t="shared" si="8"/>
        <v>0</v>
      </c>
      <c r="J69" s="788">
        <f t="shared" si="8"/>
        <v>0</v>
      </c>
      <c r="K69" s="788">
        <f t="shared" si="8"/>
        <v>13898.571428571429</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18934.073060879302</v>
      </c>
      <c r="C4" s="461">
        <f>huishoudens!C8</f>
        <v>0</v>
      </c>
      <c r="D4" s="461">
        <f>huishoudens!D8</f>
        <v>22167.794923423739</v>
      </c>
      <c r="E4" s="461">
        <f>huishoudens!E8</f>
        <v>3825.4686596127963</v>
      </c>
      <c r="F4" s="461">
        <f>huishoudens!F8</f>
        <v>36581.418432218095</v>
      </c>
      <c r="G4" s="461">
        <f>huishoudens!G8</f>
        <v>0</v>
      </c>
      <c r="H4" s="461">
        <f>huishoudens!H8</f>
        <v>0</v>
      </c>
      <c r="I4" s="461">
        <f>huishoudens!I8</f>
        <v>0</v>
      </c>
      <c r="J4" s="461">
        <f>huishoudens!J8</f>
        <v>794.60353950379704</v>
      </c>
      <c r="K4" s="461">
        <f>huishoudens!K8</f>
        <v>0</v>
      </c>
      <c r="L4" s="461">
        <f>huishoudens!L8</f>
        <v>0</v>
      </c>
      <c r="M4" s="461">
        <f>huishoudens!M8</f>
        <v>0</v>
      </c>
      <c r="N4" s="461">
        <f>huishoudens!N8</f>
        <v>6829.4336362810927</v>
      </c>
      <c r="O4" s="461">
        <f>huishoudens!O8</f>
        <v>84.42</v>
      </c>
      <c r="P4" s="462">
        <f>huishoudens!P8</f>
        <v>305.06666666666666</v>
      </c>
      <c r="Q4" s="463">
        <f>SUM(B4:P4)</f>
        <v>89522.278918585478</v>
      </c>
    </row>
    <row r="5" spans="1:17">
      <c r="A5" s="460" t="s">
        <v>156</v>
      </c>
      <c r="B5" s="461">
        <f ca="1">tertiair!B16</f>
        <v>13686.667041095741</v>
      </c>
      <c r="C5" s="461">
        <f ca="1">tertiair!C16</f>
        <v>0</v>
      </c>
      <c r="D5" s="461">
        <f ca="1">tertiair!D16</f>
        <v>6342.1919572881488</v>
      </c>
      <c r="E5" s="461">
        <f>tertiair!E16</f>
        <v>142.32899446477492</v>
      </c>
      <c r="F5" s="461">
        <f ca="1">tertiair!F16</f>
        <v>1861.8373165318169</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1.5633333333333335</v>
      </c>
      <c r="P5" s="462">
        <f>tertiair!P16</f>
        <v>0</v>
      </c>
      <c r="Q5" s="460">
        <f t="shared" ref="Q5:Q13" ca="1" si="0">SUM(B5:P5)</f>
        <v>22034.58864271381</v>
      </c>
    </row>
    <row r="6" spans="1:17">
      <c r="A6" s="460" t="s">
        <v>195</v>
      </c>
      <c r="B6" s="461">
        <f>'openbare verlichting'!B8</f>
        <v>711.23299999999995</v>
      </c>
      <c r="C6" s="461"/>
      <c r="D6" s="461"/>
      <c r="E6" s="461"/>
      <c r="F6" s="461"/>
      <c r="G6" s="461"/>
      <c r="H6" s="461"/>
      <c r="I6" s="461"/>
      <c r="J6" s="461"/>
      <c r="K6" s="461"/>
      <c r="L6" s="461"/>
      <c r="M6" s="461"/>
      <c r="N6" s="461"/>
      <c r="O6" s="461"/>
      <c r="P6" s="462"/>
      <c r="Q6" s="460">
        <f t="shared" si="0"/>
        <v>711.23299999999995</v>
      </c>
    </row>
    <row r="7" spans="1:17">
      <c r="A7" s="460" t="s">
        <v>112</v>
      </c>
      <c r="B7" s="461">
        <f>landbouw!B8</f>
        <v>411.0623525761431</v>
      </c>
      <c r="C7" s="461">
        <f>landbouw!C8</f>
        <v>0</v>
      </c>
      <c r="D7" s="461">
        <f>landbouw!D8</f>
        <v>1298.8730411191323</v>
      </c>
      <c r="E7" s="461">
        <f>landbouw!E8</f>
        <v>4.304733947547656</v>
      </c>
      <c r="F7" s="461">
        <f>landbouw!F8</f>
        <v>2111.2816939330578</v>
      </c>
      <c r="G7" s="461">
        <f>landbouw!G8</f>
        <v>0</v>
      </c>
      <c r="H7" s="461">
        <f>landbouw!H8</f>
        <v>0</v>
      </c>
      <c r="I7" s="461">
        <f>landbouw!I8</f>
        <v>0</v>
      </c>
      <c r="J7" s="461">
        <f>landbouw!J8</f>
        <v>36.711552499770583</v>
      </c>
      <c r="K7" s="461">
        <f>landbouw!K8</f>
        <v>0</v>
      </c>
      <c r="L7" s="461">
        <f>landbouw!L8</f>
        <v>0</v>
      </c>
      <c r="M7" s="461">
        <f>landbouw!M8</f>
        <v>0</v>
      </c>
      <c r="N7" s="461">
        <f>landbouw!N8</f>
        <v>0</v>
      </c>
      <c r="O7" s="461">
        <f>landbouw!O8</f>
        <v>0</v>
      </c>
      <c r="P7" s="462">
        <f>landbouw!P8</f>
        <v>0</v>
      </c>
      <c r="Q7" s="460">
        <f t="shared" si="0"/>
        <v>3862.2333740756512</v>
      </c>
    </row>
    <row r="8" spans="1:17">
      <c r="A8" s="460" t="s">
        <v>656</v>
      </c>
      <c r="B8" s="461">
        <f>industrie!B18</f>
        <v>1031.8790001817381</v>
      </c>
      <c r="C8" s="461">
        <f>industrie!C18</f>
        <v>0</v>
      </c>
      <c r="D8" s="461">
        <f>industrie!D18</f>
        <v>517.85031352262047</v>
      </c>
      <c r="E8" s="461">
        <f>industrie!E18</f>
        <v>12.223859952285398</v>
      </c>
      <c r="F8" s="461">
        <f>industrie!F18</f>
        <v>416.03659293701577</v>
      </c>
      <c r="G8" s="461">
        <f>industrie!G18</f>
        <v>0</v>
      </c>
      <c r="H8" s="461">
        <f>industrie!H18</f>
        <v>0</v>
      </c>
      <c r="I8" s="461">
        <f>industrie!I18</f>
        <v>0</v>
      </c>
      <c r="J8" s="461">
        <f>industrie!J18</f>
        <v>4.0071834663918171</v>
      </c>
      <c r="K8" s="461">
        <f>industrie!K18</f>
        <v>0</v>
      </c>
      <c r="L8" s="461">
        <f>industrie!L18</f>
        <v>0</v>
      </c>
      <c r="M8" s="461">
        <f>industrie!M18</f>
        <v>0</v>
      </c>
      <c r="N8" s="461">
        <f>industrie!N18</f>
        <v>38.864572343445566</v>
      </c>
      <c r="O8" s="461">
        <f>industrie!O18</f>
        <v>0</v>
      </c>
      <c r="P8" s="462">
        <f>industrie!P18</f>
        <v>0</v>
      </c>
      <c r="Q8" s="460">
        <f t="shared" si="0"/>
        <v>2020.861522403497</v>
      </c>
    </row>
    <row r="9" spans="1:17" s="466" customFormat="1">
      <c r="A9" s="464" t="s">
        <v>574</v>
      </c>
      <c r="B9" s="465">
        <f>transport!B14</f>
        <v>0.55615081376445774</v>
      </c>
      <c r="C9" s="465">
        <f>transport!C14</f>
        <v>0</v>
      </c>
      <c r="D9" s="465">
        <f>transport!D14</f>
        <v>3.3251659704940311</v>
      </c>
      <c r="E9" s="465">
        <f>transport!E14</f>
        <v>327.00693965836814</v>
      </c>
      <c r="F9" s="465">
        <f>transport!F14</f>
        <v>0</v>
      </c>
      <c r="G9" s="465">
        <f>transport!G14</f>
        <v>45575.326138757948</v>
      </c>
      <c r="H9" s="465">
        <f>transport!H14</f>
        <v>10884.985948932521</v>
      </c>
      <c r="I9" s="465">
        <f>transport!I14</f>
        <v>0</v>
      </c>
      <c r="J9" s="465">
        <f>transport!J14</f>
        <v>0</v>
      </c>
      <c r="K9" s="465">
        <f>transport!K14</f>
        <v>0</v>
      </c>
      <c r="L9" s="465">
        <f>transport!L14</f>
        <v>0</v>
      </c>
      <c r="M9" s="465">
        <f>transport!M14</f>
        <v>2471.6427168371001</v>
      </c>
      <c r="N9" s="465">
        <f>transport!N14</f>
        <v>0</v>
      </c>
      <c r="O9" s="465">
        <f>transport!O14</f>
        <v>0</v>
      </c>
      <c r="P9" s="465">
        <f>transport!P14</f>
        <v>0</v>
      </c>
      <c r="Q9" s="464">
        <f>SUM(B9:P9)</f>
        <v>59262.84306097019</v>
      </c>
    </row>
    <row r="10" spans="1:17">
      <c r="A10" s="460" t="s">
        <v>564</v>
      </c>
      <c r="B10" s="461">
        <f>transport!B54</f>
        <v>0</v>
      </c>
      <c r="C10" s="461">
        <f>transport!C54</f>
        <v>0</v>
      </c>
      <c r="D10" s="461">
        <f>transport!D54</f>
        <v>0</v>
      </c>
      <c r="E10" s="461">
        <f>transport!E54</f>
        <v>0</v>
      </c>
      <c r="F10" s="461">
        <f>transport!F54</f>
        <v>0</v>
      </c>
      <c r="G10" s="461">
        <f>transport!G54</f>
        <v>2611.3781291911378</v>
      </c>
      <c r="H10" s="461">
        <f>transport!H54</f>
        <v>0</v>
      </c>
      <c r="I10" s="461">
        <f>transport!I54</f>
        <v>0</v>
      </c>
      <c r="J10" s="461">
        <f>transport!J54</f>
        <v>0</v>
      </c>
      <c r="K10" s="461">
        <f>transport!K54</f>
        <v>0</v>
      </c>
      <c r="L10" s="461">
        <f>transport!L54</f>
        <v>0</v>
      </c>
      <c r="M10" s="461">
        <f>transport!M54</f>
        <v>111.31170457632888</v>
      </c>
      <c r="N10" s="461">
        <f>transport!N54</f>
        <v>0</v>
      </c>
      <c r="O10" s="461">
        <f>transport!O54</f>
        <v>0</v>
      </c>
      <c r="P10" s="462">
        <f>transport!P54</f>
        <v>0</v>
      </c>
      <c r="Q10" s="460">
        <f t="shared" si="0"/>
        <v>2722.6898337674666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34775.470605546681</v>
      </c>
      <c r="C14" s="471">
        <f t="shared" ref="C14:Q14" ca="1" si="1">SUM(C4:C13)</f>
        <v>0</v>
      </c>
      <c r="D14" s="471">
        <f t="shared" ca="1" si="1"/>
        <v>30330.035401324134</v>
      </c>
      <c r="E14" s="471">
        <f t="shared" si="1"/>
        <v>4311.3331876357724</v>
      </c>
      <c r="F14" s="471">
        <f t="shared" ca="1" si="1"/>
        <v>40970.574035619989</v>
      </c>
      <c r="G14" s="471">
        <f t="shared" si="1"/>
        <v>48186.704267949084</v>
      </c>
      <c r="H14" s="471">
        <f t="shared" si="1"/>
        <v>10884.985948932521</v>
      </c>
      <c r="I14" s="471">
        <f t="shared" si="1"/>
        <v>0</v>
      </c>
      <c r="J14" s="471">
        <f t="shared" si="1"/>
        <v>835.32227546995944</v>
      </c>
      <c r="K14" s="471">
        <f t="shared" si="1"/>
        <v>0</v>
      </c>
      <c r="L14" s="471">
        <f t="shared" ca="1" si="1"/>
        <v>0</v>
      </c>
      <c r="M14" s="471">
        <f t="shared" si="1"/>
        <v>2582.9544214134289</v>
      </c>
      <c r="N14" s="471">
        <f t="shared" ca="1" si="1"/>
        <v>6868.2982086245383</v>
      </c>
      <c r="O14" s="471">
        <f t="shared" si="1"/>
        <v>85.983333333333334</v>
      </c>
      <c r="P14" s="472">
        <f t="shared" si="1"/>
        <v>305.06666666666666</v>
      </c>
      <c r="Q14" s="472">
        <f t="shared" ca="1" si="1"/>
        <v>180136.72835251613</v>
      </c>
    </row>
    <row r="16" spans="1:17">
      <c r="A16" s="474" t="s">
        <v>569</v>
      </c>
      <c r="B16" s="828">
        <f ca="1">huishoudens!B10</f>
        <v>0.18383584723861937</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3480.7613628246654</v>
      </c>
      <c r="C21" s="461">
        <f t="shared" ref="C21:C30" ca="1" si="3">C4*$C$16</f>
        <v>0</v>
      </c>
      <c r="D21" s="461">
        <f t="shared" ref="D21:D30" si="4">D4*$D$16</f>
        <v>4477.894574531595</v>
      </c>
      <c r="E21" s="461">
        <f t="shared" ref="E21:E30" si="5">E4*$E$16</f>
        <v>868.38138573210483</v>
      </c>
      <c r="F21" s="461">
        <f t="shared" ref="F21:F30" si="6">F4*$F$16</f>
        <v>9767.2387214022328</v>
      </c>
      <c r="G21" s="461">
        <f t="shared" ref="G21:G30" si="7">G4*$G$16</f>
        <v>0</v>
      </c>
      <c r="H21" s="461">
        <f t="shared" ref="H21:H30" si="8">H4*$H$16</f>
        <v>0</v>
      </c>
      <c r="I21" s="461">
        <f t="shared" ref="I21:I30" si="9">I4*$I$16</f>
        <v>0</v>
      </c>
      <c r="J21" s="461">
        <f t="shared" ref="J21:J30" si="10">J4*$J$16</f>
        <v>281.28965298434412</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18875.565697474944</v>
      </c>
    </row>
    <row r="22" spans="1:17">
      <c r="A22" s="460" t="s">
        <v>156</v>
      </c>
      <c r="B22" s="461">
        <f t="shared" ca="1" si="2"/>
        <v>2516.1000313727232</v>
      </c>
      <c r="C22" s="461">
        <f t="shared" ca="1" si="3"/>
        <v>0</v>
      </c>
      <c r="D22" s="461">
        <f t="shared" ca="1" si="4"/>
        <v>1281.1227753722062</v>
      </c>
      <c r="E22" s="461">
        <f t="shared" si="5"/>
        <v>32.308681743503911</v>
      </c>
      <c r="F22" s="461">
        <f t="shared" ca="1" si="6"/>
        <v>497.11056351399515</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4326.6420520024285</v>
      </c>
    </row>
    <row r="23" spans="1:17">
      <c r="A23" s="460" t="s">
        <v>195</v>
      </c>
      <c r="B23" s="461">
        <f t="shared" ca="1" si="2"/>
        <v>130.75012113906496</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130.75012113906496</v>
      </c>
    </row>
    <row r="24" spans="1:17">
      <c r="A24" s="460" t="s">
        <v>112</v>
      </c>
      <c r="B24" s="461">
        <f t="shared" ca="1" si="2"/>
        <v>75.56799585373534</v>
      </c>
      <c r="C24" s="461">
        <f t="shared" ca="1" si="3"/>
        <v>0</v>
      </c>
      <c r="D24" s="461">
        <f t="shared" si="4"/>
        <v>262.37235430606472</v>
      </c>
      <c r="E24" s="461">
        <f t="shared" si="5"/>
        <v>0.97717460609331797</v>
      </c>
      <c r="F24" s="461">
        <f t="shared" si="6"/>
        <v>563.71221228012644</v>
      </c>
      <c r="G24" s="461">
        <f t="shared" si="7"/>
        <v>0</v>
      </c>
      <c r="H24" s="461">
        <f t="shared" si="8"/>
        <v>0</v>
      </c>
      <c r="I24" s="461">
        <f t="shared" si="9"/>
        <v>0</v>
      </c>
      <c r="J24" s="461">
        <f t="shared" si="10"/>
        <v>12.995889584918785</v>
      </c>
      <c r="K24" s="461">
        <f t="shared" si="11"/>
        <v>0</v>
      </c>
      <c r="L24" s="461">
        <f t="shared" si="12"/>
        <v>0</v>
      </c>
      <c r="M24" s="461">
        <f t="shared" si="13"/>
        <v>0</v>
      </c>
      <c r="N24" s="461">
        <f t="shared" si="14"/>
        <v>0</v>
      </c>
      <c r="O24" s="461">
        <f t="shared" si="15"/>
        <v>0</v>
      </c>
      <c r="P24" s="462">
        <f t="shared" si="16"/>
        <v>0</v>
      </c>
      <c r="Q24" s="460">
        <f t="shared" ca="1" si="17"/>
        <v>915.62562663093865</v>
      </c>
    </row>
    <row r="25" spans="1:17">
      <c r="A25" s="460" t="s">
        <v>656</v>
      </c>
      <c r="B25" s="461">
        <f t="shared" ca="1" si="2"/>
        <v>189.69635024614931</v>
      </c>
      <c r="C25" s="461">
        <f t="shared" ca="1" si="3"/>
        <v>0</v>
      </c>
      <c r="D25" s="461">
        <f t="shared" si="4"/>
        <v>104.60576333156934</v>
      </c>
      <c r="E25" s="461">
        <f t="shared" si="5"/>
        <v>2.7748162091687854</v>
      </c>
      <c r="F25" s="461">
        <f t="shared" si="6"/>
        <v>111.08177031418322</v>
      </c>
      <c r="G25" s="461">
        <f t="shared" si="7"/>
        <v>0</v>
      </c>
      <c r="H25" s="461">
        <f t="shared" si="8"/>
        <v>0</v>
      </c>
      <c r="I25" s="461">
        <f t="shared" si="9"/>
        <v>0</v>
      </c>
      <c r="J25" s="461">
        <f t="shared" si="10"/>
        <v>1.4185429471027031</v>
      </c>
      <c r="K25" s="461">
        <f t="shared" si="11"/>
        <v>0</v>
      </c>
      <c r="L25" s="461">
        <f t="shared" si="12"/>
        <v>0</v>
      </c>
      <c r="M25" s="461">
        <f t="shared" si="13"/>
        <v>0</v>
      </c>
      <c r="N25" s="461">
        <f t="shared" si="14"/>
        <v>0</v>
      </c>
      <c r="O25" s="461">
        <f t="shared" si="15"/>
        <v>0</v>
      </c>
      <c r="P25" s="462">
        <f t="shared" si="16"/>
        <v>0</v>
      </c>
      <c r="Q25" s="460">
        <f t="shared" ca="1" si="17"/>
        <v>409.57724304817333</v>
      </c>
    </row>
    <row r="26" spans="1:17" s="466" customFormat="1">
      <c r="A26" s="464" t="s">
        <v>574</v>
      </c>
      <c r="B26" s="822">
        <f t="shared" ca="1" si="2"/>
        <v>0.1022404560408367</v>
      </c>
      <c r="C26" s="465">
        <f t="shared" ca="1" si="3"/>
        <v>0</v>
      </c>
      <c r="D26" s="465">
        <f t="shared" si="4"/>
        <v>0.67168352603979431</v>
      </c>
      <c r="E26" s="465">
        <f t="shared" si="5"/>
        <v>74.230575302449566</v>
      </c>
      <c r="F26" s="465">
        <f t="shared" si="6"/>
        <v>0</v>
      </c>
      <c r="G26" s="465">
        <f t="shared" si="7"/>
        <v>12168.612079048373</v>
      </c>
      <c r="H26" s="465">
        <f t="shared" si="8"/>
        <v>2710.3615012841979</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14953.978079617102</v>
      </c>
    </row>
    <row r="27" spans="1:17">
      <c r="A27" s="460" t="s">
        <v>564</v>
      </c>
      <c r="B27" s="461">
        <f t="shared" ca="1" si="2"/>
        <v>0</v>
      </c>
      <c r="C27" s="461">
        <f t="shared" ca="1" si="3"/>
        <v>0</v>
      </c>
      <c r="D27" s="461">
        <f t="shared" si="4"/>
        <v>0</v>
      </c>
      <c r="E27" s="461">
        <f t="shared" si="5"/>
        <v>0</v>
      </c>
      <c r="F27" s="461">
        <f t="shared" si="6"/>
        <v>0</v>
      </c>
      <c r="G27" s="461">
        <f t="shared" si="7"/>
        <v>697.23796049403381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697.23796049403381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6392.9781018923795</v>
      </c>
      <c r="C31" s="471">
        <f t="shared" ca="1" si="18"/>
        <v>0</v>
      </c>
      <c r="D31" s="471">
        <f t="shared" ca="1" si="18"/>
        <v>6126.6671510674751</v>
      </c>
      <c r="E31" s="471">
        <f t="shared" si="18"/>
        <v>978.67263359332037</v>
      </c>
      <c r="F31" s="471">
        <f t="shared" ca="1" si="18"/>
        <v>10939.143267510539</v>
      </c>
      <c r="G31" s="471">
        <f t="shared" si="18"/>
        <v>12865.850039542407</v>
      </c>
      <c r="H31" s="471">
        <f t="shared" si="18"/>
        <v>2710.3615012841979</v>
      </c>
      <c r="I31" s="471">
        <f t="shared" si="18"/>
        <v>0</v>
      </c>
      <c r="J31" s="471">
        <f t="shared" si="18"/>
        <v>295.70408551636564</v>
      </c>
      <c r="K31" s="471">
        <f t="shared" si="18"/>
        <v>0</v>
      </c>
      <c r="L31" s="471">
        <f t="shared" ca="1" si="18"/>
        <v>0</v>
      </c>
      <c r="M31" s="471">
        <f t="shared" si="18"/>
        <v>0</v>
      </c>
      <c r="N31" s="471">
        <f t="shared" ca="1" si="18"/>
        <v>0</v>
      </c>
      <c r="O31" s="471">
        <f t="shared" si="18"/>
        <v>0</v>
      </c>
      <c r="P31" s="472">
        <f t="shared" si="18"/>
        <v>0</v>
      </c>
      <c r="Q31" s="472">
        <f t="shared" ca="1" si="18"/>
        <v>40309.376780406688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0.18383584723861937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0.18383584723861937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0.18383584723861937</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2018-06-27T09:00:43Z</dcterms:modified>
</cp:coreProperties>
</file>