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C18" i="16"/>
  <c r="C8" i="48" s="1"/>
  <c r="N16" i="16"/>
  <c r="D16"/>
  <c r="O80" i="14"/>
  <c r="J8" i="18"/>
  <c r="B16"/>
  <c r="B78" i="14"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L8" i="17" l="1"/>
  <c r="L7" i="48" s="1"/>
  <c r="L24" s="1"/>
  <c r="L5" i="17"/>
  <c r="L29" i="48"/>
  <c r="L30"/>
  <c r="L23"/>
  <c r="B35" i="13"/>
  <c r="J12" i="17"/>
  <c r="K48" i="14" s="1"/>
  <c r="E9" i="18"/>
  <c r="Q13" i="14"/>
  <c r="E19" i="18"/>
  <c r="D13" i="14"/>
  <c r="H17"/>
  <c r="J16" i="18"/>
  <c r="K78" i="14" s="1"/>
  <c r="K81" s="1"/>
  <c r="N8" i="17"/>
  <c r="N5"/>
  <c r="M28" i="48"/>
  <c r="C100" i="18"/>
  <c r="I16"/>
  <c r="M16" s="1"/>
  <c r="M19" s="1"/>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R17" i="14"/>
  <c r="J78"/>
  <c r="I19" i="18"/>
  <c r="J19"/>
  <c r="E13" i="14"/>
  <c r="L12" i="17"/>
  <c r="M48" i="14" s="1"/>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18" i="22" l="1"/>
  <c r="N45" i="14" s="1"/>
  <c r="N46" s="1"/>
  <c r="N53" s="1"/>
  <c r="M9" i="48"/>
  <c r="M14" s="1"/>
  <c r="J81" i="14"/>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<sst xmlns="http://schemas.openxmlformats.org/spreadsheetml/2006/main" count="2038" uniqueCount="901">
  <si>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</si>
  <si>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</si>
  <si>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</si>
  <si>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</si>
  <si>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</si>
  <si>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</si>
  <si>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</si>
  <si>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</si>
  <si>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</si>
  <si>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</si>
  <si>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</si>
  <si>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</si>
  <si>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</si>
  <si>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</si>
  <si>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</si>
  <si>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</si>
  <si>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</si>
  <si>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</si>
  <si>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</si>
  <si>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</si>
  <si>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</si>
  <si>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</si>
  <si>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</si>
  <si>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</si>
  <si>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</si>
  <si>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</si>
  <si>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</si>
  <si>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</si>
  <si>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</si>
  <si>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</si>
  <si>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</si>
  <si>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</si>
  <si>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</si>
  <si>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</si>
  <si>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</si>
  <si>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</si>
  <si>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</si>
  <si>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</si>
  <si>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</si>
  <si>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</si>
  <si>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</si>
  <si>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</si>
  <si>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</si>
  <si>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</si>
  <si>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</si>
  <si>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</si>
  <si>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</si>
  <si>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</si>
  <si>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</si>
  <si>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</si>
  <si>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</si>
  <si>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</si>
  <si>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</si>
  <si>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</si>
  <si>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</si>
  <si>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</si>
  <si>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</si>
  <si>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</si>
  <si>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</si>
  <si>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</si>
  <si>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</si>
  <si>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</si>
  <si>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</si>
  <si>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</si>
  <si>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</si>
  <si>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</si>
  <si>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</si>
  <si>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</si>
  <si>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</si>
  <si>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</si>
  <si>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</si>
  <si>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</si>
  <si>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</si>
  <si>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</si>
  <si>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</si>
  <si>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</si>
  <si>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</si>
  <si>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</si>
  <si>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</si>
  <si>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</si>
  <si>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</si>
  <si>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</si>
  <si>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</si>
  <si>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</si>
  <si>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</si>
  <si>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</si>
  <si>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</si>
  <si>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</si>
  <si>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</si>
  <si>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</si>
  <si>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</si>
  <si>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</si>
  <si>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</si>
  <si>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</si>
  <si>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</si>
  <si>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</si>
  <si>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</si>
  <si>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</si>
  <si>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</si>
  <si>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</si>
  <si>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</si>
  <si>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</si>
  <si>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</si>
  <si>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</si>
  <si>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</si>
  <si>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</si>
  <si>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</si>
  <si>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</si>
  <si>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</si>
  <si>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</si>
  <si>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</si>
  <si>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</si>
  <si>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</si>
  <si>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</si>
  <si>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</si>
  <si>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</si>
  <si>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</si>
  <si>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</si>
  <si>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</si>
  <si>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</si>
  <si>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</si>
  <si>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</si>
  <si>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</si>
  <si>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</si>
  <si>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</si>
  <si>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</si>
  <si>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</si>
  <si>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</si>
  <si>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</si>
  <si>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</si>
  <si>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</si>
  <si>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</si>
  <si>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</si>
  <si>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</si>
  <si>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</si>
  <si>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</si>
  <si>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</si>
  <si>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</si>
  <si>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</si>
  <si>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</si>
  <si>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</si>
  <si>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</si>
  <si>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</si>
  <si>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</si>
  <si>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</si>
  <si>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</si>
  <si>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</si>
  <si>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</si>
  <si>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</si>
  <si>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</si>
  <si>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</si>
  <si>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</si>
  <si>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</si>
  <si>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</si>
  <si>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</si>
  <si>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</si>
  <si>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</si>
  <si>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</si>
  <si>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</si>
  <si>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</si>
  <si>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</si>
  <si>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</si>
  <si>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</si>
  <si>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</si>
  <si>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</si>
  <si>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</si>
  <si>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</si>
  <si>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</si>
  <si>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</si>
  <si>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</si>
  <si>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</si>
  <si>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</si>
  <si>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</si>
  <si>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</si>
  <si>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</si>
  <si>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</si>
  <si>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</si>
  <si>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</si>
  <si>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</si>
  <si>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</si>
  <si>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</si>
  <si>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</si>
  <si>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</si>
  <si>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</si>
  <si>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</si>
  <si>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</si>
  <si>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</si>
  <si>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</si>
  <si>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</si>
  <si>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</si>
  <si>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</si>
  <si>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</si>
  <si>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</si>
  <si>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</si>
  <si>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</si>
  <si>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</si>
  <si>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</si>
  <si>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</si>
  <si>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</si>
  <si>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</si>
  <si>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</si>
  <si>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</si>
  <si>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</si>
  <si>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</si>
  <si>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</si>
  <si>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</si>
  <si>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</si>
  <si>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</si>
  <si>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</si>
  <si>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</si>
  <si>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</si>
  <si>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</si>
  <si>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</si>
  <si>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</si>
  <si>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</si>
  <si>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</si>
  <si>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</si>
  <si>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</si>
  <si>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</si>
  <si>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</si>
  <si>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</si>
  <si>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</si>
  <si>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</si>
  <si>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</si>
  <si>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</si>
  <si>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</si>
  <si>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</si>
  <si>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</si>
  <si>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</si>
  <si>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</si>
  <si>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</si>
  <si>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</si>
  <si>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</si>
  <si>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</si>
  <si>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</si>
  <si>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</si>
  <si>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</si>
  <si>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</si>
  <si>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</si>
  <si>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</si>
  <si>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</si>
  <si>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</si>
  <si>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</si>
  <si>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</si>
  <si>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</si>
  <si>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</si>
  <si>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</si>
  <si>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</si>
  <si>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</si>
  <si>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</si>
  <si>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</si>
  <si>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</si>
  <si>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</si>
  <si>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</si>
  <si>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</si>
  <si>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</si>
  <si>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</si>
  <si>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</si>
  <si>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</si>
  <si>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</si>
  <si>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</si>
  <si>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</si>
  <si>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</si>
  <si>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</si>
  <si>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</si>
  <si>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</si>
  <si>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</si>
  <si>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</si>
  <si>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</si>
  <si>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</si>
  <si>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</si>
  <si>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</si>
  <si>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</si>
  <si>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</si>
  <si>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</si>
  <si>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</si>
  <si>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</si>
  <si>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</si>
  <si>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</si>
  <si>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</si>
  <si>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</si>
  <si>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</si>
  <si>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</si>
  <si>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</si>
  <si>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</si>
  <si>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</si>
  <si>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</si>
  <si>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</si>
  <si>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</si>
  <si>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</si>
  <si>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</si>
  <si>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</si>
  <si>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</si>
  <si>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</si>
  <si>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</si>
  <si>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</si>
  <si>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</si>
  <si>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</si>
  <si>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</si>
  <si>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</si>
  <si>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</si>
  <si>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</si>
  <si>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</si>
  <si>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</si>
  <si>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</si>
  <si>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</si>
  <si>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</si>
  <si>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</si>
  <si>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</si>
  <si>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</si>
  <si>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</si>
  <si>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</si>
  <si>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</si>
  <si>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</si>
  <si>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</si>
  <si>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</si>
  <si>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</si>
  <si>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</si>
  <si>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</si>
  <si>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</si>
  <si>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</si>
  <si>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</si>
  <si>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</si>
  <si>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</si>
  <si>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</si>
  <si>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</si>
  <si>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</si>
  <si>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</si>
  <si>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</si>
  <si>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</si>
  <si>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</si>
  <si>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</si>
  <si>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</si>
  <si>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</si>
  <si>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</si>
  <si>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</si>
  <si>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</si>
  <si>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</si>
  <si>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</si>
  <si>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</si>
  <si>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</si>
  <si>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</si>
  <si>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</si>
  <si>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</si>
  <si>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</si>
  <si>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</si>
  <si>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</si>
  <si>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</si>
  <si>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</si>
  <si>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</si>
  <si>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</si>
  <si>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</si>
  <si>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</si>
  <si>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</si>
  <si>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</si>
  <si>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</si>
  <si>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</si>
  <si>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</si>
  <si>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</si>
  <si>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</si>
  <si>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</si>
  <si>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</si>
  <si>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</si>
  <si>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</si>
  <si>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</si>
  <si>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</si>
  <si>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</si>
  <si>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</si>
  <si>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</si>
  <si>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</si>
  <si>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</si>
  <si>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</si>
  <si>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</si>
  <si>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</si>
  <si>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</si>
  <si>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</si>
  <si>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</si>
  <si>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</si>
  <si>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</si>
  <si>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</si>
  <si>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</si>
  <si>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</si>
  <si>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</si>
  <si>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</si>
  <si>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</si>
  <si>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</si>
  <si>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</si>
  <si>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</si>
  <si>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</si>
  <si>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</si>
  <si>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</si>
  <si>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</si>
  <si>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</si>
  <si>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</si>
  <si>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</si>
  <si>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</si>
  <si>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</si>
  <si>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</si>
  <si>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</si>
  <si>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</si>
  <si>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</si>
  <si>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</si>
  <si>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</si>
  <si>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</si>
  <si>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</si>
  <si>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</si>
  <si>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</si>
  <si>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</si>
  <si>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</si>
  <si>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</si>
  <si>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</si>
  <si>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</si>
  <si>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</si>
  <si>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</si>
  <si>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</si>
  <si>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</si>
  <si>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</si>
  <si>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</si>
  <si>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</si>
  <si>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</si>
  <si>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</si>
  <si>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</si>
  <si>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</si>
  <si>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</si>
  <si>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</si>
  <si>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</si>
  <si>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</si>
  <si>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</si>
  <si>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</si>
  <si>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</si>
  <si>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</si>
  <si>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</si>
  <si>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</si>
  <si>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</si>
  <si>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</si>
  <si>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</si>
  <si>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</si>
  <si>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</si>
  <si>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</si>
  <si>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</si>
  <si>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</si>
  <si>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</si>
  <si>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</si>
  <si>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</si>
  <si>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</si>
  <si>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</si>
  <si>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</si>
  <si>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</si>
  <si>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</si>
  <si>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</si>
  <si>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</si>
  <si>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</si>
  <si>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</si>
  <si>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</si>
  <si>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</si>
  <si>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</si>
  <si>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</si>
  <si>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</si>
  <si>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</si>
  <si>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</si>
  <si>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</si>
  <si>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</si>
  <si>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</si>
  <si>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</si>
  <si>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</si>
  <si>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</si>
  <si>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</si>
  <si>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</si>
  <si>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</si>
  <si>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</si>
  <si>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</si>
  <si>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</si>
  <si>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</si>
  <si>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</si>
  <si>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</si>
  <si>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</si>
  <si>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</si>
  <si>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</si>
  <si>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</si>
  <si>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</si>
  <si>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</si>
  <si>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</si>
  <si>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</si>
  <si>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</si>
  <si>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</si>
  <si>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</si>
  <si>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</si>
  <si>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</si>
  <si>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</si>
  <si>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</si>
  <si>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</si>
  <si>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</si>
  <si>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</si>
  <si>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</si>
  <si>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</si>
  <si>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</si>
  <si>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</si>
  <si>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</si>
  <si>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</si>
  <si>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</si>
  <si>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</si>
  <si>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</si>
  <si>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</si>
  <si>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</si>
  <si>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</si>
  <si>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</si>
  <si>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</si>
  <si>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</si>
  <si>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</si>
  <si>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</si>
  <si>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</si>
  <si>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</si>
  <si>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</si>
  <si>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</si>
  <si>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</si>
  <si>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</si>
  <si>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</si>
  <si>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</si>
  <si>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</si>
  <si>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</si>
  <si>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</si>
  <si>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</si>
  <si>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</si>
  <si>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</si>
  <si>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</si>
  <si>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</si>
  <si>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</si>
  <si>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</si>
  <si>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</si>
  <si>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</si>
  <si>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</si>
  <si>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</si>
  <si>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</si>
  <si>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</si>
  <si>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</si>
  <si>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</si>
  <si>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</si>
  <si>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</si>
  <si>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</si>
  <si>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</si>
  <si>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</si>
  <si>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</si>
  <si>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</si>
  <si>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</si>
  <si>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</si>
  <si>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</si>
  <si>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</si>
  <si>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</si>
  <si>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</si>
  <si>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</si>
  <si>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</si>
  <si>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</si>
  <si>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</si>
  <si>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</si>
  <si>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</si>
  <si>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</si>
  <si>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</si>
  <si>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</si>
  <si>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</si>
  <si>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</si>
  <si>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</si>
  <si>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</si>
  <si>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</si>
  <si>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</si>
  <si>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</si>
  <si>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</si>
  <si>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</si>
  <si>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</si>
  <si>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</si>
  <si>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</si>
  <si>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</si>
  <si>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</si>
  <si>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</si>
  <si>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</si>
  <si>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</si>
  <si>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</si>
  <si>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</si>
  <si>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</si>
  <si>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</si>
  <si>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</si>
  <si>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</si>
  <si>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</si>
  <si>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</si>
  <si>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</si>
  <si>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</si>
  <si>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</si>
  <si>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</si>
  <si>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</si>
  <si>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</si>
  <si>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</si>
  <si>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</si>
  <si>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</si>
  <si>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</si>
  <si>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</si>
  <si>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</si>
  <si>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</si>
  <si>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</si>
  <si>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</si>
  <si>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</si>
  <si>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</si>
  <si>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</si>
  <si>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</si>
  <si>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</si>
  <si>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</si>
  <si>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</si>
  <si>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</si>
  <si>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</si>
  <si>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</si>
  <si>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</si>
  <si>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</si>
  <si>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</si>
  <si>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</si>
  <si>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</si>
  <si>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</si>
  <si>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</si>
  <si>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</si>
  <si>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</si>
  <si>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</si>
  <si>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</si>
  <si>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</si>
  <si>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</si>
  <si>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</si>
  <si>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</si>
  <si>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</si>
  <si>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</si>
  <si>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</si>
  <si>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</si>
  <si>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</si>
  <si>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</si>
  <si>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</si>
  <si>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</si>
  <si>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</si>
  <si>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</si>
  <si>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</si>
  <si>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</si>
  <si>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</si>
  <si>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</si>
  <si>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</si>
  <si>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</si>
  <si>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</si>
  <si>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</si>
  <si>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</si>
  <si>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</si>
  <si>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</si>
  <si>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</si>
  <si>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</si>
  <si>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</si>
  <si>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</si>
  <si>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</si>
  <si>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</si>
  <si>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</si>
  <si>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</si>
  <si>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</si>
  <si>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</si>
  <si>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</si>
  <si>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</si>
  <si>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</si>
  <si>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</si>
  <si>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</si>
  <si>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</si>
  <si>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</si>
  <si>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</si>
  <si>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</si>
  <si>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</si>
  <si>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</si>
  <si>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</si>
  <si>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</si>
  <si>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</si>
  <si>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</si>
  <si>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</si>
  <si>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</si>
  <si>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</si>
  <si>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</si>
  <si>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</si>
  <si>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</si>
  <si>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</si>
  <si>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</si>
  <si>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</si>
  <si>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</si>
  <si>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</si>
  <si>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</si>
  <si>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</si>
  <si>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</si>
  <si>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</si>
  <si>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</si>
  <si>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</si>
  <si>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</si>
  <si>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</si>
  <si>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</si>
  <si>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</si>
  <si>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</si>
  <si>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</si>
  <si>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</si>
  <si>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</si>
  <si>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</si>
  <si>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</si>
  <si>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</si>
  <si>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</si>
  <si>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</si>
  <si>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</si>
  <si>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</si>
  <si>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</si>
  <si>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</si>
  <si>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</si>
  <si>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</si>
  <si>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</si>
  <si>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</si>
  <si>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</si>
  <si>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</si>
  <si>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</si>
  <si>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</si>
  <si>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</si>
  <si>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</si>
  <si>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</si>
  <si>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</si>
  <si>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</si>
  <si>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</si>
  <si>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</si>
  <si>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</si>
  <si>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</si>
  <si>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</si>
  <si>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</si>
  <si>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</si>
  <si>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</si>
  <si>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</si>
  <si>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</si>
  <si>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</si>
  <si>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</si>
  <si>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</si>
  <si>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</si>
  <si>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</si>
  <si>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</si>
  <si>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</si>
  <si>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</si>
  <si>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</si>
  <si>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</si>
  <si>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</si>
  <si>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</si>
  <si>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</si>
  <si>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</si>
  <si>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</si>
  <si>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</si>
  <si>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</si>
  <si>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</si>
  <si>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</si>
  <si>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</si>
  <si>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</si>
  <si>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</si>
  <si>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</si>
  <si>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</si>
  <si>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</si>
  <si>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</si>
  <si>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</si>
  <si>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</si>
  <si>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</si>
  <si>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</si>
  <si>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</si>
  <si>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</si>
  <si>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</si>
  <si>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</si>
  <si>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</si>
  <si>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</si>
  <si>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</si>
  <si>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</si>
  <si>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</si>
  <si>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</si>
  <si>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</si>
  <si>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</si>
  <si>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</si>
  <si>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</si>
  <si>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</si>
  <si>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</si>
  <si>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</si>
  <si>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</si>
  <si>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</si>
  <si>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</si>
  <si>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</si>
  <si>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</si>
  <si>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</si>
  <si>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</si>
  <si>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</si>
  <si>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</si>
  <si>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</si>
  <si>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</si>
  <si>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</si>
  <si>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</si>
  <si>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</si>
  <si>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</si>
  <si>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</si>
  <si>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</si>
  <si>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</si>
  <si>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</si>
  <si>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</si>
  <si>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</si>
  <si>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</si>
  <si>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</si>
  <si>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</si>
  <si>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</si>
  <si>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</si>
  <si>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</si>
  <si>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</si>
  <si>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</si>
  <si>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</si>
  <si>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</si>
  <si>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</si>
  <si>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</si>
  <si>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</si>
  <si>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</si>
  <si>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</si>
  <si>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</si>
  <si>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</si>
  <si>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</si>
  <si>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</si>
  <si>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</si>
  <si>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</si>
  <si>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</si>
  <si>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</si>
  <si>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</si>
  <si>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</si>
  <si>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</si>
  <si>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</si>
  <si>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</si>
  <si>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</si>
  <si>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</si>
  <si>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</si>
  <si>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</si>
  <si>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</si>
  <si>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</si>
  <si>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</si>
  <si>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</si>
  <si>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</si>
  <si>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</si>
  <si>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</si>
  <si>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</si>
  <si>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</si>
  <si>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</si>
  <si>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</si>
  <si>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</si>
  <si>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</si>
  <si>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</si>
  <si>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</si>
  <si>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</si>
  <si>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</si>
  <si>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</si>
  <si>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</si>
  <si>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</si>
  <si>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</si>
  <si>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</si>
  <si>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</si>
  <si>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</si>
  <si>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</si>
  <si>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</si>
  <si>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</si>
  <si>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</si>
  <si>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</si>
  <si>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</si>
  <si>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</si>
  <si>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</si>
  <si>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</si>
  <si>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</si>
  <si>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</si>
  <si>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</si>
  <si>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</si>
  <si>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</si>
  <si>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</si>
  <si>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</si>
  <si>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</si>
  <si>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</si>
  <si>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</si>
  <si>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</si>
  <si>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</si>
  <si>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</si>
  <si>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</si>
  <si>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</si>
  <si>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</si>
  <si>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</si>
  <si>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</si>
  <si>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</si>
  <si>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</si>
  <si>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</si>
  <si>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</si>
  <si>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</si>
  <si>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</si>
  <si>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</si>
  <si>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</si>
  <si>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24041</t>
  </si>
  <si>
    <t>HOEGAARDEN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</si>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</sst>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24041</v>
      </c>
      <c r="B6" s="396"/>
      <c r="C6" s="397"/>
    </row>
    <row r="7" spans="1:7" s="394" customFormat="1" ht="15.75" customHeight="1">
      <c r="A7" s="398" t="str">
        <f>txtMunicipality</f>
        <v>HOEGAARDEN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24041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2654</v>
      </c>
      <c r="C9" s="336">
        <v>2828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2513</v>
      </c>
    </row>
    <row r="15" spans="1:6">
      <c r="A15" s="1194" t="s">
        <v>185</v>
      </c>
      <c r="B15" s="333">
        <v>1</v>
      </c>
    </row>
    <row r="16" spans="1:6">
      <c r="A16" s="1194" t="s">
        <v>6</v>
      </c>
      <c r="B16" s="333">
        <v>123</v>
      </c>
    </row>
    <row r="17" spans="1:6">
      <c r="A17" s="1194" t="s">
        <v>7</v>
      </c>
      <c r="B17" s="333">
        <v>169</v>
      </c>
    </row>
    <row r="18" spans="1:6">
      <c r="A18" s="1194" t="s">
        <v>8</v>
      </c>
      <c r="B18" s="333">
        <v>292</v>
      </c>
    </row>
    <row r="19" spans="1:6">
      <c r="A19" s="1194" t="s">
        <v>9</v>
      </c>
      <c r="B19" s="333">
        <v>403</v>
      </c>
    </row>
    <row r="20" spans="1:6">
      <c r="A20" s="1194" t="s">
        <v>10</v>
      </c>
      <c r="B20" s="333">
        <v>139</v>
      </c>
    </row>
    <row r="21" spans="1:6">
      <c r="A21" s="1194" t="s">
        <v>11</v>
      </c>
      <c r="B21" s="333">
        <v>2102</v>
      </c>
    </row>
    <row r="22" spans="1:6">
      <c r="A22" s="1194" t="s">
        <v>12</v>
      </c>
      <c r="B22" s="333">
        <v>3215</v>
      </c>
    </row>
    <row r="23" spans="1:6">
      <c r="A23" s="1194" t="s">
        <v>13</v>
      </c>
      <c r="B23" s="333">
        <v>51</v>
      </c>
    </row>
    <row r="24" spans="1:6">
      <c r="A24" s="1194" t="s">
        <v>14</v>
      </c>
      <c r="B24" s="333">
        <v>8</v>
      </c>
    </row>
    <row r="25" spans="1:6">
      <c r="A25" s="1194" t="s">
        <v>15</v>
      </c>
      <c r="B25" s="333">
        <v>832</v>
      </c>
    </row>
    <row r="26" spans="1:6">
      <c r="A26" s="1194" t="s">
        <v>16</v>
      </c>
      <c r="B26" s="333">
        <v>101</v>
      </c>
    </row>
    <row r="27" spans="1:6">
      <c r="A27" s="1194" t="s">
        <v>17</v>
      </c>
      <c r="B27" s="333">
        <v>0</v>
      </c>
    </row>
    <row r="28" spans="1:6">
      <c r="A28" s="1194" t="s">
        <v>18</v>
      </c>
      <c r="B28" s="333">
        <v>25</v>
      </c>
    </row>
    <row r="29" spans="1:6">
      <c r="A29" s="1194" t="s">
        <v>888</v>
      </c>
      <c r="B29" s="333">
        <v>33</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1656</v>
      </c>
      <c r="D39" s="333">
        <v>30795457.696573701</v>
      </c>
      <c r="E39" s="333">
        <v>2564</v>
      </c>
      <c r="F39" s="333">
        <v>11296422.7444025</v>
      </c>
    </row>
    <row r="40" spans="1:6">
      <c r="A40" s="1194" t="s">
        <v>30</v>
      </c>
      <c r="B40" s="1194" t="s">
        <v>29</v>
      </c>
      <c r="C40" s="333">
        <v>0</v>
      </c>
      <c r="D40" s="333">
        <v>0</v>
      </c>
      <c r="E40" s="333">
        <v>0</v>
      </c>
      <c r="F40" s="333">
        <v>0</v>
      </c>
    </row>
    <row r="41" spans="1:6">
      <c r="A41" s="1194" t="s">
        <v>32</v>
      </c>
      <c r="B41" s="1194" t="s">
        <v>33</v>
      </c>
      <c r="C41" s="333">
        <v>9</v>
      </c>
      <c r="D41" s="333">
        <v>242196.43828729601</v>
      </c>
      <c r="E41" s="333">
        <v>22</v>
      </c>
      <c r="F41" s="333">
        <v>148459.59390277899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87294.7283776197</v>
      </c>
      <c r="E47" s="333">
        <v>3</v>
      </c>
      <c r="F47" s="333">
        <v>4598.4438713489999</v>
      </c>
    </row>
    <row r="48" spans="1:6">
      <c r="A48" s="1194" t="s">
        <v>32</v>
      </c>
      <c r="B48" s="1194" t="s">
        <v>29</v>
      </c>
      <c r="C48" s="333">
        <v>14</v>
      </c>
      <c r="D48" s="333">
        <v>602259.70614772697</v>
      </c>
      <c r="E48" s="333">
        <v>24</v>
      </c>
      <c r="F48" s="333">
        <v>943993.72486876103</v>
      </c>
    </row>
    <row r="49" spans="1:6">
      <c r="A49" s="1194" t="s">
        <v>32</v>
      </c>
      <c r="B49" s="1194" t="s">
        <v>40</v>
      </c>
      <c r="C49" s="333">
        <v>0</v>
      </c>
      <c r="D49" s="333">
        <v>0</v>
      </c>
      <c r="E49" s="333">
        <v>0</v>
      </c>
      <c r="F49" s="333">
        <v>0</v>
      </c>
    </row>
    <row r="50" spans="1:6">
      <c r="A50" s="1194" t="s">
        <v>32</v>
      </c>
      <c r="B50" s="1194" t="s">
        <v>41</v>
      </c>
      <c r="C50" s="333">
        <v>7</v>
      </c>
      <c r="D50" s="333">
        <v>24263451.186831899</v>
      </c>
      <c r="E50" s="333">
        <v>6</v>
      </c>
      <c r="F50" s="333">
        <v>9193947.0523512494</v>
      </c>
    </row>
    <row r="51" spans="1:6">
      <c r="A51" s="1194" t="s">
        <v>42</v>
      </c>
      <c r="B51" s="1194" t="s">
        <v>43</v>
      </c>
      <c r="C51" s="333">
        <v>12</v>
      </c>
      <c r="D51" s="333">
        <v>182600.349899711</v>
      </c>
      <c r="E51" s="333">
        <v>51</v>
      </c>
      <c r="F51" s="333">
        <v>438807.52908474201</v>
      </c>
    </row>
    <row r="52" spans="1:6">
      <c r="A52" s="1194" t="s">
        <v>42</v>
      </c>
      <c r="B52" s="1194" t="s">
        <v>29</v>
      </c>
      <c r="C52" s="333">
        <v>1</v>
      </c>
      <c r="D52" s="333">
        <v>14411.4961215438</v>
      </c>
      <c r="E52" s="333">
        <v>7</v>
      </c>
      <c r="F52" s="333">
        <v>130004.507006439</v>
      </c>
    </row>
    <row r="53" spans="1:6">
      <c r="A53" s="1194" t="s">
        <v>44</v>
      </c>
      <c r="B53" s="1194" t="s">
        <v>45</v>
      </c>
      <c r="C53" s="333">
        <v>68</v>
      </c>
      <c r="D53" s="333">
        <v>1485482.3182332099</v>
      </c>
      <c r="E53" s="333">
        <v>119</v>
      </c>
      <c r="F53" s="333">
        <v>639931.18748914695</v>
      </c>
    </row>
    <row r="54" spans="1:6">
      <c r="A54" s="1194" t="s">
        <v>46</v>
      </c>
      <c r="B54" s="1194" t="s">
        <v>47</v>
      </c>
      <c r="C54" s="333">
        <v>0</v>
      </c>
      <c r="D54" s="333">
        <v>0</v>
      </c>
      <c r="E54" s="333">
        <v>1</v>
      </c>
      <c r="F54" s="333">
        <v>361349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v>
      </c>
      <c r="D57" s="333">
        <v>131319.499025016</v>
      </c>
      <c r="E57" s="333">
        <v>9</v>
      </c>
      <c r="F57" s="333">
        <v>76126.303059866594</v>
      </c>
    </row>
    <row r="58" spans="1:6">
      <c r="A58" s="1194" t="s">
        <v>49</v>
      </c>
      <c r="B58" s="1194" t="s">
        <v>51</v>
      </c>
      <c r="C58" s="333">
        <v>0</v>
      </c>
      <c r="D58" s="333">
        <v>0</v>
      </c>
      <c r="E58" s="333">
        <v>3</v>
      </c>
      <c r="F58" s="333">
        <v>7306.0945971294996</v>
      </c>
    </row>
    <row r="59" spans="1:6">
      <c r="A59" s="1194" t="s">
        <v>49</v>
      </c>
      <c r="B59" s="1194" t="s">
        <v>52</v>
      </c>
      <c r="C59" s="333">
        <v>18</v>
      </c>
      <c r="D59" s="333">
        <v>995513.29216143303</v>
      </c>
      <c r="E59" s="333">
        <v>27</v>
      </c>
      <c r="F59" s="333">
        <v>1386822.66312443</v>
      </c>
    </row>
    <row r="60" spans="1:6">
      <c r="A60" s="1194" t="s">
        <v>49</v>
      </c>
      <c r="B60" s="1194" t="s">
        <v>53</v>
      </c>
      <c r="C60" s="333">
        <v>16</v>
      </c>
      <c r="D60" s="333">
        <v>898388.23961477005</v>
      </c>
      <c r="E60" s="333">
        <v>19</v>
      </c>
      <c r="F60" s="333">
        <v>463520.02051408298</v>
      </c>
    </row>
    <row r="61" spans="1:6">
      <c r="A61" s="1194" t="s">
        <v>49</v>
      </c>
      <c r="B61" s="1194" t="s">
        <v>54</v>
      </c>
      <c r="C61" s="333">
        <v>53</v>
      </c>
      <c r="D61" s="333">
        <v>2738217.4393308</v>
      </c>
      <c r="E61" s="333">
        <v>111</v>
      </c>
      <c r="F61" s="333">
        <v>1532866.59598779</v>
      </c>
    </row>
    <row r="62" spans="1:6">
      <c r="A62" s="1194" t="s">
        <v>49</v>
      </c>
      <c r="B62" s="1194" t="s">
        <v>55</v>
      </c>
      <c r="C62" s="333">
        <v>0</v>
      </c>
      <c r="D62" s="333">
        <v>0</v>
      </c>
      <c r="E62" s="333">
        <v>0</v>
      </c>
      <c r="F62" s="333">
        <v>0</v>
      </c>
    </row>
    <row r="63" spans="1:6">
      <c r="A63" s="1194" t="s">
        <v>49</v>
      </c>
      <c r="B63" s="1194" t="s">
        <v>29</v>
      </c>
      <c r="C63" s="333">
        <v>77</v>
      </c>
      <c r="D63" s="333">
        <v>2198695.0650808201</v>
      </c>
      <c r="E63" s="333">
        <v>84</v>
      </c>
      <c r="F63" s="333">
        <v>1265444.5562799899</v>
      </c>
    </row>
    <row r="64" spans="1:6">
      <c r="A64" s="1194" t="s">
        <v>56</v>
      </c>
      <c r="B64" s="1194" t="s">
        <v>57</v>
      </c>
      <c r="C64" s="333">
        <v>0</v>
      </c>
      <c r="D64" s="333">
        <v>0</v>
      </c>
      <c r="E64" s="333">
        <v>0</v>
      </c>
      <c r="F64" s="333">
        <v>0</v>
      </c>
    </row>
    <row r="65" spans="1:6">
      <c r="A65" s="1194" t="s">
        <v>56</v>
      </c>
      <c r="B65" s="1194" t="s">
        <v>29</v>
      </c>
      <c r="C65" s="333">
        <v>1</v>
      </c>
      <c r="D65" s="333">
        <v>18000.371100901299</v>
      </c>
      <c r="E65" s="333">
        <v>1</v>
      </c>
      <c r="F65" s="333">
        <v>4197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31432.722891247198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11232794</v>
      </c>
      <c r="E73" s="333">
        <v>11657170.185419446</v>
      </c>
      <c r="F73" s="333">
        <v>11272922</v>
      </c>
    </row>
    <row r="74" spans="1:6">
      <c r="A74" s="1194" t="s">
        <v>64</v>
      </c>
      <c r="B74" s="1194" t="s">
        <v>775</v>
      </c>
      <c r="C74" s="1205" t="s">
        <v>776</v>
      </c>
      <c r="D74" s="333">
        <v>1163871.6800052694</v>
      </c>
      <c r="E74" s="333">
        <v>1256868.5172875274</v>
      </c>
      <c r="F74" s="333">
        <v>1199710.7890773441</v>
      </c>
    </row>
    <row r="75" spans="1:6">
      <c r="A75" s="1194" t="s">
        <v>65</v>
      </c>
      <c r="B75" s="1194" t="s">
        <v>773</v>
      </c>
      <c r="C75" s="1205" t="s">
        <v>777</v>
      </c>
      <c r="D75" s="333">
        <v>10266099</v>
      </c>
      <c r="E75" s="333">
        <v>10586047.924705721</v>
      </c>
      <c r="F75" s="333">
        <v>10278031</v>
      </c>
    </row>
    <row r="76" spans="1:6">
      <c r="A76" s="1194" t="s">
        <v>65</v>
      </c>
      <c r="B76" s="1194" t="s">
        <v>775</v>
      </c>
      <c r="C76" s="1205" t="s">
        <v>778</v>
      </c>
      <c r="D76" s="333">
        <v>110044.68000526945</v>
      </c>
      <c r="E76" s="333">
        <v>121439.11540177057</v>
      </c>
      <c r="F76" s="333">
        <v>117839.78907734423</v>
      </c>
    </row>
    <row r="77" spans="1:6">
      <c r="A77" s="1194" t="s">
        <v>66</v>
      </c>
      <c r="B77" s="1194" t="s">
        <v>773</v>
      </c>
      <c r="C77" s="1205" t="s">
        <v>779</v>
      </c>
      <c r="D77" s="333">
        <v>104939549</v>
      </c>
      <c r="E77" s="333">
        <v>114969355.61658096</v>
      </c>
      <c r="F77" s="333">
        <v>108467823</v>
      </c>
    </row>
    <row r="78" spans="1:6">
      <c r="A78" s="1190" t="s">
        <v>66</v>
      </c>
      <c r="B78" s="1190" t="s">
        <v>775</v>
      </c>
      <c r="C78" s="1190" t="s">
        <v>780</v>
      </c>
      <c r="D78" s="1190">
        <v>12507224</v>
      </c>
      <c r="E78" s="1190">
        <v>13147220.158165999</v>
      </c>
      <c r="F78" s="336">
        <v>12905422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124042.63998946111</v>
      </c>
      <c r="C83" s="333">
        <v>114165.90437032624</v>
      </c>
      <c r="D83" s="333">
        <v>114852.42184531155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8</v>
      </c>
    </row>
    <row r="90" spans="1:6">
      <c r="A90" s="1194" t="s">
        <v>562</v>
      </c>
      <c r="B90" s="949">
        <v>0</v>
      </c>
    </row>
    <row r="91" spans="1:6">
      <c r="A91" s="1194" t="s">
        <v>68</v>
      </c>
      <c r="B91" s="333">
        <v>558.30998242101418</v>
      </c>
    </row>
    <row r="92" spans="1:6">
      <c r="A92" s="1190" t="s">
        <v>69</v>
      </c>
      <c r="B92" s="336">
        <v>198.0235362401294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1048</v>
      </c>
    </row>
    <row r="98" spans="1:6">
      <c r="A98" s="1194" t="s">
        <v>72</v>
      </c>
      <c r="B98" s="333">
        <v>1</v>
      </c>
    </row>
    <row r="99" spans="1:6">
      <c r="A99" s="1194" t="s">
        <v>73</v>
      </c>
      <c r="B99" s="333">
        <v>17</v>
      </c>
    </row>
    <row r="100" spans="1:6">
      <c r="A100" s="1194" t="s">
        <v>74</v>
      </c>
      <c r="B100" s="333">
        <v>119</v>
      </c>
    </row>
    <row r="101" spans="1:6">
      <c r="A101" s="1194" t="s">
        <v>75</v>
      </c>
      <c r="B101" s="333">
        <v>28</v>
      </c>
    </row>
    <row r="102" spans="1:6">
      <c r="A102" s="1194" t="s">
        <v>76</v>
      </c>
      <c r="B102" s="333">
        <v>31</v>
      </c>
    </row>
    <row r="103" spans="1:6">
      <c r="A103" s="1194" t="s">
        <v>77</v>
      </c>
      <c r="B103" s="333">
        <v>100</v>
      </c>
    </row>
    <row r="104" spans="1:6">
      <c r="A104" s="1194" t="s">
        <v>78</v>
      </c>
      <c r="B104" s="333">
        <v>1043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19</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28551.488299573404</v>
      </c>
      <c r="C3" s="43" t="s">
        <v>171</v>
      </c>
      <c r="D3" s="43"/>
      <c r="E3" s="156"/>
      <c r="F3" s="43"/>
      <c r="G3" s="43"/>
      <c r="H3" s="43"/>
      <c r="I3" s="43"/>
      <c r="J3" s="43"/>
      <c r="K3" s="96"/>
    </row>
    <row r="4" spans="1:11">
      <c r="A4" s="364" t="s">
        <v>172</v>
      </c>
      <c r="B4" s="49">
        <f>IF(ISERROR('SEAP template'!B69),0,'SEAP template'!B69)</f>
        <v>1506.8335186611434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0.20933650266739023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1060.7142857142858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361.34899999999999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361.34899999999999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0.20933650266739023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75.643535902358792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11296.4227444025</v>
      </c>
      <c r="C5" s="17">
        <f>IF(ISERROR('Eigen informatie GS &amp; warmtenet'!B57),0,'Eigen informatie GS &amp; warmtenet'!B57)</f>
        <v>0</v>
      </c>
      <c r="D5" s="30">
        <f>(SUM(HH_hh_gas_kWh,HH_rest_gas_kWh)/1000)*0.902</f>
        <v>27777.502842309477</v>
      </c>
      <c r="E5" s="17">
        <f>B46*B57</f>
        <v>980.82261741879097</v>
      </c>
      <c r="F5" s="17">
        <f>B51*B62</f>
        <v>11305.284085703253</v>
      </c>
      <c r="G5" s="18"/>
      <c r="H5" s="17"/>
      <c r="I5" s="17"/>
      <c r="J5" s="17">
        <f>B50*B61+C50*C61</f>
        <v>1124.4930956154815</v>
      </c>
      <c r="K5" s="17"/>
      <c r="L5" s="17"/>
      <c r="M5" s="17"/>
      <c r="N5" s="17">
        <f>B48*B59+C48*C59</f>
        <v>4674.1159627749039</v>
      </c>
      <c r="O5" s="17">
        <f>B69*B70*B71</f>
        <v>32.830000000000005</v>
      </c>
      <c r="P5" s="17">
        <f>B77*B78*B79/1000-B77*B78*B79/1000/B80</f>
        <v>57.2</v>
      </c>
    </row>
    <row r="6" spans="1:16">
      <c r="A6" s="16" t="s">
        <v>633</v>
      </c>
      <c r="B6" s="830">
        <f>kWh_PV_kleiner_dan_10kW</f>
        <v>558.30998242101418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11854.732726823515</v>
      </c>
      <c r="C8" s="21">
        <f>C5</f>
        <v>0</v>
      </c>
      <c r="D8" s="21">
        <f>D5</f>
        <v>27777.502842309477</v>
      </c>
      <c r="E8" s="21">
        <f>E5</f>
        <v>980.82261741879097</v>
      </c>
      <c r="F8" s="21">
        <f>F5</f>
        <v>11305.284085703253</v>
      </c>
      <c r="G8" s="21"/>
      <c r="H8" s="21"/>
      <c r="I8" s="21"/>
      <c r="J8" s="21">
        <f>J5</f>
        <v>1124.4930956154815</v>
      </c>
      <c r="K8" s="21"/>
      <c r="L8" s="21">
        <f>L5</f>
        <v>0</v>
      </c>
      <c r="M8" s="21">
        <f>M5</f>
        <v>0</v>
      </c>
      <c r="N8" s="21">
        <f>N5</f>
        <v>4674.1159627749039</v>
      </c>
      <c r="O8" s="21">
        <f>O5</f>
        <v>32.830000000000005</v>
      </c>
      <c r="P8" s="21">
        <f>P5</f>
        <v>57.2</v>
      </c>
    </row>
    <row r="9" spans="1:16">
      <c r="B9" s="19"/>
      <c r="C9" s="19"/>
      <c r="D9" s="260"/>
      <c r="E9" s="19"/>
      <c r="F9" s="19"/>
      <c r="G9" s="19"/>
      <c r="H9" s="19"/>
      <c r="I9" s="19"/>
      <c r="J9" s="19"/>
      <c r="K9" s="19"/>
      <c r="L9" s="19"/>
      <c r="M9" s="19"/>
      <c r="N9" s="19"/>
      <c r="O9" s="19"/>
      <c r="P9" s="19"/>
    </row>
    <row r="10" spans="1:16">
      <c r="A10" s="24" t="s">
        <v>215</v>
      </c>
      <c r="B10" s="25">
        <f ca="1">'EF ele_warmte'!B12</f>
        <v>0.20933650266739023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2481.6282890898892</v>
      </c>
      <c r="C12" s="23">
        <f ca="1">C10*C8</f>
        <v>0</v>
      </c>
      <c r="D12" s="23">
        <f>D8*D10</f>
        <v>5611.055574146515</v>
      </c>
      <c r="E12" s="23">
        <f>E10*E8</f>
        <v>222.64673415406557</v>
      </c>
      <c r="F12" s="23">
        <f>F10*F8</f>
        <v>3018.5108508827689</v>
      </c>
      <c r="G12" s="23"/>
      <c r="H12" s="23"/>
      <c r="I12" s="23"/>
      <c r="J12" s="23">
        <f>J10*J8</f>
        <v>398.07055584788043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1048</v>
      </c>
      <c r="C18" s="167" t="s">
        <v>111</v>
      </c>
      <c r="D18" s="229"/>
      <c r="E18" s="15"/>
    </row>
    <row r="19" spans="1:7">
      <c r="A19" s="172" t="s">
        <v>72</v>
      </c>
      <c r="B19" s="37">
        <f>aantalw2001_ander</f>
        <v>1</v>
      </c>
      <c r="C19" s="167" t="s">
        <v>111</v>
      </c>
      <c r="D19" s="230"/>
      <c r="E19" s="15"/>
    </row>
    <row r="20" spans="1:7">
      <c r="A20" s="172" t="s">
        <v>73</v>
      </c>
      <c r="B20" s="37">
        <f>aantalw2001_propaan</f>
        <v>17</v>
      </c>
      <c r="C20" s="168">
        <f>IF(ISERROR(B20/SUM($B$20,$B$21,$B$22)*100),0,B20/SUM($B$20,$B$21,$B$22)*100)</f>
        <v>10.365853658536585</v>
      </c>
      <c r="D20" s="230"/>
      <c r="E20" s="15"/>
    </row>
    <row r="21" spans="1:7">
      <c r="A21" s="172" t="s">
        <v>74</v>
      </c>
      <c r="B21" s="37">
        <f>aantalw2001_elektriciteit</f>
        <v>119</v>
      </c>
      <c r="C21" s="168">
        <f>IF(ISERROR(B21/SUM($B$20,$B$21,$B$22)*100),0,B21/SUM($B$20,$B$21,$B$22)*100)</f>
        <v>72.560975609756099</v>
      </c>
      <c r="D21" s="230"/>
      <c r="E21" s="15"/>
    </row>
    <row r="22" spans="1:7">
      <c r="A22" s="172" t="s">
        <v>75</v>
      </c>
      <c r="B22" s="37">
        <f>aantalw2001_hout</f>
        <v>28</v>
      </c>
      <c r="C22" s="168">
        <f>IF(ISERROR(B22/SUM($B$20,$B$21,$B$22)*100),0,B22/SUM($B$20,$B$21,$B$22)*100)</f>
        <v>17.073170731707318</v>
      </c>
      <c r="D22" s="230"/>
      <c r="E22" s="15"/>
    </row>
    <row r="23" spans="1:7">
      <c r="A23" s="172" t="s">
        <v>76</v>
      </c>
      <c r="B23" s="37">
        <f>aantalw2001_niet_gespec</f>
        <v>31</v>
      </c>
      <c r="C23" s="167" t="s">
        <v>111</v>
      </c>
      <c r="D23" s="229"/>
      <c r="E23" s="15"/>
    </row>
    <row r="24" spans="1:7">
      <c r="A24" s="172" t="s">
        <v>77</v>
      </c>
      <c r="B24" s="37">
        <f>aantalw2001_steenkool</f>
        <v>100</v>
      </c>
      <c r="C24" s="167" t="s">
        <v>111</v>
      </c>
      <c r="D24" s="230"/>
      <c r="E24" s="15"/>
    </row>
    <row r="25" spans="1:7">
      <c r="A25" s="172" t="s">
        <v>78</v>
      </c>
      <c r="B25" s="37">
        <f>aantalw2001_stookolie</f>
        <v>1043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2654</v>
      </c>
      <c r="C28" s="36"/>
      <c r="D28" s="229"/>
    </row>
    <row r="29" spans="1:7" s="15" customFormat="1">
      <c r="A29" s="231" t="s">
        <v>714</v>
      </c>
      <c r="B29" s="37">
        <f>SUM(HH_hh_gas_aantal,HH_rest_gas_aantal)</f>
        <v>1656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1656</v>
      </c>
      <c r="C32" s="168">
        <f>IF(ISERROR(B32/SUM($B$32,$B$34,$B$35,$B$36,$B$38,$B$39)*100),0,B32/SUM($B$32,$B$34,$B$35,$B$36,$B$38,$B$39)*100)</f>
        <v>62.46699358732554</v>
      </c>
      <c r="D32" s="234"/>
      <c r="G32" s="15"/>
    </row>
    <row r="33" spans="1:7">
      <c r="A33" s="172" t="s">
        <v>72</v>
      </c>
      <c r="B33" s="34" t="s">
        <v>111</v>
      </c>
      <c r="C33" s="168"/>
      <c r="D33" s="234"/>
      <c r="G33" s="15"/>
    </row>
    <row r="34" spans="1:7">
      <c r="A34" s="172" t="s">
        <v>73</v>
      </c>
      <c r="B34" s="33">
        <f>IF((($B$28-$B$32-$B$39-$B$77-$B$38)*C20/100)&lt;0,0,($B$28-$B$32-$B$39-$B$77-$B$38)*C20/100)</f>
        <v>47.682926829268297</v>
      </c>
      <c r="C34" s="168">
        <f>IF(ISERROR(B34/SUM($B$32,$B$34,$B$35,$B$36,$B$38,$B$39)*100),0,B34/SUM($B$32,$B$34,$B$35,$B$36,$B$38,$B$39)*100)</f>
        <v>1.7986769833748886</v>
      </c>
      <c r="D34" s="234"/>
      <c r="G34" s="15"/>
    </row>
    <row r="35" spans="1:7">
      <c r="A35" s="172" t="s">
        <v>74</v>
      </c>
      <c r="B35" s="33">
        <f>IF((($B$28-$B$32-$B$39-$B$77-$B$38)*C21/100)&lt;0,0,($B$28-$B$32-$B$39-$B$77-$B$38)*C21/100)</f>
        <v>333.78048780487808</v>
      </c>
      <c r="C35" s="168">
        <f>IF(ISERROR(B35/SUM($B$32,$B$34,$B$35,$B$36,$B$38,$B$39)*100),0,B35/SUM($B$32,$B$34,$B$35,$B$36,$B$38,$B$39)*100)</f>
        <v>12.590738883624219</v>
      </c>
      <c r="D35" s="234"/>
      <c r="G35" s="15"/>
    </row>
    <row r="36" spans="1:7">
      <c r="A36" s="172" t="s">
        <v>75</v>
      </c>
      <c r="B36" s="33">
        <f>IF((($B$28-$B$32-$B$39-$B$77-$B$38)*C22/100)&lt;0,0,($B$28-$B$32-$B$39-$B$77-$B$38)*C22/100)</f>
        <v>78.536585365853668</v>
      </c>
      <c r="C36" s="168">
        <f>IF(ISERROR(B36/SUM($B$32,$B$34,$B$35,$B$36,$B$38,$B$39)*100),0,B36/SUM($B$32,$B$34,$B$35,$B$36,$B$38,$B$39)*100)</f>
        <v>2.9625267961468755</v>
      </c>
      <c r="D36" s="234"/>
      <c r="G36" s="15"/>
    </row>
    <row r="37" spans="1:7">
      <c r="A37" s="172" t="s">
        <v>76</v>
      </c>
      <c r="B37" s="34" t="s">
        <v>111</v>
      </c>
      <c r="C37" s="168"/>
      <c r="D37" s="174"/>
      <c r="G37" s="15"/>
    </row>
    <row r="38" spans="1:7">
      <c r="A38" s="172" t="s">
        <v>77</v>
      </c>
      <c r="B38" s="33">
        <f>IF((B24-(B29-B18)*0.1)&lt;0,0,B24-(B29-B18)*0.1)</f>
        <v>39.199999999999996</v>
      </c>
      <c r="C38" s="168">
        <f>IF(ISERROR(B38/SUM($B$32,$B$34,$B$35,$B$36,$B$38,$B$39)*100),0,B38/SUM($B$32,$B$34,$B$35,$B$36,$B$38,$B$39)*100)</f>
        <v>1.4786872878159183</v>
      </c>
      <c r="D38" s="235"/>
      <c r="G38" s="15"/>
    </row>
    <row r="39" spans="1:7">
      <c r="A39" s="172" t="s">
        <v>78</v>
      </c>
      <c r="B39" s="33">
        <f>IF((B25-(B29-B18))&lt;0,0,B25-(B29-B18)*0.9)</f>
        <v>495.79999999999995</v>
      </c>
      <c r="C39" s="168">
        <f>IF(ISERROR(B39/SUM($B$32,$B$34,$B$35,$B$36,$B$38,$B$39)*100),0,B39/SUM($B$32,$B$34,$B$35,$B$36,$B$38,$B$39)*100)</f>
        <v>18.702376461712561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1656</v>
      </c>
      <c r="C44" s="34" t="s">
        <v>111</v>
      </c>
      <c r="D44" s="175"/>
    </row>
    <row r="45" spans="1:7">
      <c r="A45" s="172" t="s">
        <v>72</v>
      </c>
      <c r="B45" s="33" t="str">
        <f t="shared" si="0"/>
        <v>-</v>
      </c>
      <c r="C45" s="34" t="s">
        <v>111</v>
      </c>
      <c r="D45" s="175"/>
    </row>
    <row r="46" spans="1:7">
      <c r="A46" s="172" t="s">
        <v>73</v>
      </c>
      <c r="B46" s="33">
        <f t="shared" si="0"/>
        <v>47.682926829268297</v>
      </c>
      <c r="C46" s="34" t="s">
        <v>111</v>
      </c>
      <c r="D46" s="175"/>
    </row>
    <row r="47" spans="1:7">
      <c r="A47" s="172" t="s">
        <v>74</v>
      </c>
      <c r="B47" s="33">
        <f t="shared" si="0"/>
        <v>333.78048780487808</v>
      </c>
      <c r="C47" s="34" t="s">
        <v>111</v>
      </c>
      <c r="D47" s="175"/>
    </row>
    <row r="48" spans="1:7">
      <c r="A48" s="172" t="s">
        <v>75</v>
      </c>
      <c r="B48" s="33">
        <f t="shared" si="0"/>
        <v>78.536585365853668</v>
      </c>
      <c r="C48" s="33">
        <f>B48*10</f>
        <v>785.36585365853671</v>
      </c>
      <c r="D48" s="235"/>
    </row>
    <row r="49" spans="1:6">
      <c r="A49" s="172" t="s">
        <v>76</v>
      </c>
      <c r="B49" s="33" t="str">
        <f t="shared" si="0"/>
        <v>-</v>
      </c>
      <c r="C49" s="34" t="s">
        <v>111</v>
      </c>
      <c r="D49" s="235"/>
    </row>
    <row r="50" spans="1:6">
      <c r="A50" s="172" t="s">
        <v>77</v>
      </c>
      <c r="B50" s="33">
        <f t="shared" si="0"/>
        <v>39.199999999999996</v>
      </c>
      <c r="C50" s="33">
        <f>B50*2</f>
        <v>78.399999999999991</v>
      </c>
      <c r="D50" s="235"/>
    </row>
    <row r="51" spans="1:6">
      <c r="A51" s="172" t="s">
        <v>78</v>
      </c>
      <c r="B51" s="33">
        <f t="shared" si="0"/>
        <v>495.79999999999995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4732.0862335632892</v>
      </c>
      <c r="C5" s="17">
        <f>IF(ISERROR('Eigen informatie GS &amp; warmtenet'!B58),0,'Eigen informatie GS &amp; warmtenet'!B58)</f>
        <v>0</v>
      </c>
      <c r="D5" s="30">
        <f>SUM(D6:D12)</f>
        <v>6279.8444487619809</v>
      </c>
      <c r="E5" s="17">
        <f>SUM(E6:E12)</f>
        <v>114.53201336716006</v>
      </c>
      <c r="F5" s="17">
        <f>SUM(F6:F12)</f>
        <v>798.66605519153939</v>
      </c>
      <c r="G5" s="18"/>
      <c r="H5" s="17"/>
      <c r="I5" s="17"/>
      <c r="J5" s="17">
        <f>SUM(J6:J12)</f>
        <v>0</v>
      </c>
      <c r="K5" s="17"/>
      <c r="L5" s="17"/>
      <c r="M5" s="17"/>
      <c r="N5" s="17">
        <f>SUM(N6:N12)</f>
        <v>65.997278866874893</v>
      </c>
      <c r="O5" s="17">
        <f>B38*B39*B40</f>
        <v>0</v>
      </c>
      <c r="P5" s="17">
        <f>B46*B47*B48/1000-B46*B47*B48/1000/B49</f>
        <v>19.066666666666666</v>
      </c>
      <c r="R5" s="32"/>
    </row>
    <row r="6" spans="1:18">
      <c r="A6" s="32" t="s">
        <v>54</v>
      </c>
      <c r="B6" s="37">
        <f>B26</f>
        <v>1532.8665959877901</v>
      </c>
      <c r="C6" s="33"/>
      <c r="D6" s="37">
        <f>IF(ISERROR(TER_kantoor_gas_kWh/1000),0,TER_kantoor_gas_kWh/1000)*0.902</f>
        <v>2469.8721302763815</v>
      </c>
      <c r="E6" s="33">
        <f>$C$26*'E Balans VL '!I12/100/3.6*1000000</f>
        <v>53.656360768386904</v>
      </c>
      <c r="F6" s="33">
        <f>$C$26*('E Balans VL '!L12+'E Balans VL '!N12)/100/3.6*1000000</f>
        <v>232.41548627507322</v>
      </c>
      <c r="G6" s="34"/>
      <c r="H6" s="33"/>
      <c r="I6" s="33"/>
      <c r="J6" s="33">
        <f>$C$26*('E Balans VL '!D12+'E Balans VL '!E12)/100/3.6*1000000</f>
        <v>0</v>
      </c>
      <c r="K6" s="33"/>
      <c r="L6" s="33"/>
      <c r="M6" s="33"/>
      <c r="N6" s="33">
        <f>$C$26*'E Balans VL '!Y12/100/3.6*1000000</f>
        <v>11.84857901294505</v>
      </c>
      <c r="O6" s="33"/>
      <c r="P6" s="33"/>
      <c r="R6" s="32"/>
    </row>
    <row r="7" spans="1:18">
      <c r="A7" s="32" t="s">
        <v>53</v>
      </c>
      <c r="B7" s="37">
        <f t="shared" ref="B7:B12" si="0">B27</f>
        <v>463.520020514083</v>
      </c>
      <c r="C7" s="33"/>
      <c r="D7" s="37">
        <f>IF(ISERROR(TER_horeca_gas_kWh/1000),0,TER_horeca_gas_kWh/1000)*0.902</f>
        <v>810.34619213252267</v>
      </c>
      <c r="E7" s="33">
        <f>$C$27*'E Balans VL '!I9/100/3.6*1000000</f>
        <v>26.148692472245521</v>
      </c>
      <c r="F7" s="33">
        <f>$C$27*('E Balans VL '!L9+'E Balans VL '!N9)/100/3.6*1000000</f>
        <v>80.747752726281789</v>
      </c>
      <c r="G7" s="34"/>
      <c r="H7" s="33"/>
      <c r="I7" s="33"/>
      <c r="J7" s="33">
        <f>$C$27*('E Balans VL '!D9+'E Balans VL '!E9)/100/3.6*1000000</f>
        <v>0</v>
      </c>
      <c r="K7" s="33"/>
      <c r="L7" s="33"/>
      <c r="M7" s="33"/>
      <c r="N7" s="33">
        <f>$C$27*'E Balans VL '!Y9/100/3.6*1000000</f>
        <v>0</v>
      </c>
      <c r="O7" s="33"/>
      <c r="P7" s="33"/>
      <c r="R7" s="32"/>
    </row>
    <row r="8" spans="1:18">
      <c r="A8" s="6" t="s">
        <v>52</v>
      </c>
      <c r="B8" s="37">
        <f t="shared" si="0"/>
        <v>1386.8226631244299</v>
      </c>
      <c r="C8" s="33"/>
      <c r="D8" s="37">
        <f>IF(ISERROR(TER_handel_gas_kWh/1000),0,TER_handel_gas_kWh/1000)*0.902</f>
        <v>897.95298952961264</v>
      </c>
      <c r="E8" s="33">
        <f>$C$28*'E Balans VL '!I13/100/3.6*1000000</f>
        <v>7.1198066533417617</v>
      </c>
      <c r="F8" s="33">
        <f>$C$28*('E Balans VL '!L13+'E Balans VL '!N13)/100/3.6*1000000</f>
        <v>213.82662604389895</v>
      </c>
      <c r="G8" s="34"/>
      <c r="H8" s="33"/>
      <c r="I8" s="33"/>
      <c r="J8" s="33">
        <f>$C$28*('E Balans VL '!D13+'E Balans VL '!E13)/100/3.6*1000000</f>
        <v>0</v>
      </c>
      <c r="K8" s="33"/>
      <c r="L8" s="33"/>
      <c r="M8" s="33"/>
      <c r="N8" s="33">
        <f>$C$28*'E Balans VL '!Y13/100/3.6*1000000</f>
        <v>0.64863388799253208</v>
      </c>
      <c r="O8" s="33"/>
      <c r="P8" s="33"/>
      <c r="R8" s="32"/>
    </row>
    <row r="9" spans="1:18">
      <c r="A9" s="32" t="s">
        <v>51</v>
      </c>
      <c r="B9" s="37">
        <f t="shared" si="0"/>
        <v>7.3060945971294995</v>
      </c>
      <c r="C9" s="33"/>
      <c r="D9" s="37">
        <f>IF(ISERROR(TER_gezond_gas_kWh/1000),0,TER_gezond_gas_kWh/1000)*0.902</f>
        <v>0</v>
      </c>
      <c r="E9" s="33">
        <f>$C$29*'E Balans VL '!I10/100/3.6*1000000</f>
        <v>3.0283241783692775E-3</v>
      </c>
      <c r="F9" s="33">
        <f>$C$29*('E Balans VL '!L10+'E Balans VL '!N10)/100/3.6*1000000</f>
        <v>1.7993863158991539</v>
      </c>
      <c r="G9" s="34"/>
      <c r="H9" s="33"/>
      <c r="I9" s="33"/>
      <c r="J9" s="33">
        <f>$C$29*('E Balans VL '!D10+'E Balans VL '!E10)/100/3.6*1000000</f>
        <v>0</v>
      </c>
      <c r="K9" s="33"/>
      <c r="L9" s="33"/>
      <c r="M9" s="33"/>
      <c r="N9" s="33">
        <f>$C$29*'E Balans VL '!Y10/100/3.6*1000000</f>
        <v>6.3142740817449583E-2</v>
      </c>
      <c r="O9" s="33"/>
      <c r="P9" s="33"/>
      <c r="R9" s="32"/>
    </row>
    <row r="10" spans="1:18">
      <c r="A10" s="32" t="s">
        <v>50</v>
      </c>
      <c r="B10" s="37">
        <f t="shared" si="0"/>
        <v>76.126303059866601</v>
      </c>
      <c r="C10" s="33"/>
      <c r="D10" s="37">
        <f>IF(ISERROR(TER_ander_gas_kWh/1000),0,TER_ander_gas_kWh/1000)*0.902</f>
        <v>118.45018812056443</v>
      </c>
      <c r="E10" s="33">
        <f>$C$30*'E Balans VL '!I14/100/3.6*1000000</f>
        <v>0.46406782169419036</v>
      </c>
      <c r="F10" s="33">
        <f>$C$30*('E Balans VL '!L14+'E Balans VL '!N14)/100/3.6*1000000</f>
        <v>20.182125753231251</v>
      </c>
      <c r="G10" s="34"/>
      <c r="H10" s="33"/>
      <c r="I10" s="33"/>
      <c r="J10" s="33">
        <f>$C$30*('E Balans VL '!D14+'E Balans VL '!E14)/100/3.6*1000000</f>
        <v>0</v>
      </c>
      <c r="K10" s="33"/>
      <c r="L10" s="33"/>
      <c r="M10" s="33"/>
      <c r="N10" s="33">
        <f>$C$30*'E Balans VL '!Y14/100/3.6*1000000</f>
        <v>17.54546788696674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1265.4445562799899</v>
      </c>
      <c r="C12" s="33"/>
      <c r="D12" s="37">
        <f>IF(ISERROR(TER_rest_gas_kWh/1000),0,TER_rest_gas_kWh/1000)*0.902</f>
        <v>1983.2229487028999</v>
      </c>
      <c r="E12" s="33">
        <f>$C$32*'E Balans VL '!I8/100/3.6*1000000</f>
        <v>27.140057327313322</v>
      </c>
      <c r="F12" s="33">
        <f>$C$32*('E Balans VL '!L8+'E Balans VL '!N8)/100/3.6*1000000</f>
        <v>249.69467807715498</v>
      </c>
      <c r="G12" s="34"/>
      <c r="H12" s="33"/>
      <c r="I12" s="33"/>
      <c r="J12" s="33">
        <f>$C$32*('E Balans VL '!D8+'E Balans VL '!E8)/100/3.6*1000000</f>
        <v>0</v>
      </c>
      <c r="K12" s="33"/>
      <c r="L12" s="33"/>
      <c r="M12" s="33"/>
      <c r="N12" s="33">
        <f>$C$32*'E Balans VL '!Y8/100/3.6*1000000</f>
        <v>35.891455338153129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4732.0862335632892</v>
      </c>
      <c r="C16" s="21">
        <f ca="1">C5+C13+C14</f>
        <v>0</v>
      </c>
      <c r="D16" s="21">
        <f t="shared" ref="D16:N16" ca="1" si="1">MAX((D5+D13+D14),0)</f>
        <v>6279.8444487619809</v>
      </c>
      <c r="E16" s="21">
        <f t="shared" si="1"/>
        <v>114.53201336716006</v>
      </c>
      <c r="F16" s="21">
        <f t="shared" ca="1" si="1"/>
        <v>798.66605519153939</v>
      </c>
      <c r="G16" s="21">
        <f t="shared" si="1"/>
        <v>0</v>
      </c>
      <c r="H16" s="21">
        <f t="shared" si="1"/>
        <v>0</v>
      </c>
      <c r="I16" s="21">
        <f t="shared" si="1"/>
        <v>0</v>
      </c>
      <c r="J16" s="21">
        <f t="shared" si="1"/>
        <v>0</v>
      </c>
      <c r="K16" s="21">
        <f t="shared" si="1"/>
        <v>0</v>
      </c>
      <c r="L16" s="21">
        <f t="shared" ca="1" si="1"/>
        <v>0</v>
      </c>
      <c r="M16" s="21">
        <f t="shared" si="1"/>
        <v>0</v>
      </c>
      <c r="N16" s="21">
        <f t="shared" ca="1" si="1"/>
        <v>65.997278866874893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0.20933650266739023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990.59838245464209</v>
      </c>
      <c r="C20" s="23">
        <f t="shared" ref="C20:P20" ca="1" si="2">C16*C18</f>
        <v>0</v>
      </c>
      <c r="D20" s="23">
        <f t="shared" ca="1" si="2"/>
        <v>1268.5285786499203</v>
      </c>
      <c r="E20" s="23">
        <f t="shared" si="2"/>
        <v>25.998767034345335</v>
      </c>
      <c r="F20" s="23">
        <f t="shared" ca="1" si="2"/>
        <v>213.24383673614102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1532.8665959877901</v>
      </c>
      <c r="C26" s="39">
        <f>IF(ISERROR(B26*3.6/1000000/'E Balans VL '!Z12*100),0,B26*3.6/1000000/'E Balans VL '!Z12*100)</f>
        <v>3.2256635444661189E-2</v>
      </c>
      <c r="D26" s="238" t="s">
        <v>720</v>
      </c>
      <c r="F26" s="6"/>
    </row>
    <row r="27" spans="1:18">
      <c r="A27" s="232" t="s">
        <v>53</v>
      </c>
      <c r="B27" s="33">
        <f>IF(ISERROR(TER_horeca_ele_kWh/1000),0,TER_horeca_ele_kWh/1000)</f>
        <v>463.520020514083</v>
      </c>
      <c r="C27" s="39">
        <f>IF(ISERROR(B27*3.6/1000000/'E Balans VL '!Z9*100),0,B27*3.6/1000000/'E Balans VL '!Z9*100)</f>
        <v>3.9244937657731536E-2</v>
      </c>
      <c r="D27" s="238" t="s">
        <v>720</v>
      </c>
      <c r="F27" s="6"/>
    </row>
    <row r="28" spans="1:18">
      <c r="A28" s="172" t="s">
        <v>52</v>
      </c>
      <c r="B28" s="33">
        <f>IF(ISERROR(TER_handel_ele_kWh/1000),0,TER_handel_ele_kWh/1000)</f>
        <v>1386.8226631244299</v>
      </c>
      <c r="C28" s="39">
        <f>IF(ISERROR(B28*3.6/1000000/'E Balans VL '!Z13*100),0,B28*3.6/1000000/'E Balans VL '!Z13*100)</f>
        <v>3.8393993660085418E-2</v>
      </c>
      <c r="D28" s="238" t="s">
        <v>720</v>
      </c>
      <c r="F28" s="6"/>
    </row>
    <row r="29" spans="1:18">
      <c r="A29" s="232" t="s">
        <v>51</v>
      </c>
      <c r="B29" s="33">
        <f>IF(ISERROR(TER_gezond_ele_kWh/1000),0,TER_gezond_ele_kWh/1000)</f>
        <v>7.3060945971294995</v>
      </c>
      <c r="C29" s="39">
        <f>IF(ISERROR(B29*3.6/1000000/'E Balans VL '!Z10*100),0,B29*3.6/1000000/'E Balans VL '!Z10*100)</f>
        <v>9.497113001247496E-4</v>
      </c>
      <c r="D29" s="238" t="s">
        <v>720</v>
      </c>
      <c r="F29" s="6"/>
    </row>
    <row r="30" spans="1:18">
      <c r="A30" s="232" t="s">
        <v>50</v>
      </c>
      <c r="B30" s="33">
        <f>IF(ISERROR(TER_ander_ele_kWh/1000),0,TER_ander_ele_kWh/1000)</f>
        <v>76.126303059866601</v>
      </c>
      <c r="C30" s="39">
        <f>IF(ISERROR(B30*3.6/1000000/'E Balans VL '!Z14*100),0,B30*3.6/1000000/'E Balans VL '!Z14*100)</f>
        <v>5.9004866186697005E-3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1265.4445562799899</v>
      </c>
      <c r="C32" s="39">
        <f>IF(ISERROR(B32*3.6/1000000/'E Balans VL '!Z8*100),0,B32*3.6/1000000/'E Balans VL '!Z8*100)</f>
        <v>1.0434562121097706E-2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10290.998814994138</v>
      </c>
      <c r="C5" s="17">
        <f>IF(ISERROR('Eigen informatie GS &amp; warmtenet'!B59),0,'Eigen informatie GS &amp; warmtenet'!B59)</f>
        <v>0</v>
      </c>
      <c r="D5" s="30">
        <f>SUM(D6:D15)</f>
        <v>22726.072257799377</v>
      </c>
      <c r="E5" s="17">
        <f>SUM(E6:E15)</f>
        <v>95.03611534106372</v>
      </c>
      <c r="F5" s="17">
        <f>SUM(F6:F15)</f>
        <v>1789.0168203345629</v>
      </c>
      <c r="G5" s="18"/>
      <c r="H5" s="17"/>
      <c r="I5" s="17"/>
      <c r="J5" s="17">
        <f>SUM(J6:J15)</f>
        <v>44.236333795653408</v>
      </c>
      <c r="K5" s="17"/>
      <c r="L5" s="17"/>
      <c r="M5" s="17"/>
      <c r="N5" s="17">
        <f>SUM(N6:N15)</f>
        <v>162.49140948976859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148.45959390277898</v>
      </c>
      <c r="C9" s="33"/>
      <c r="D9" s="37">
        <f>IF( ISERROR(IND_andere_gas_kWh/1000),0,IND_andere_gas_kWh/1000)*0.902</f>
        <v>218.46118733514101</v>
      </c>
      <c r="E9" s="33">
        <f>C31*'E Balans VL '!I19/100/3.6*1000000</f>
        <v>2.4935607484064524</v>
      </c>
      <c r="F9" s="33">
        <f>C31*'E Balans VL '!L19/100/3.6*1000000+C31*'E Balans VL '!N19/100/3.6*1000000</f>
        <v>116.0572548860851</v>
      </c>
      <c r="G9" s="34"/>
      <c r="H9" s="33"/>
      <c r="I9" s="33"/>
      <c r="J9" s="40">
        <f>C31*'E Balans VL '!D19/100/3.6*1000000+C31*'E Balans VL '!E19/100/3.6*1000000</f>
        <v>1.338974486005115E-2</v>
      </c>
      <c r="K9" s="33"/>
      <c r="L9" s="33"/>
      <c r="M9" s="33"/>
      <c r="N9" s="33">
        <f>C31*'E Balans VL '!Y19/100/3.6*1000000</f>
        <v>11.003237732690772</v>
      </c>
      <c r="O9" s="33"/>
      <c r="P9" s="33"/>
      <c r="R9" s="32"/>
    </row>
    <row r="10" spans="1:18">
      <c r="A10" s="6" t="s">
        <v>41</v>
      </c>
      <c r="B10" s="37">
        <f t="shared" si="0"/>
        <v>9193.94705235125</v>
      </c>
      <c r="C10" s="33"/>
      <c r="D10" s="37">
        <f>IF( ISERROR(IND_voed_gas_kWh/1000),0,IND_voed_gas_kWh/1000)*0.902</f>
        <v>21885.632970522372</v>
      </c>
      <c r="E10" s="33">
        <f>C32*'E Balans VL '!I20/100/3.6*1000000</f>
        <v>83.881752361138879</v>
      </c>
      <c r="F10" s="33">
        <f>C32*'E Balans VL '!L20/100/3.6*1000000+C32*'E Balans VL '!N20/100/3.6*1000000</f>
        <v>1483.2712293788816</v>
      </c>
      <c r="G10" s="34"/>
      <c r="H10" s="33"/>
      <c r="I10" s="33"/>
      <c r="J10" s="40">
        <f>C32*'E Balans VL '!D20/100/3.6*1000000+C32*'E Balans VL '!E20/100/3.6*1000000</f>
        <v>37.866701805048208</v>
      </c>
      <c r="K10" s="33"/>
      <c r="L10" s="33"/>
      <c r="M10" s="33"/>
      <c r="N10" s="33">
        <f>C32*'E Balans VL '!Y20/100/3.6*1000000</f>
        <v>134.50019574517935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4.5984438713489997</v>
      </c>
      <c r="C13" s="33"/>
      <c r="D13" s="37">
        <f>IF( ISERROR(IND_papier_gas_kWh/1000),0,IND_papier_gas_kWh/1000)*0.902</f>
        <v>78.739844996612973</v>
      </c>
      <c r="E13" s="33">
        <f>C35*'E Balans VL '!I23/100/3.6*1000000</f>
        <v>0.141482117051732</v>
      </c>
      <c r="F13" s="33">
        <f>C35*'E Balans VL '!L23/100/3.6*1000000+C35*'E Balans VL '!N23/100/3.6*1000000</f>
        <v>0.97641034000579519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943.99372486876098</v>
      </c>
      <c r="C15" s="33"/>
      <c r="D15" s="37">
        <f>IF( ISERROR(IND_rest_gas_kWh/1000),0,IND_rest_gas_kWh/1000)*0.902</f>
        <v>543.23825494524976</v>
      </c>
      <c r="E15" s="33">
        <f>C37*'E Balans VL '!I15/100/3.6*1000000</f>
        <v>8.5193201144666499</v>
      </c>
      <c r="F15" s="33">
        <f>C37*'E Balans VL '!L15/100/3.6*1000000+C37*'E Balans VL '!N15/100/3.6*1000000</f>
        <v>188.71192572959055</v>
      </c>
      <c r="G15" s="34"/>
      <c r="H15" s="33"/>
      <c r="I15" s="33"/>
      <c r="J15" s="40">
        <f>C37*'E Balans VL '!D15/100/3.6*1000000+C37*'E Balans VL '!E15/100/3.6*1000000</f>
        <v>6.3562422457451486</v>
      </c>
      <c r="K15" s="33"/>
      <c r="L15" s="33"/>
      <c r="M15" s="33"/>
      <c r="N15" s="33">
        <f>C37*'E Balans VL '!Y15/100/3.6*1000000</f>
        <v>16.987976011898471</v>
      </c>
      <c r="O15" s="33"/>
      <c r="P15" s="33"/>
      <c r="R15" s="32"/>
    </row>
    <row r="16" spans="1:18">
      <c r="A16" s="16" t="s">
        <v>497</v>
      </c>
      <c r="B16" s="248">
        <f>'lokale energieproductie'!N89+'lokale energieproductie'!N58</f>
        <v>742.5</v>
      </c>
      <c r="C16" s="248">
        <f>'lokale energieproductie'!O89+'lokale energieproductie'!O58</f>
        <v>1060.7142857142858</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-2121.4285714285716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11033.498814994138</v>
      </c>
      <c r="C18" s="21">
        <f>C5+C16</f>
        <v>1060.7142857142858</v>
      </c>
      <c r="D18" s="21">
        <f>MAX((D5+D16),0)</f>
        <v>22726.072257799377</v>
      </c>
      <c r="E18" s="21">
        <f>MAX((E5+E16),0)</f>
        <v>95.03611534106372</v>
      </c>
      <c r="F18" s="21">
        <f>MAX((F5+F16),0)</f>
        <v>1789.0168203345629</v>
      </c>
      <c r="G18" s="21"/>
      <c r="H18" s="21"/>
      <c r="I18" s="21"/>
      <c r="J18" s="21">
        <f>MAX((J5+J16),0)</f>
        <v>44.236333795653408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0.20933650266739023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2309.7140541156673</v>
      </c>
      <c r="C22" s="23">
        <f ca="1">C18*C20</f>
        <v>0</v>
      </c>
      <c r="D22" s="23">
        <f>D18*D20</f>
        <v>4590.6665960754744</v>
      </c>
      <c r="E22" s="23">
        <f>E18*E20</f>
        <v>21.573198182421464</v>
      </c>
      <c r="F22" s="23">
        <f>F18*F20</f>
        <v>477.66749102932835</v>
      </c>
      <c r="G22" s="23"/>
      <c r="H22" s="23"/>
      <c r="I22" s="23"/>
      <c r="J22" s="23">
        <f>J18*J20</f>
        <v>15.659662163661306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148.45959390277898</v>
      </c>
      <c r="C31" s="39">
        <f>IF(ISERROR(B31*3.6/1000000/'E Balans VL '!Z19*100),0,B31*3.6/1000000/'E Balans VL '!Z19*100)</f>
        <v>6.5806254602299181E-3</v>
      </c>
      <c r="D31" s="238" t="s">
        <v>720</v>
      </c>
    </row>
    <row r="32" spans="1:18">
      <c r="A32" s="172" t="s">
        <v>41</v>
      </c>
      <c r="B32" s="37">
        <f>IF( ISERROR(IND_voed_ele_kWh/1000),0,IND_voed_ele_kWh/1000)</f>
        <v>9193.94705235125</v>
      </c>
      <c r="C32" s="39">
        <f>IF(ISERROR(B32*3.6/1000000/'E Balans VL '!Z20*100),0,B32*3.6/1000000/'E Balans VL '!Z20*100)</f>
        <v>0.30710420556915957</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4.5984438713489997</v>
      </c>
      <c r="C35" s="39">
        <f>IF(ISERROR(B35*3.6/1000000/'E Balans VL '!Z22*100),0,B35*3.6/1000000/'E Balans VL '!Z22*100)</f>
        <v>8.9434682194267459E-4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943.99372486876098</v>
      </c>
      <c r="C37" s="39">
        <f>IF(ISERROR(B37*3.6/1000000/'E Balans VL '!Z15*100),0,B37*3.6/1000000/'E Balans VL '!Z15*100)</f>
        <v>7.0217754156951945E-3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568.81203609118097</v>
      </c>
      <c r="C5" s="17">
        <f>'Eigen informatie GS &amp; warmtenet'!B60</f>
        <v>0</v>
      </c>
      <c r="D5" s="30">
        <f>IF(ISERROR(SUM(LB_lb_gas_kWh,LB_rest_gas_kWh,onbekend_gas_kWh)/1000),0,SUM(LB_lb_gas_kWh,LB_rest_gas_kWh,onbekend_gas_kWh)/1000)*0.902</f>
        <v>1517.6097361575273</v>
      </c>
      <c r="E5" s="17">
        <f>B17*'E Balans VL '!I25/3.6*1000000/100</f>
        <v>5.9567227847309274</v>
      </c>
      <c r="F5" s="17">
        <f>B17*('E Balans VL '!L25/3.6*1000000+'E Balans VL '!N25/3.6*1000000)/100</f>
        <v>2921.5091860440989</v>
      </c>
      <c r="G5" s="18"/>
      <c r="H5" s="17"/>
      <c r="I5" s="17"/>
      <c r="J5" s="17">
        <f>('E Balans VL '!D25+'E Balans VL '!E25)/3.6*1000000*landbouw!B17/100</f>
        <v>50.800013172198057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568.81203609118097</v>
      </c>
      <c r="C8" s="21">
        <f>C5+C6</f>
        <v>0</v>
      </c>
      <c r="D8" s="21">
        <f>MAX((D5+D6),0)</f>
        <v>1517.6097361575273</v>
      </c>
      <c r="E8" s="21">
        <f>MAX((E5+E6),0)</f>
        <v>5.9567227847309274</v>
      </c>
      <c r="F8" s="21">
        <f>MAX((F5+F6),0)</f>
        <v>2921.5091860440989</v>
      </c>
      <c r="G8" s="21"/>
      <c r="H8" s="21"/>
      <c r="I8" s="21"/>
      <c r="J8" s="21">
        <f>MAX((J5+J6),0)</f>
        <v>50.800013172198057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0.20933650266739023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119.07312231044517</v>
      </c>
      <c r="C12" s="23">
        <f ca="1">C8*C10</f>
        <v>0</v>
      </c>
      <c r="D12" s="23">
        <f>D8*D10</f>
        <v>306.55716670382054</v>
      </c>
      <c r="E12" s="23">
        <f>E8*E10</f>
        <v>1.3521760721339207</v>
      </c>
      <c r="F12" s="23">
        <f>F8*F10</f>
        <v>780.04295267377449</v>
      </c>
      <c r="G12" s="23"/>
      <c r="H12" s="23"/>
      <c r="I12" s="23"/>
      <c r="J12" s="23">
        <f>J8*J10</f>
        <v>17.983204662958112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8.7551152455834905E-2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79.384112788684263</v>
      </c>
      <c r="C26" s="248">
        <f>B26*'GWP N2O_CH4'!B5</f>
        <v>1667.0663685623695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39.294170194069004</v>
      </c>
      <c r="C27" s="248">
        <f>B27*'GWP N2O_CH4'!B5</f>
        <v>825.17757407544912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1.2438659315139291</v>
      </c>
      <c r="C28" s="248">
        <f>B28*'GWP N2O_CH4'!B4</f>
        <v>385.59843876931802</v>
      </c>
      <c r="D28" s="50"/>
    </row>
    <row r="29" spans="1:4">
      <c r="A29" s="41" t="s">
        <v>278</v>
      </c>
      <c r="B29" s="248">
        <f>B34*'ha_N2O bodem landbouw'!B4</f>
        <v>22.609617725277602</v>
      </c>
      <c r="C29" s="248">
        <f>B29*'GWP N2O_CH4'!B4</f>
        <v>7008.9814948360563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3.7365362769646183E-3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3.6341571646084105E-6</v>
      </c>
      <c r="C5" s="446" t="s">
        <v>212</v>
      </c>
      <c r="D5" s="431">
        <f>SUM(D6:D11)</f>
        <v>1.7145498135383646E-5</v>
      </c>
      <c r="E5" s="431">
        <f>SUM(E6:E11)</f>
        <v>2.1163701952473667E-3</v>
      </c>
      <c r="F5" s="444" t="s">
        <v>212</v>
      </c>
      <c r="G5" s="431">
        <f>SUM(G6:G11)</f>
        <v>0.36667260707840166</v>
      </c>
      <c r="H5" s="431">
        <f>SUM(H6:H11)</f>
        <v>5.9969925749827728E-2</v>
      </c>
      <c r="I5" s="446" t="s">
        <v>212</v>
      </c>
      <c r="J5" s="446" t="s">
        <v>212</v>
      </c>
      <c r="K5" s="446" t="s">
        <v>212</v>
      </c>
      <c r="L5" s="446" t="s">
        <v>212</v>
      </c>
      <c r="M5" s="431">
        <f>SUM(M6:M11)</f>
        <v>1.8608278724093884E-2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3.2285860334842127E-7</v>
      </c>
      <c r="C6" s="432"/>
      <c r="D6" s="432">
        <f>vkm_2011_GW_PW*SUMIFS(TableVerdeelsleutelVkm[CNG],TableVerdeelsleutelVkm[Voertuigtype],"Lichte voertuigen")*SUMIFS(TableECFTransport[EnergieConsumptieFactor (PJ per km)],TableECFTransport[Index],CONCATENATE($A6,"_CNG_CNG"))</f>
        <v>1.3918059099924267E-6</v>
      </c>
      <c r="E6" s="434">
        <f>vkm_2011_GW_PW*SUMIFS(TableVerdeelsleutelVkm[LPG],TableVerdeelsleutelVkm[Voertuigtype],"Lichte voertuigen")*SUMIFS(TableECFTransport[EnergieConsumptieFactor (PJ per km)],TableECFTransport[Index],CONCATENATE($A6,"_LPG_LPG"))</f>
        <v>1.448088649928856E-4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1.7811887934844575E-2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4.689500977133383E-3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9.8611873791535211E-4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1.0884195383221379E-2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3.7320397675662694E-6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4.7017684710945679E-4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2.9507337043451737E-7</v>
      </c>
      <c r="C8" s="432"/>
      <c r="D8" s="434">
        <f>vkm_2011_NGW_PW*SUMIFS(TableVerdeelsleutelVkm[CNG],TableVerdeelsleutelVkm[Voertuigtype],"Lichte voertuigen")*SUMIFS(TableECFTransport[EnergieConsumptieFactor (PJ per km)],TableECFTransport[Index],CONCATENATE($A8,"_CNG_CNG"))</f>
        <v>2.282047421930959E-6</v>
      </c>
      <c r="E8" s="434">
        <f>vkm_2011_NGW_PW*SUMIFS(TableVerdeelsleutelVkm[LPG],TableVerdeelsleutelVkm[Voertuigtype],"Lichte voertuigen")*SUMIFS(TableECFTransport[EnergieConsumptieFactor (PJ per km)],TableECFTransport[Index],CONCATENATE($A8,"_LPG_LPG"))</f>
        <v>2.1679396842730453E-4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2.5292334053484185E-2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7.3397215442908142E-3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1.4317545457542826E-3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1.4299769499468461E-3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4.2595256635186687E-7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6.1769346980941752E-5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3.0162251908254719E-6</v>
      </c>
      <c r="C10" s="432"/>
      <c r="D10" s="434">
        <f>vkm_2011_SW_PW*SUMIFS(TableVerdeelsleutelVkm[CNG],TableVerdeelsleutelVkm[Voertuigtype],"Lichte voertuigen")*SUMIFS(TableECFTransport[EnergieConsumptieFactor (PJ per km)],TableECFTransport[Index],CONCATENATE($A10,"_CNG_CNG"))</f>
        <v>1.3471644803460262E-5</v>
      </c>
      <c r="E10" s="434">
        <f>vkm_2011_SW_PW*SUMIFS(TableVerdeelsleutelVkm[LPG],TableVerdeelsleutelVkm[Voertuigtype],"Lichte voertuigen")*SUMIFS(TableECFTransport[EnergieConsumptieFactor (PJ per km)],TableECFTransport[Index],CONCATENATE($A10,"_LPG_LPG"))</f>
        <v>1.7547673618271765E-3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0.19843155072057778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4.7895269563110694E-2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1.078461179628867E-2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0.11282266203632689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4.1275672958914743E-5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4.8738474500451831E-3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1.009488101280114</v>
      </c>
      <c r="C14" s="21"/>
      <c r="D14" s="21">
        <f t="shared" ref="D14:M14" si="0">((D5)*10^9/3600)+D12</f>
        <v>4.7626383709399009</v>
      </c>
      <c r="E14" s="21">
        <f t="shared" si="0"/>
        <v>587.88060979093518</v>
      </c>
      <c r="F14" s="21"/>
      <c r="G14" s="21">
        <f t="shared" si="0"/>
        <v>101853.50196622268</v>
      </c>
      <c r="H14" s="21">
        <f t="shared" si="0"/>
        <v>16658.312708285481</v>
      </c>
      <c r="I14" s="21"/>
      <c r="J14" s="21"/>
      <c r="K14" s="21"/>
      <c r="L14" s="21"/>
      <c r="M14" s="21">
        <f t="shared" si="0"/>
        <v>5168.9663122483016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0.20933650266739023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0.2113227086063233</v>
      </c>
      <c r="C18" s="23"/>
      <c r="D18" s="23">
        <f t="shared" ref="D18:M18" si="1">D14*D16</f>
        <v>0.9620529509298601</v>
      </c>
      <c r="E18" s="23">
        <f t="shared" si="1"/>
        <v>133.4488984225423</v>
      </c>
      <c r="F18" s="23"/>
      <c r="G18" s="23">
        <f t="shared" si="1"/>
        <v>27194.885024981457</v>
      </c>
      <c r="H18" s="23">
        <f t="shared" si="1"/>
        <v>4147.9198643630843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1.6287276022361981E-3</v>
      </c>
      <c r="H50" s="322">
        <f t="shared" si="2"/>
        <v>0</v>
      </c>
      <c r="I50" s="322">
        <f t="shared" si="2"/>
        <v>0</v>
      </c>
      <c r="J50" s="322">
        <f t="shared" si="2"/>
        <v>0</v>
      </c>
      <c r="K50" s="322">
        <f t="shared" si="2"/>
        <v>0</v>
      </c>
      <c r="L50" s="322">
        <f t="shared" si="2"/>
        <v>0</v>
      </c>
      <c r="M50" s="322">
        <f t="shared" si="2"/>
        <v>6.9425581714427516E-5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1.6287276022361981E-3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6.9425581714427516E-5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452.4243339544995</v>
      </c>
      <c r="H54" s="21">
        <f t="shared" si="3"/>
        <v>0</v>
      </c>
      <c r="I54" s="21">
        <f t="shared" si="3"/>
        <v>0</v>
      </c>
      <c r="J54" s="21">
        <f t="shared" si="3"/>
        <v>0</v>
      </c>
      <c r="K54" s="21">
        <f t="shared" si="3"/>
        <v>0</v>
      </c>
      <c r="L54" s="21">
        <f t="shared" si="3"/>
        <v>0</v>
      </c>
      <c r="M54" s="21">
        <f t="shared" si="3"/>
        <v>19.284883809563201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0.20933650266739023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120.79729716585138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8</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756.33351866114356</v>
      </c>
      <c r="C6" s="1124"/>
      <c r="D6" s="1127"/>
      <c r="E6" s="1127"/>
      <c r="F6" s="1130"/>
      <c r="G6" s="1133"/>
      <c r="H6" s="1121"/>
      <c r="I6" s="1127"/>
      <c r="J6" s="1127"/>
      <c r="K6" s="1127"/>
      <c r="L6" s="1157"/>
      <c r="M6" s="559"/>
      <c r="N6" s="1169"/>
      <c r="O6" s="1170"/>
      <c r="Q6" s="557"/>
      <c r="R6" s="1154"/>
      <c r="S6" s="1154"/>
    </row>
    <row r="7" spans="1:19" s="547" customFormat="1">
      <c r="A7" s="560" t="s">
        <v>253</v>
      </c>
      <c r="B7" s="561">
        <f>N57</f>
        <v>742.5</v>
      </c>
      <c r="C7" s="562">
        <f>B100</f>
        <v>0</v>
      </c>
      <c r="D7" s="563"/>
      <c r="E7" s="563">
        <f>E100</f>
        <v>0</v>
      </c>
      <c r="F7" s="564"/>
      <c r="G7" s="565"/>
      <c r="H7" s="563">
        <f>I100</f>
        <v>0</v>
      </c>
      <c r="I7" s="563">
        <f>G100+F100</f>
        <v>0</v>
      </c>
      <c r="J7" s="563">
        <f>H100+D100+C100</f>
        <v>873.52941176470586</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1506.8335186611434</v>
      </c>
      <c r="C9" s="578">
        <f t="shared" ref="C9:L9" si="0">SUM(C7:C8)</f>
        <v>0</v>
      </c>
      <c r="D9" s="578">
        <f t="shared" si="0"/>
        <v>0</v>
      </c>
      <c r="E9" s="578">
        <f t="shared" si="0"/>
        <v>0</v>
      </c>
      <c r="F9" s="578">
        <f t="shared" si="0"/>
        <v>0</v>
      </c>
      <c r="G9" s="578">
        <f t="shared" si="0"/>
        <v>0</v>
      </c>
      <c r="H9" s="578">
        <f t="shared" si="0"/>
        <v>0</v>
      </c>
      <c r="I9" s="578">
        <f t="shared" si="0"/>
        <v>0</v>
      </c>
      <c r="J9" s="578">
        <f t="shared" si="0"/>
        <v>873.52941176470586</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1060.7142857142858</v>
      </c>
      <c r="C16" s="594">
        <f>B101</f>
        <v>0</v>
      </c>
      <c r="D16" s="595"/>
      <c r="E16" s="595">
        <f>E101</f>
        <v>0</v>
      </c>
      <c r="F16" s="596"/>
      <c r="G16" s="597"/>
      <c r="H16" s="594">
        <f>I101</f>
        <v>0</v>
      </c>
      <c r="I16" s="595">
        <f>G101+F101</f>
        <v>0</v>
      </c>
      <c r="J16" s="595">
        <f>H101+D101+C101</f>
        <v>1247.8991596638657</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1060.7142857142858</v>
      </c>
      <c r="C19" s="577">
        <f>SUM(C16:C18)</f>
        <v>0</v>
      </c>
      <c r="D19" s="577">
        <f t="shared" ref="D19:M19" si="1">SUM(D16:D18)</f>
        <v>0</v>
      </c>
      <c r="E19" s="577">
        <f t="shared" si="1"/>
        <v>0</v>
      </c>
      <c r="F19" s="577">
        <f t="shared" si="1"/>
        <v>0</v>
      </c>
      <c r="G19" s="577">
        <f t="shared" si="1"/>
        <v>0</v>
      </c>
      <c r="H19" s="577">
        <f t="shared" si="1"/>
        <v>0</v>
      </c>
      <c r="I19" s="577">
        <f t="shared" si="1"/>
        <v>0</v>
      </c>
      <c r="J19" s="577">
        <f t="shared" si="1"/>
        <v>1247.8991596638657</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24041</v>
      </c>
      <c r="C27" s="839">
        <v>3320</v>
      </c>
      <c r="D27" s="656" t="s">
        <v>894</v>
      </c>
      <c r="E27" s="655" t="s">
        <v>895</v>
      </c>
      <c r="F27" s="655" t="s">
        <v>896</v>
      </c>
      <c r="G27" s="655" t="s">
        <v>897</v>
      </c>
      <c r="H27" s="655" t="s">
        <v>898</v>
      </c>
      <c r="I27" s="655" t="s">
        <v>899</v>
      </c>
      <c r="J27" s="838">
        <v>37722</v>
      </c>
      <c r="K27" s="838">
        <v>38353</v>
      </c>
      <c r="L27" s="655" t="s">
        <v>900</v>
      </c>
      <c r="M27" s="655">
        <v>165</v>
      </c>
      <c r="N27" s="655">
        <v>742.5</v>
      </c>
      <c r="O27" s="655">
        <v>1060.7142857142858</v>
      </c>
      <c r="P27" s="655">
        <v>0</v>
      </c>
      <c r="Q27" s="655">
        <v>2121.4285714285716</v>
      </c>
      <c r="R27" s="655">
        <v>0</v>
      </c>
      <c r="S27" s="655">
        <v>0</v>
      </c>
      <c r="T27" s="655">
        <v>0</v>
      </c>
      <c r="U27" s="655">
        <v>0</v>
      </c>
      <c r="V27" s="655">
        <v>0</v>
      </c>
      <c r="W27" s="655">
        <v>0</v>
      </c>
      <c r="X27" s="655">
        <v>500</v>
      </c>
      <c r="Y27" s="655" t="s">
        <v>41</v>
      </c>
      <c r="Z27" s="657" t="s">
        <v>392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165</v>
      </c>
      <c r="N57" s="613">
        <f>SUM(N27:N56)</f>
        <v>742.5</v>
      </c>
      <c r="O57" s="613">
        <f t="shared" ref="O57:W57" si="2">SUM(O27:O56)</f>
        <v>1060.7142857142858</v>
      </c>
      <c r="P57" s="613">
        <f t="shared" si="2"/>
        <v>0</v>
      </c>
      <c r="Q57" s="613">
        <f t="shared" si="2"/>
        <v>2121.4285714285716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165</v>
      </c>
      <c r="N58" s="613">
        <f t="shared" ref="N58:W58" si="3">SUMIF($Z$27:$Z$56,"industrie",N27:N56)</f>
        <v>742.5</v>
      </c>
      <c r="O58" s="613">
        <f t="shared" si="3"/>
        <v>1060.7142857142858</v>
      </c>
      <c r="P58" s="613">
        <f t="shared" si="3"/>
        <v>0</v>
      </c>
      <c r="Q58" s="613">
        <f t="shared" si="3"/>
        <v>2121.4285714285716</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873.52941176470586</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1247.8991596638657</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5093.4352335632893</v>
      </c>
      <c r="D10" s="702">
        <f ca="1">tertiair!C16</f>
        <v>0</v>
      </c>
      <c r="E10" s="702">
        <f ca="1">tertiair!D16</f>
        <v>6279.8444487619809</v>
      </c>
      <c r="F10" s="702">
        <f>tertiair!E16</f>
        <v>114.53201336716006</v>
      </c>
      <c r="G10" s="702">
        <f ca="1">tertiair!F16</f>
        <v>798.66605519153939</v>
      </c>
      <c r="H10" s="702">
        <f>tertiair!G16</f>
        <v>0</v>
      </c>
      <c r="I10" s="702">
        <f>tertiair!H16</f>
        <v>0</v>
      </c>
      <c r="J10" s="702">
        <f>tertiair!I16</f>
        <v>0</v>
      </c>
      <c r="K10" s="702">
        <f>tertiair!J16</f>
        <v>0</v>
      </c>
      <c r="L10" s="702">
        <f>tertiair!K16</f>
        <v>0</v>
      </c>
      <c r="M10" s="702">
        <f ca="1">tertiair!L16</f>
        <v>0</v>
      </c>
      <c r="N10" s="702">
        <f>tertiair!M16</f>
        <v>0</v>
      </c>
      <c r="O10" s="702">
        <f ca="1">tertiair!N16</f>
        <v>65.997278866874893</v>
      </c>
      <c r="P10" s="702">
        <f>tertiair!O16</f>
        <v>0</v>
      </c>
      <c r="Q10" s="703">
        <f>tertiair!P16</f>
        <v>19.066666666666666</v>
      </c>
      <c r="R10" s="705">
        <f ca="1">SUM(C10:Q10)</f>
        <v>12371.541696417511</v>
      </c>
      <c r="S10" s="67"/>
    </row>
    <row r="11" spans="1:19" s="457" customFormat="1">
      <c r="A11" s="858" t="s">
        <v>226</v>
      </c>
      <c r="B11" s="863"/>
      <c r="C11" s="702">
        <f>huishoudens!B8</f>
        <v>11854.732726823515</v>
      </c>
      <c r="D11" s="702">
        <f>huishoudens!C8</f>
        <v>0</v>
      </c>
      <c r="E11" s="702">
        <f>huishoudens!D8</f>
        <v>27777.502842309477</v>
      </c>
      <c r="F11" s="702">
        <f>huishoudens!E8</f>
        <v>980.82261741879097</v>
      </c>
      <c r="G11" s="702">
        <f>huishoudens!F8</f>
        <v>11305.284085703253</v>
      </c>
      <c r="H11" s="702">
        <f>huishoudens!G8</f>
        <v>0</v>
      </c>
      <c r="I11" s="702">
        <f>huishoudens!H8</f>
        <v>0</v>
      </c>
      <c r="J11" s="702">
        <f>huishoudens!I8</f>
        <v>0</v>
      </c>
      <c r="K11" s="702">
        <f>huishoudens!J8</f>
        <v>1124.4930956154815</v>
      </c>
      <c r="L11" s="702">
        <f>huishoudens!K8</f>
        <v>0</v>
      </c>
      <c r="M11" s="702">
        <f>huishoudens!L8</f>
        <v>0</v>
      </c>
      <c r="N11" s="702">
        <f>huishoudens!M8</f>
        <v>0</v>
      </c>
      <c r="O11" s="702">
        <f>huishoudens!N8</f>
        <v>4674.1159627749039</v>
      </c>
      <c r="P11" s="702">
        <f>huishoudens!O8</f>
        <v>32.830000000000005</v>
      </c>
      <c r="Q11" s="703">
        <f>huishoudens!P8</f>
        <v>57.2</v>
      </c>
      <c r="R11" s="705">
        <f>SUM(C11:Q11)</f>
        <v>57806.981330645416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11033.498814994138</v>
      </c>
      <c r="D13" s="702">
        <f>industrie!C18</f>
        <v>1060.7142857142858</v>
      </c>
      <c r="E13" s="702">
        <f>industrie!D18</f>
        <v>22726.072257799377</v>
      </c>
      <c r="F13" s="702">
        <f>industrie!E18</f>
        <v>95.03611534106372</v>
      </c>
      <c r="G13" s="702">
        <f>industrie!F18</f>
        <v>1789.0168203345629</v>
      </c>
      <c r="H13" s="702">
        <f>industrie!G18</f>
        <v>0</v>
      </c>
      <c r="I13" s="702">
        <f>industrie!H18</f>
        <v>0</v>
      </c>
      <c r="J13" s="702">
        <f>industrie!I18</f>
        <v>0</v>
      </c>
      <c r="K13" s="702">
        <f>industrie!J18</f>
        <v>44.236333795653408</v>
      </c>
      <c r="L13" s="702">
        <f>industrie!K18</f>
        <v>0</v>
      </c>
      <c r="M13" s="702">
        <f>industrie!L18</f>
        <v>0</v>
      </c>
      <c r="N13" s="702">
        <f>industrie!M18</f>
        <v>0</v>
      </c>
      <c r="O13" s="702">
        <f>industrie!N18</f>
        <v>0</v>
      </c>
      <c r="P13" s="702">
        <f>industrie!O18</f>
        <v>0</v>
      </c>
      <c r="Q13" s="703">
        <f>industrie!P18</f>
        <v>0</v>
      </c>
      <c r="R13" s="705">
        <f>SUM(C13:Q13)</f>
        <v>36748.574627979076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27981.666775380942</v>
      </c>
      <c r="D15" s="707">
        <f t="shared" ref="D15:Q15" ca="1" si="0">SUM(D9:D14)</f>
        <v>1060.7142857142858</v>
      </c>
      <c r="E15" s="707">
        <f t="shared" ca="1" si="0"/>
        <v>56783.419548870836</v>
      </c>
      <c r="F15" s="707">
        <f t="shared" si="0"/>
        <v>1190.3907461270148</v>
      </c>
      <c r="G15" s="707">
        <f t="shared" ca="1" si="0"/>
        <v>13892.966961229355</v>
      </c>
      <c r="H15" s="707">
        <f t="shared" si="0"/>
        <v>0</v>
      </c>
      <c r="I15" s="707">
        <f t="shared" si="0"/>
        <v>0</v>
      </c>
      <c r="J15" s="707">
        <f t="shared" si="0"/>
        <v>0</v>
      </c>
      <c r="K15" s="707">
        <f t="shared" si="0"/>
        <v>1168.7294294111348</v>
      </c>
      <c r="L15" s="707">
        <f t="shared" si="0"/>
        <v>0</v>
      </c>
      <c r="M15" s="707">
        <f t="shared" ca="1" si="0"/>
        <v>0</v>
      </c>
      <c r="N15" s="707">
        <f t="shared" si="0"/>
        <v>0</v>
      </c>
      <c r="O15" s="707">
        <f t="shared" ca="1" si="0"/>
        <v>4740.1132416417786</v>
      </c>
      <c r="P15" s="707">
        <f t="shared" si="0"/>
        <v>32.830000000000005</v>
      </c>
      <c r="Q15" s="708">
        <f t="shared" si="0"/>
        <v>76.266666666666666</v>
      </c>
      <c r="R15" s="709">
        <f ca="1">SUM(R9:R14)</f>
        <v>106927.097655042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452.4243339544995</v>
      </c>
      <c r="I18" s="702">
        <f>transport!H54</f>
        <v>0</v>
      </c>
      <c r="J18" s="702">
        <f>transport!I54</f>
        <v>0</v>
      </c>
      <c r="K18" s="702">
        <f>transport!J54</f>
        <v>0</v>
      </c>
      <c r="L18" s="702">
        <f>transport!K54</f>
        <v>0</v>
      </c>
      <c r="M18" s="702">
        <f>transport!L54</f>
        <v>0</v>
      </c>
      <c r="N18" s="702">
        <f>transport!M54</f>
        <v>19.284883809563201</v>
      </c>
      <c r="O18" s="702">
        <f>transport!N54</f>
        <v>0</v>
      </c>
      <c r="P18" s="702">
        <f>transport!O54</f>
        <v>0</v>
      </c>
      <c r="Q18" s="703">
        <f>transport!P54</f>
        <v>0</v>
      </c>
      <c r="R18" s="705">
        <f>SUM(C18:Q18)</f>
        <v>471.70921776406271</v>
      </c>
      <c r="S18" s="67"/>
    </row>
    <row r="19" spans="1:19" s="457" customFormat="1" ht="15" thickBot="1">
      <c r="A19" s="858" t="s">
        <v>308</v>
      </c>
      <c r="B19" s="863"/>
      <c r="C19" s="711">
        <f>transport!B14</f>
        <v>1.009488101280114</v>
      </c>
      <c r="D19" s="711">
        <f>transport!C14</f>
        <v>0</v>
      </c>
      <c r="E19" s="711">
        <f>transport!D14</f>
        <v>4.7626383709399009</v>
      </c>
      <c r="F19" s="711">
        <f>transport!E14</f>
        <v>587.88060979093518</v>
      </c>
      <c r="G19" s="711">
        <f>transport!F14</f>
        <v>0</v>
      </c>
      <c r="H19" s="711">
        <f>transport!G14</f>
        <v>101853.50196622268</v>
      </c>
      <c r="I19" s="711">
        <f>transport!H14</f>
        <v>16658.312708285481</v>
      </c>
      <c r="J19" s="711">
        <f>transport!I14</f>
        <v>0</v>
      </c>
      <c r="K19" s="711">
        <f>transport!J14</f>
        <v>0</v>
      </c>
      <c r="L19" s="711">
        <f>transport!K14</f>
        <v>0</v>
      </c>
      <c r="M19" s="711">
        <f>transport!L14</f>
        <v>0</v>
      </c>
      <c r="N19" s="711">
        <f>transport!M14</f>
        <v>5168.9663122483016</v>
      </c>
      <c r="O19" s="711">
        <f>transport!N14</f>
        <v>0</v>
      </c>
      <c r="P19" s="711">
        <f>transport!O14</f>
        <v>0</v>
      </c>
      <c r="Q19" s="712">
        <f>transport!P14</f>
        <v>0</v>
      </c>
      <c r="R19" s="713">
        <f>SUM(C19:Q19)</f>
        <v>124274.43372301963</v>
      </c>
      <c r="S19" s="67"/>
    </row>
    <row r="20" spans="1:19" s="457" customFormat="1" ht="15.75" thickBot="1">
      <c r="A20" s="714" t="s">
        <v>231</v>
      </c>
      <c r="B20" s="866"/>
      <c r="C20" s="861">
        <f>SUM(C17:C19)</f>
        <v>1.009488101280114</v>
      </c>
      <c r="D20" s="715">
        <f t="shared" ref="D20:R20" si="1">SUM(D17:D19)</f>
        <v>0</v>
      </c>
      <c r="E20" s="715">
        <f t="shared" si="1"/>
        <v>4.7626383709399009</v>
      </c>
      <c r="F20" s="715">
        <f t="shared" si="1"/>
        <v>587.88060979093518</v>
      </c>
      <c r="G20" s="715">
        <f t="shared" si="1"/>
        <v>0</v>
      </c>
      <c r="H20" s="715">
        <f t="shared" si="1"/>
        <v>102305.92630017719</v>
      </c>
      <c r="I20" s="715">
        <f t="shared" si="1"/>
        <v>16658.312708285481</v>
      </c>
      <c r="J20" s="715">
        <f t="shared" si="1"/>
        <v>0</v>
      </c>
      <c r="K20" s="715">
        <f t="shared" si="1"/>
        <v>0</v>
      </c>
      <c r="L20" s="715">
        <f t="shared" si="1"/>
        <v>0</v>
      </c>
      <c r="M20" s="715">
        <f t="shared" si="1"/>
        <v>0</v>
      </c>
      <c r="N20" s="715">
        <f t="shared" si="1"/>
        <v>5188.2511960578649</v>
      </c>
      <c r="O20" s="715">
        <f t="shared" si="1"/>
        <v>0</v>
      </c>
      <c r="P20" s="715">
        <f t="shared" si="1"/>
        <v>0</v>
      </c>
      <c r="Q20" s="716">
        <f t="shared" si="1"/>
        <v>0</v>
      </c>
      <c r="R20" s="717">
        <f t="shared" si="1"/>
        <v>124746.14294078368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568.81203609118097</v>
      </c>
      <c r="D22" s="711">
        <f>+landbouw!C8</f>
        <v>0</v>
      </c>
      <c r="E22" s="711">
        <f>+landbouw!D8</f>
        <v>1517.6097361575273</v>
      </c>
      <c r="F22" s="711">
        <f>+landbouw!E8</f>
        <v>5.9567227847309274</v>
      </c>
      <c r="G22" s="711">
        <f>+landbouw!F8</f>
        <v>2921.5091860440989</v>
      </c>
      <c r="H22" s="711">
        <f>+landbouw!G8</f>
        <v>0</v>
      </c>
      <c r="I22" s="711">
        <f>+landbouw!H8</f>
        <v>0</v>
      </c>
      <c r="J22" s="711">
        <f>+landbouw!I8</f>
        <v>0</v>
      </c>
      <c r="K22" s="711">
        <f>+landbouw!J8</f>
        <v>50.800013172198057</v>
      </c>
      <c r="L22" s="711">
        <f>+landbouw!K8</f>
        <v>0</v>
      </c>
      <c r="M22" s="711">
        <f>+landbouw!L8</f>
        <v>0</v>
      </c>
      <c r="N22" s="711">
        <f>+landbouw!M8</f>
        <v>0</v>
      </c>
      <c r="O22" s="711">
        <f>+landbouw!N8</f>
        <v>0</v>
      </c>
      <c r="P22" s="711">
        <f>+landbouw!O8</f>
        <v>0</v>
      </c>
      <c r="Q22" s="712">
        <f>+landbouw!P8</f>
        <v>0</v>
      </c>
      <c r="R22" s="713">
        <f>SUM(C22:Q22)</f>
        <v>5064.6876942497365</v>
      </c>
      <c r="S22" s="67"/>
    </row>
    <row r="23" spans="1:19" s="457" customFormat="1" ht="17.25" thickTop="1" thickBot="1">
      <c r="A23" s="718" t="s">
        <v>116</v>
      </c>
      <c r="B23" s="852"/>
      <c r="C23" s="719">
        <f ca="1">C20+C15+C22</f>
        <v>28551.488299573404</v>
      </c>
      <c r="D23" s="719">
        <f t="shared" ref="D23:Q23" ca="1" si="2">D20+D15+D22</f>
        <v>1060.7142857142858</v>
      </c>
      <c r="E23" s="719">
        <f t="shared" ca="1" si="2"/>
        <v>58305.791923399309</v>
      </c>
      <c r="F23" s="719">
        <f t="shared" si="2"/>
        <v>1784.2280787026812</v>
      </c>
      <c r="G23" s="719">
        <f t="shared" ca="1" si="2"/>
        <v>16814.476147273454</v>
      </c>
      <c r="H23" s="719">
        <f t="shared" si="2"/>
        <v>102305.92630017719</v>
      </c>
      <c r="I23" s="719">
        <f t="shared" si="2"/>
        <v>16658.312708285481</v>
      </c>
      <c r="J23" s="719">
        <f t="shared" si="2"/>
        <v>0</v>
      </c>
      <c r="K23" s="719">
        <f t="shared" si="2"/>
        <v>1219.5294425833329</v>
      </c>
      <c r="L23" s="719">
        <f t="shared" si="2"/>
        <v>0</v>
      </c>
      <c r="M23" s="719">
        <f t="shared" ca="1" si="2"/>
        <v>0</v>
      </c>
      <c r="N23" s="719">
        <f t="shared" si="2"/>
        <v>5188.2511960578649</v>
      </c>
      <c r="O23" s="719">
        <f t="shared" ca="1" si="2"/>
        <v>4740.1132416417786</v>
      </c>
      <c r="P23" s="719">
        <f t="shared" si="2"/>
        <v>32.830000000000005</v>
      </c>
      <c r="Q23" s="720">
        <f t="shared" si="2"/>
        <v>76.266666666666666</v>
      </c>
      <c r="R23" s="721">
        <f ca="1">R20+R15+R22</f>
        <v>236737.92829007542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1066.2419183570009</v>
      </c>
      <c r="D36" s="702">
        <f ca="1">tertiair!C20</f>
        <v>0</v>
      </c>
      <c r="E36" s="702">
        <f ca="1">tertiair!D20</f>
        <v>1268.5285786499203</v>
      </c>
      <c r="F36" s="702">
        <f>tertiair!E20</f>
        <v>25.998767034345335</v>
      </c>
      <c r="G36" s="702">
        <f ca="1">tertiair!F20</f>
        <v>213.24383673614102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2574.0131007774075</v>
      </c>
    </row>
    <row r="37" spans="1:18">
      <c r="A37" s="873" t="s">
        <v>226</v>
      </c>
      <c r="B37" s="880"/>
      <c r="C37" s="702">
        <f ca="1">huishoudens!B12</f>
        <v>2481.6282890898892</v>
      </c>
      <c r="D37" s="702">
        <f ca="1">huishoudens!C12</f>
        <v>0</v>
      </c>
      <c r="E37" s="702">
        <f>huishoudens!D12</f>
        <v>5611.055574146515</v>
      </c>
      <c r="F37" s="702">
        <f>huishoudens!E12</f>
        <v>222.64673415406557</v>
      </c>
      <c r="G37" s="702">
        <f>huishoudens!F12</f>
        <v>3018.5108508827689</v>
      </c>
      <c r="H37" s="702">
        <f>huishoudens!G12</f>
        <v>0</v>
      </c>
      <c r="I37" s="702">
        <f>huishoudens!H12</f>
        <v>0</v>
      </c>
      <c r="J37" s="702">
        <f>huishoudens!I12</f>
        <v>0</v>
      </c>
      <c r="K37" s="702">
        <f>huishoudens!J12</f>
        <v>398.07055584788043</v>
      </c>
      <c r="L37" s="702">
        <f>huishoudens!K12</f>
        <v>0</v>
      </c>
      <c r="M37" s="702">
        <f>huishoudens!L12</f>
        <v>0</v>
      </c>
      <c r="N37" s="702">
        <f>huishoudens!M12</f>
        <v>0</v>
      </c>
      <c r="O37" s="702">
        <f>huishoudens!N12</f>
        <v>0</v>
      </c>
      <c r="P37" s="702">
        <f>huishoudens!O12</f>
        <v>0</v>
      </c>
      <c r="Q37" s="812">
        <f>huishoudens!P12</f>
        <v>0</v>
      </c>
      <c r="R37" s="905">
        <f ca="1">SUM(C37:Q37)</f>
        <v>11731.912004121119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2309.7140541156673</v>
      </c>
      <c r="D39" s="702">
        <f ca="1">industrie!C22</f>
        <v>0</v>
      </c>
      <c r="E39" s="702">
        <f>industrie!D22</f>
        <v>4590.6665960754744</v>
      </c>
      <c r="F39" s="702">
        <f>industrie!E22</f>
        <v>21.573198182421464</v>
      </c>
      <c r="G39" s="702">
        <f>industrie!F22</f>
        <v>477.66749102932835</v>
      </c>
      <c r="H39" s="702">
        <f>industrie!G22</f>
        <v>0</v>
      </c>
      <c r="I39" s="702">
        <f>industrie!H22</f>
        <v>0</v>
      </c>
      <c r="J39" s="702">
        <f>industrie!I22</f>
        <v>0</v>
      </c>
      <c r="K39" s="702">
        <f>industrie!J22</f>
        <v>15.659662163661306</v>
      </c>
      <c r="L39" s="702">
        <f>industrie!K22</f>
        <v>0</v>
      </c>
      <c r="M39" s="702">
        <f>industrie!L22</f>
        <v>0</v>
      </c>
      <c r="N39" s="702">
        <f>industrie!M22</f>
        <v>0</v>
      </c>
      <c r="O39" s="702">
        <f>industrie!N22</f>
        <v>0</v>
      </c>
      <c r="P39" s="702">
        <f>industrie!O22</f>
        <v>0</v>
      </c>
      <c r="Q39" s="812">
        <f>industrie!P22</f>
        <v>0</v>
      </c>
      <c r="R39" s="906">
        <f ca="1">SUM(C39:Q39)</f>
        <v>7415.2810015665527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5857.584261562557</v>
      </c>
      <c r="D41" s="747">
        <f t="shared" ref="D41:R41" ca="1" si="4">SUM(D35:D40)</f>
        <v>0</v>
      </c>
      <c r="E41" s="747">
        <f t="shared" ca="1" si="4"/>
        <v>11470.250748871909</v>
      </c>
      <c r="F41" s="747">
        <f t="shared" si="4"/>
        <v>270.21869937083238</v>
      </c>
      <c r="G41" s="747">
        <f t="shared" ca="1" si="4"/>
        <v>3709.4221786482381</v>
      </c>
      <c r="H41" s="747">
        <f t="shared" si="4"/>
        <v>0</v>
      </c>
      <c r="I41" s="747">
        <f t="shared" si="4"/>
        <v>0</v>
      </c>
      <c r="J41" s="747">
        <f t="shared" si="4"/>
        <v>0</v>
      </c>
      <c r="K41" s="747">
        <f t="shared" si="4"/>
        <v>413.73021801154175</v>
      </c>
      <c r="L41" s="747">
        <f t="shared" si="4"/>
        <v>0</v>
      </c>
      <c r="M41" s="747">
        <f t="shared" ca="1" si="4"/>
        <v>0</v>
      </c>
      <c r="N41" s="747">
        <f t="shared" si="4"/>
        <v>0</v>
      </c>
      <c r="O41" s="747">
        <f t="shared" ca="1" si="4"/>
        <v>0</v>
      </c>
      <c r="P41" s="747">
        <f t="shared" si="4"/>
        <v>0</v>
      </c>
      <c r="Q41" s="748">
        <f t="shared" si="4"/>
        <v>0</v>
      </c>
      <c r="R41" s="749">
        <f t="shared" ca="1" si="4"/>
        <v>21721.206106465077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120.79729716585138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120.79729716585138</v>
      </c>
    </row>
    <row r="45" spans="1:18" ht="15" thickBot="1">
      <c r="A45" s="876" t="s">
        <v>308</v>
      </c>
      <c r="B45" s="886"/>
      <c r="C45" s="711">
        <f ca="1">transport!B18</f>
        <v>0.2113227086063233</v>
      </c>
      <c r="D45" s="711">
        <f>transport!C18</f>
        <v>0</v>
      </c>
      <c r="E45" s="711">
        <f>transport!D18</f>
        <v>0.9620529509298601</v>
      </c>
      <c r="F45" s="711">
        <f>transport!E18</f>
        <v>133.4488984225423</v>
      </c>
      <c r="G45" s="711">
        <f>transport!F18</f>
        <v>0</v>
      </c>
      <c r="H45" s="711">
        <f>transport!G18</f>
        <v>27194.885024981457</v>
      </c>
      <c r="I45" s="711">
        <f>transport!H18</f>
        <v>4147.9198643630843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31477.427163426619</v>
      </c>
    </row>
    <row r="46" spans="1:18" ht="15.75" thickBot="1">
      <c r="A46" s="874" t="s">
        <v>231</v>
      </c>
      <c r="B46" s="887"/>
      <c r="C46" s="747">
        <f t="shared" ref="C46:R46" ca="1" si="5">SUM(C43:C45)</f>
        <v>0.2113227086063233</v>
      </c>
      <c r="D46" s="747">
        <f t="shared" ca="1" si="5"/>
        <v>0</v>
      </c>
      <c r="E46" s="747">
        <f t="shared" si="5"/>
        <v>0.9620529509298601</v>
      </c>
      <c r="F46" s="747">
        <f t="shared" si="5"/>
        <v>133.4488984225423</v>
      </c>
      <c r="G46" s="747">
        <f t="shared" si="5"/>
        <v>0</v>
      </c>
      <c r="H46" s="747">
        <f t="shared" si="5"/>
        <v>27315.68232214731</v>
      </c>
      <c r="I46" s="747">
        <f t="shared" si="5"/>
        <v>4147.9198643630843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31598.224460592472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119.07312231044517</v>
      </c>
      <c r="D48" s="702">
        <f ca="1">+landbouw!C12</f>
        <v>0</v>
      </c>
      <c r="E48" s="702">
        <f>+landbouw!D12</f>
        <v>306.55716670382054</v>
      </c>
      <c r="F48" s="702">
        <f>+landbouw!E12</f>
        <v>1.3521760721339207</v>
      </c>
      <c r="G48" s="702">
        <f>+landbouw!F12</f>
        <v>780.04295267377449</v>
      </c>
      <c r="H48" s="702">
        <f>+landbouw!G12</f>
        <v>0</v>
      </c>
      <c r="I48" s="702">
        <f>+landbouw!H12</f>
        <v>0</v>
      </c>
      <c r="J48" s="702">
        <f>+landbouw!I12</f>
        <v>0</v>
      </c>
      <c r="K48" s="702">
        <f>+landbouw!J12</f>
        <v>17.983204662958112</v>
      </c>
      <c r="L48" s="702">
        <f>+landbouw!K12</f>
        <v>0</v>
      </c>
      <c r="M48" s="702">
        <f>+landbouw!L12</f>
        <v>0</v>
      </c>
      <c r="N48" s="702">
        <f>+landbouw!M12</f>
        <v>0</v>
      </c>
      <c r="O48" s="702">
        <f>+landbouw!N12</f>
        <v>0</v>
      </c>
      <c r="P48" s="702">
        <f>+landbouw!O12</f>
        <v>0</v>
      </c>
      <c r="Q48" s="703">
        <f>+landbouw!P12</f>
        <v>0</v>
      </c>
      <c r="R48" s="745">
        <f ca="1">SUM(C48:Q48)</f>
        <v>1225.0086224231322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5976.8687065816084</v>
      </c>
      <c r="D53" s="757">
        <f t="shared" ref="D53:Q53" ca="1" si="6">D41+D46+D48</f>
        <v>0</v>
      </c>
      <c r="E53" s="757">
        <f t="shared" ca="1" si="6"/>
        <v>11777.76996852666</v>
      </c>
      <c r="F53" s="757">
        <f t="shared" si="6"/>
        <v>405.01977386550863</v>
      </c>
      <c r="G53" s="757">
        <f t="shared" ca="1" si="6"/>
        <v>4489.4651313220129</v>
      </c>
      <c r="H53" s="757">
        <f t="shared" si="6"/>
        <v>27315.68232214731</v>
      </c>
      <c r="I53" s="757">
        <f t="shared" si="6"/>
        <v>4147.9198643630843</v>
      </c>
      <c r="J53" s="757">
        <f t="shared" si="6"/>
        <v>0</v>
      </c>
      <c r="K53" s="757">
        <f t="shared" si="6"/>
        <v>431.71342267449984</v>
      </c>
      <c r="L53" s="757">
        <f t="shared" si="6"/>
        <v>0</v>
      </c>
      <c r="M53" s="757">
        <f t="shared" ca="1" si="6"/>
        <v>0</v>
      </c>
      <c r="N53" s="757">
        <f t="shared" si="6"/>
        <v>0</v>
      </c>
      <c r="O53" s="757">
        <f t="shared" ca="1" si="6"/>
        <v>0</v>
      </c>
      <c r="P53" s="757">
        <f>P41+P46+P48</f>
        <v>0</v>
      </c>
      <c r="Q53" s="758">
        <f t="shared" si="6"/>
        <v>0</v>
      </c>
      <c r="R53" s="759">
        <f ca="1">R41+R46+R48</f>
        <v>54544.439189480683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0.20933650266739021</v>
      </c>
      <c r="D55" s="823">
        <f t="shared" ca="1" si="7"/>
        <v>0</v>
      </c>
      <c r="E55" s="823">
        <f t="shared" ca="1" si="7"/>
        <v>0.20199999999999999</v>
      </c>
      <c r="F55" s="823">
        <f t="shared" si="7"/>
        <v>0.22700000000000001</v>
      </c>
      <c r="G55" s="823">
        <f t="shared" ca="1" si="7"/>
        <v>0.26700000000000007</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8</v>
      </c>
      <c r="C65" s="779">
        <f>'lokale energieproductie'!B5</f>
        <v>8</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756.33351866114356</v>
      </c>
      <c r="C66" s="779">
        <f>'lokale energieproductie'!B6</f>
        <v>756.33351866114356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742.5</v>
      </c>
      <c r="C67" s="778">
        <f>B67*IFERROR(SUM(J67:L67)/SUM(D67:M67),0)</f>
        <v>742.5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873.52941176470586</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1506.8335186611434</v>
      </c>
      <c r="C69" s="787">
        <f>SUM(C64:C68)</f>
        <v>1506.8335186611434</v>
      </c>
      <c r="D69" s="788">
        <f t="shared" ref="D69:M69" si="8">SUM(D67:D68)</f>
        <v>0</v>
      </c>
      <c r="E69" s="788">
        <f t="shared" si="8"/>
        <v>0</v>
      </c>
      <c r="F69" s="788">
        <f t="shared" si="8"/>
        <v>0</v>
      </c>
      <c r="G69" s="788">
        <f t="shared" si="8"/>
        <v>0</v>
      </c>
      <c r="H69" s="788">
        <f t="shared" si="8"/>
        <v>0</v>
      </c>
      <c r="I69" s="788">
        <f t="shared" si="8"/>
        <v>0</v>
      </c>
      <c r="J69" s="788">
        <f t="shared" si="8"/>
        <v>0</v>
      </c>
      <c r="K69" s="788">
        <f t="shared" si="8"/>
        <v>873.52941176470586</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1060.7142857142858</v>
      </c>
      <c r="C78" s="801">
        <f>B78*IFERROR(SUM(I78:L78)/SUM(D78:M78),0)</f>
        <v>1060.7142857142858</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1247.8991596638657</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1060.7142857142858</v>
      </c>
      <c r="C81" s="787">
        <f>SUM(C78:C80)</f>
        <v>1060.7142857142858</v>
      </c>
      <c r="D81" s="787">
        <f t="shared" ref="D81:P81" si="9">SUM(D78:D80)</f>
        <v>0</v>
      </c>
      <c r="E81" s="787">
        <f t="shared" si="9"/>
        <v>0</v>
      </c>
      <c r="F81" s="787">
        <f t="shared" si="9"/>
        <v>0</v>
      </c>
      <c r="G81" s="787">
        <f t="shared" si="9"/>
        <v>0</v>
      </c>
      <c r="H81" s="787">
        <f t="shared" si="9"/>
        <v>0</v>
      </c>
      <c r="I81" s="787">
        <f t="shared" si="9"/>
        <v>0</v>
      </c>
      <c r="J81" s="787">
        <f t="shared" si="9"/>
        <v>0</v>
      </c>
      <c r="K81" s="787">
        <f t="shared" si="9"/>
        <v>1247.8991596638657</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11854.732726823515</v>
      </c>
      <c r="C4" s="461">
        <f>huishoudens!C8</f>
        <v>0</v>
      </c>
      <c r="D4" s="461">
        <f>huishoudens!D8</f>
        <v>27777.502842309477</v>
      </c>
      <c r="E4" s="461">
        <f>huishoudens!E8</f>
        <v>980.82261741879097</v>
      </c>
      <c r="F4" s="461">
        <f>huishoudens!F8</f>
        <v>11305.284085703253</v>
      </c>
      <c r="G4" s="461">
        <f>huishoudens!G8</f>
        <v>0</v>
      </c>
      <c r="H4" s="461">
        <f>huishoudens!H8</f>
        <v>0</v>
      </c>
      <c r="I4" s="461">
        <f>huishoudens!I8</f>
        <v>0</v>
      </c>
      <c r="J4" s="461">
        <f>huishoudens!J8</f>
        <v>1124.4930956154815</v>
      </c>
      <c r="K4" s="461">
        <f>huishoudens!K8</f>
        <v>0</v>
      </c>
      <c r="L4" s="461">
        <f>huishoudens!L8</f>
        <v>0</v>
      </c>
      <c r="M4" s="461">
        <f>huishoudens!M8</f>
        <v>0</v>
      </c>
      <c r="N4" s="461">
        <f>huishoudens!N8</f>
        <v>4674.1159627749039</v>
      </c>
      <c r="O4" s="461">
        <f>huishoudens!O8</f>
        <v>32.830000000000005</v>
      </c>
      <c r="P4" s="462">
        <f>huishoudens!P8</f>
        <v>57.2</v>
      </c>
      <c r="Q4" s="463">
        <f>SUM(B4:P4)</f>
        <v>57806.981330645416</v>
      </c>
    </row>
    <row r="5" spans="1:17">
      <c r="A5" s="460" t="s">
        <v>156</v>
      </c>
      <c r="B5" s="461">
        <f ca="1">tertiair!B16</f>
        <v>4732.0862335632892</v>
      </c>
      <c r="C5" s="461">
        <f ca="1">tertiair!C16</f>
        <v>0</v>
      </c>
      <c r="D5" s="461">
        <f ca="1">tertiair!D16</f>
        <v>6279.8444487619809</v>
      </c>
      <c r="E5" s="461">
        <f>tertiair!E16</f>
        <v>114.53201336716006</v>
      </c>
      <c r="F5" s="461">
        <f ca="1">tertiair!F16</f>
        <v>798.66605519153939</v>
      </c>
      <c r="G5" s="461">
        <f>tertiair!G16</f>
        <v>0</v>
      </c>
      <c r="H5" s="461">
        <f>tertiair!H16</f>
        <v>0</v>
      </c>
      <c r="I5" s="461">
        <f>tertiair!I16</f>
        <v>0</v>
      </c>
      <c r="J5" s="461">
        <f>tertiair!J16</f>
        <v>0</v>
      </c>
      <c r="K5" s="461">
        <f>tertiair!K16</f>
        <v>0</v>
      </c>
      <c r="L5" s="461">
        <f ca="1">tertiair!L16</f>
        <v>0</v>
      </c>
      <c r="M5" s="461">
        <f>tertiair!M16</f>
        <v>0</v>
      </c>
      <c r="N5" s="461">
        <f ca="1">tertiair!N16</f>
        <v>65.997278866874893</v>
      </c>
      <c r="O5" s="461">
        <f>tertiair!O16</f>
        <v>0</v>
      </c>
      <c r="P5" s="462">
        <f>tertiair!P16</f>
        <v>19.066666666666666</v>
      </c>
      <c r="Q5" s="460">
        <f t="shared" ref="Q5:Q13" ca="1" si="0">SUM(B5:P5)</f>
        <v>12010.192696417511</v>
      </c>
    </row>
    <row r="6" spans="1:17">
      <c r="A6" s="460" t="s">
        <v>195</v>
      </c>
      <c r="B6" s="461">
        <f>'openbare verlichting'!B8</f>
        <v>361.34899999999999</v>
      </c>
      <c r="C6" s="461"/>
      <c r="D6" s="461"/>
      <c r="E6" s="461"/>
      <c r="F6" s="461"/>
      <c r="G6" s="461"/>
      <c r="H6" s="461"/>
      <c r="I6" s="461"/>
      <c r="J6" s="461"/>
      <c r="K6" s="461"/>
      <c r="L6" s="461"/>
      <c r="M6" s="461"/>
      <c r="N6" s="461"/>
      <c r="O6" s="461"/>
      <c r="P6" s="462"/>
      <c r="Q6" s="460">
        <f t="shared" si="0"/>
        <v>361.34899999999999</v>
      </c>
    </row>
    <row r="7" spans="1:17">
      <c r="A7" s="460" t="s">
        <v>112</v>
      </c>
      <c r="B7" s="461">
        <f>landbouw!B8</f>
        <v>568.81203609118097</v>
      </c>
      <c r="C7" s="461">
        <f>landbouw!C8</f>
        <v>0</v>
      </c>
      <c r="D7" s="461">
        <f>landbouw!D8</f>
        <v>1517.6097361575273</v>
      </c>
      <c r="E7" s="461">
        <f>landbouw!E8</f>
        <v>5.9567227847309274</v>
      </c>
      <c r="F7" s="461">
        <f>landbouw!F8</f>
        <v>2921.5091860440989</v>
      </c>
      <c r="G7" s="461">
        <f>landbouw!G8</f>
        <v>0</v>
      </c>
      <c r="H7" s="461">
        <f>landbouw!H8</f>
        <v>0</v>
      </c>
      <c r="I7" s="461">
        <f>landbouw!I8</f>
        <v>0</v>
      </c>
      <c r="J7" s="461">
        <f>landbouw!J8</f>
        <v>50.800013172198057</v>
      </c>
      <c r="K7" s="461">
        <f>landbouw!K8</f>
        <v>0</v>
      </c>
      <c r="L7" s="461">
        <f>landbouw!L8</f>
        <v>0</v>
      </c>
      <c r="M7" s="461">
        <f>landbouw!M8</f>
        <v>0</v>
      </c>
      <c r="N7" s="461">
        <f>landbouw!N8</f>
        <v>0</v>
      </c>
      <c r="O7" s="461">
        <f>landbouw!O8</f>
        <v>0</v>
      </c>
      <c r="P7" s="462">
        <f>landbouw!P8</f>
        <v>0</v>
      </c>
      <c r="Q7" s="460">
        <f t="shared" si="0"/>
        <v>5064.6876942497365</v>
      </c>
    </row>
    <row r="8" spans="1:17">
      <c r="A8" s="460" t="s">
        <v>656</v>
      </c>
      <c r="B8" s="461">
        <f>industrie!B18</f>
        <v>11033.498814994138</v>
      </c>
      <c r="C8" s="461">
        <f>industrie!C18</f>
        <v>1060.7142857142858</v>
      </c>
      <c r="D8" s="461">
        <f>industrie!D18</f>
        <v>22726.072257799377</v>
      </c>
      <c r="E8" s="461">
        <f>industrie!E18</f>
        <v>95.03611534106372</v>
      </c>
      <c r="F8" s="461">
        <f>industrie!F18</f>
        <v>1789.0168203345629</v>
      </c>
      <c r="G8" s="461">
        <f>industrie!G18</f>
        <v>0</v>
      </c>
      <c r="H8" s="461">
        <f>industrie!H18</f>
        <v>0</v>
      </c>
      <c r="I8" s="461">
        <f>industrie!I18</f>
        <v>0</v>
      </c>
      <c r="J8" s="461">
        <f>industrie!J18</f>
        <v>44.236333795653408</v>
      </c>
      <c r="K8" s="461">
        <f>industrie!K18</f>
        <v>0</v>
      </c>
      <c r="L8" s="461">
        <f>industrie!L18</f>
        <v>0</v>
      </c>
      <c r="M8" s="461">
        <f>industrie!M18</f>
        <v>0</v>
      </c>
      <c r="N8" s="461">
        <f>industrie!N18</f>
        <v>0</v>
      </c>
      <c r="O8" s="461">
        <f>industrie!O18</f>
        <v>0</v>
      </c>
      <c r="P8" s="462">
        <f>industrie!P18</f>
        <v>0</v>
      </c>
      <c r="Q8" s="460">
        <f t="shared" si="0"/>
        <v>36748.574627979076</v>
      </c>
    </row>
    <row r="9" spans="1:17" s="466" customFormat="1">
      <c r="A9" s="464" t="s">
        <v>574</v>
      </c>
      <c r="B9" s="465">
        <f>transport!B14</f>
        <v>1.009488101280114</v>
      </c>
      <c r="C9" s="465">
        <f>transport!C14</f>
        <v>0</v>
      </c>
      <c r="D9" s="465">
        <f>transport!D14</f>
        <v>4.7626383709399009</v>
      </c>
      <c r="E9" s="465">
        <f>transport!E14</f>
        <v>587.88060979093518</v>
      </c>
      <c r="F9" s="465">
        <f>transport!F14</f>
        <v>0</v>
      </c>
      <c r="G9" s="465">
        <f>transport!G14</f>
        <v>101853.50196622268</v>
      </c>
      <c r="H9" s="465">
        <f>transport!H14</f>
        <v>16658.312708285481</v>
      </c>
      <c r="I9" s="465">
        <f>transport!I14</f>
        <v>0</v>
      </c>
      <c r="J9" s="465">
        <f>transport!J14</f>
        <v>0</v>
      </c>
      <c r="K9" s="465">
        <f>transport!K14</f>
        <v>0</v>
      </c>
      <c r="L9" s="465">
        <f>transport!L14</f>
        <v>0</v>
      </c>
      <c r="M9" s="465">
        <f>transport!M14</f>
        <v>5168.9663122483016</v>
      </c>
      <c r="N9" s="465">
        <f>transport!N14</f>
        <v>0</v>
      </c>
      <c r="O9" s="465">
        <f>transport!O14</f>
        <v>0</v>
      </c>
      <c r="P9" s="465">
        <f>transport!P14</f>
        <v>0</v>
      </c>
      <c r="Q9" s="464">
        <f>SUM(B9:P9)</f>
        <v>124274.43372301963</v>
      </c>
    </row>
    <row r="10" spans="1:17">
      <c r="A10" s="460" t="s">
        <v>564</v>
      </c>
      <c r="B10" s="461">
        <f>transport!B54</f>
        <v>0</v>
      </c>
      <c r="C10" s="461">
        <f>transport!C54</f>
        <v>0</v>
      </c>
      <c r="D10" s="461">
        <f>transport!D54</f>
        <v>0</v>
      </c>
      <c r="E10" s="461">
        <f>transport!E54</f>
        <v>0</v>
      </c>
      <c r="F10" s="461">
        <f>transport!F54</f>
        <v>0</v>
      </c>
      <c r="G10" s="461">
        <f>transport!G54</f>
        <v>452.4243339544995</v>
      </c>
      <c r="H10" s="461">
        <f>transport!H54</f>
        <v>0</v>
      </c>
      <c r="I10" s="461">
        <f>transport!I54</f>
        <v>0</v>
      </c>
      <c r="J10" s="461">
        <f>transport!J54</f>
        <v>0</v>
      </c>
      <c r="K10" s="461">
        <f>transport!K54</f>
        <v>0</v>
      </c>
      <c r="L10" s="461">
        <f>transport!L54</f>
        <v>0</v>
      </c>
      <c r="M10" s="461">
        <f>transport!M54</f>
        <v>19.284883809563201</v>
      </c>
      <c r="N10" s="461">
        <f>transport!N54</f>
        <v>0</v>
      </c>
      <c r="O10" s="461">
        <f>transport!O54</f>
        <v>0</v>
      </c>
      <c r="P10" s="462">
        <f>transport!P54</f>
        <v>0</v>
      </c>
      <c r="Q10" s="460">
        <f t="shared" si="0"/>
        <v>471.70921776406271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28551.488299573404</v>
      </c>
      <c r="C14" s="471">
        <f t="shared" ref="C14:Q14" ca="1" si="1">SUM(C4:C13)</f>
        <v>1060.7142857142858</v>
      </c>
      <c r="D14" s="471">
        <f t="shared" ca="1" si="1"/>
        <v>58305.791923399302</v>
      </c>
      <c r="E14" s="471">
        <f t="shared" si="1"/>
        <v>1784.2280787026812</v>
      </c>
      <c r="F14" s="471">
        <f t="shared" ca="1" si="1"/>
        <v>16814.476147273454</v>
      </c>
      <c r="G14" s="471">
        <f t="shared" si="1"/>
        <v>102305.92630017719</v>
      </c>
      <c r="H14" s="471">
        <f t="shared" si="1"/>
        <v>16658.312708285481</v>
      </c>
      <c r="I14" s="471">
        <f t="shared" si="1"/>
        <v>0</v>
      </c>
      <c r="J14" s="471">
        <f t="shared" si="1"/>
        <v>1219.5294425833329</v>
      </c>
      <c r="K14" s="471">
        <f t="shared" si="1"/>
        <v>0</v>
      </c>
      <c r="L14" s="471">
        <f t="shared" ca="1" si="1"/>
        <v>0</v>
      </c>
      <c r="M14" s="471">
        <f t="shared" si="1"/>
        <v>5188.2511960578649</v>
      </c>
      <c r="N14" s="471">
        <f t="shared" ca="1" si="1"/>
        <v>4740.1132416417786</v>
      </c>
      <c r="O14" s="471">
        <f t="shared" si="1"/>
        <v>32.830000000000005</v>
      </c>
      <c r="P14" s="472">
        <f t="shared" si="1"/>
        <v>76.266666666666666</v>
      </c>
      <c r="Q14" s="472">
        <f t="shared" ca="1" si="1"/>
        <v>236737.92829007542</v>
      </c>
    </row>
    <row r="16" spans="1:17">
      <c r="A16" s="474" t="s">
        <v>569</v>
      </c>
      <c r="B16" s="828">
        <f ca="1">huishoudens!B10</f>
        <v>0.20933650266739023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2481.6282890898892</v>
      </c>
      <c r="C21" s="461">
        <f t="shared" ref="C21:C30" ca="1" si="3">C4*$C$16</f>
        <v>0</v>
      </c>
      <c r="D21" s="461">
        <f t="shared" ref="D21:D30" si="4">D4*$D$16</f>
        <v>5611.055574146515</v>
      </c>
      <c r="E21" s="461">
        <f t="shared" ref="E21:E30" si="5">E4*$E$16</f>
        <v>222.64673415406557</v>
      </c>
      <c r="F21" s="461">
        <f t="shared" ref="F21:F30" si="6">F4*$F$16</f>
        <v>3018.5108508827689</v>
      </c>
      <c r="G21" s="461">
        <f t="shared" ref="G21:G30" si="7">G4*$G$16</f>
        <v>0</v>
      </c>
      <c r="H21" s="461">
        <f t="shared" ref="H21:H30" si="8">H4*$H$16</f>
        <v>0</v>
      </c>
      <c r="I21" s="461">
        <f t="shared" ref="I21:I30" si="9">I4*$I$16</f>
        <v>0</v>
      </c>
      <c r="J21" s="461">
        <f t="shared" ref="J21:J30" si="10">J4*$J$16</f>
        <v>398.07055584788043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11731.912004121119</v>
      </c>
    </row>
    <row r="22" spans="1:17">
      <c r="A22" s="460" t="s">
        <v>156</v>
      </c>
      <c r="B22" s="461">
        <f t="shared" ca="1" si="2"/>
        <v>990.59838245464209</v>
      </c>
      <c r="C22" s="461">
        <f t="shared" ca="1" si="3"/>
        <v>0</v>
      </c>
      <c r="D22" s="461">
        <f t="shared" ca="1" si="4"/>
        <v>1268.5285786499203</v>
      </c>
      <c r="E22" s="461">
        <f t="shared" si="5"/>
        <v>25.998767034345335</v>
      </c>
      <c r="F22" s="461">
        <f t="shared" ca="1" si="6"/>
        <v>213.24383673614102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2498.3695648750486</v>
      </c>
    </row>
    <row r="23" spans="1:17">
      <c r="A23" s="460" t="s">
        <v>195</v>
      </c>
      <c r="B23" s="461">
        <f t="shared" ca="1" si="2"/>
        <v>75.643535902358792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75.643535902358792</v>
      </c>
    </row>
    <row r="24" spans="1:17">
      <c r="A24" s="460" t="s">
        <v>112</v>
      </c>
      <c r="B24" s="461">
        <f t="shared" ca="1" si="2"/>
        <v>119.07312231044517</v>
      </c>
      <c r="C24" s="461">
        <f t="shared" ca="1" si="3"/>
        <v>0</v>
      </c>
      <c r="D24" s="461">
        <f t="shared" si="4"/>
        <v>306.55716670382054</v>
      </c>
      <c r="E24" s="461">
        <f t="shared" si="5"/>
        <v>1.3521760721339207</v>
      </c>
      <c r="F24" s="461">
        <f t="shared" si="6"/>
        <v>780.04295267377449</v>
      </c>
      <c r="G24" s="461">
        <f t="shared" si="7"/>
        <v>0</v>
      </c>
      <c r="H24" s="461">
        <f t="shared" si="8"/>
        <v>0</v>
      </c>
      <c r="I24" s="461">
        <f t="shared" si="9"/>
        <v>0</v>
      </c>
      <c r="J24" s="461">
        <f t="shared" si="10"/>
        <v>17.983204662958112</v>
      </c>
      <c r="K24" s="461">
        <f t="shared" si="11"/>
        <v>0</v>
      </c>
      <c r="L24" s="461">
        <f t="shared" si="12"/>
        <v>0</v>
      </c>
      <c r="M24" s="461">
        <f t="shared" si="13"/>
        <v>0</v>
      </c>
      <c r="N24" s="461">
        <f t="shared" si="14"/>
        <v>0</v>
      </c>
      <c r="O24" s="461">
        <f t="shared" si="15"/>
        <v>0</v>
      </c>
      <c r="P24" s="462">
        <f t="shared" si="16"/>
        <v>0</v>
      </c>
      <c r="Q24" s="460">
        <f t="shared" ca="1" si="17"/>
        <v>1225.0086224231322</v>
      </c>
    </row>
    <row r="25" spans="1:17">
      <c r="A25" s="460" t="s">
        <v>656</v>
      </c>
      <c r="B25" s="461">
        <f t="shared" ca="1" si="2"/>
        <v>2309.7140541156673</v>
      </c>
      <c r="C25" s="461">
        <f t="shared" ca="1" si="3"/>
        <v>0</v>
      </c>
      <c r="D25" s="461">
        <f t="shared" si="4"/>
        <v>4590.6665960754744</v>
      </c>
      <c r="E25" s="461">
        <f t="shared" si="5"/>
        <v>21.573198182421464</v>
      </c>
      <c r="F25" s="461">
        <f t="shared" si="6"/>
        <v>477.66749102932835</v>
      </c>
      <c r="G25" s="461">
        <f t="shared" si="7"/>
        <v>0</v>
      </c>
      <c r="H25" s="461">
        <f t="shared" si="8"/>
        <v>0</v>
      </c>
      <c r="I25" s="461">
        <f t="shared" si="9"/>
        <v>0</v>
      </c>
      <c r="J25" s="461">
        <f t="shared" si="10"/>
        <v>15.659662163661306</v>
      </c>
      <c r="K25" s="461">
        <f t="shared" si="11"/>
        <v>0</v>
      </c>
      <c r="L25" s="461">
        <f t="shared" si="12"/>
        <v>0</v>
      </c>
      <c r="M25" s="461">
        <f t="shared" si="13"/>
        <v>0</v>
      </c>
      <c r="N25" s="461">
        <f t="shared" si="14"/>
        <v>0</v>
      </c>
      <c r="O25" s="461">
        <f t="shared" si="15"/>
        <v>0</v>
      </c>
      <c r="P25" s="462">
        <f t="shared" si="16"/>
        <v>0</v>
      </c>
      <c r="Q25" s="460">
        <f t="shared" ca="1" si="17"/>
        <v>7415.2810015665527</v>
      </c>
    </row>
    <row r="26" spans="1:17" s="466" customFormat="1">
      <c r="A26" s="464" t="s">
        <v>574</v>
      </c>
      <c r="B26" s="822">
        <f t="shared" ca="1" si="2"/>
        <v>0.2113227086063233</v>
      </c>
      <c r="C26" s="465">
        <f t="shared" ca="1" si="3"/>
        <v>0</v>
      </c>
      <c r="D26" s="465">
        <f t="shared" si="4"/>
        <v>0.9620529509298601</v>
      </c>
      <c r="E26" s="465">
        <f t="shared" si="5"/>
        <v>133.4488984225423</v>
      </c>
      <c r="F26" s="465">
        <f t="shared" si="6"/>
        <v>0</v>
      </c>
      <c r="G26" s="465">
        <f t="shared" si="7"/>
        <v>27194.885024981457</v>
      </c>
      <c r="H26" s="465">
        <f t="shared" si="8"/>
        <v>4147.9198643630843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31477.427163426619</v>
      </c>
    </row>
    <row r="27" spans="1:17">
      <c r="A27" s="460" t="s">
        <v>564</v>
      </c>
      <c r="B27" s="461">
        <f t="shared" ca="1" si="2"/>
        <v>0</v>
      </c>
      <c r="C27" s="461">
        <f t="shared" ca="1" si="3"/>
        <v>0</v>
      </c>
      <c r="D27" s="461">
        <f t="shared" si="4"/>
        <v>0</v>
      </c>
      <c r="E27" s="461">
        <f t="shared" si="5"/>
        <v>0</v>
      </c>
      <c r="F27" s="461">
        <f t="shared" si="6"/>
        <v>0</v>
      </c>
      <c r="G27" s="461">
        <f t="shared" si="7"/>
        <v>120.79729716585138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120.79729716585138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5976.8687065816093</v>
      </c>
      <c r="C31" s="471">
        <f t="shared" ca="1" si="18"/>
        <v>0</v>
      </c>
      <c r="D31" s="471">
        <f t="shared" ca="1" si="18"/>
        <v>11777.76996852666</v>
      </c>
      <c r="E31" s="471">
        <f t="shared" si="18"/>
        <v>405.01977386550857</v>
      </c>
      <c r="F31" s="471">
        <f t="shared" ca="1" si="18"/>
        <v>4489.4651313220129</v>
      </c>
      <c r="G31" s="471">
        <f t="shared" si="18"/>
        <v>27315.68232214731</v>
      </c>
      <c r="H31" s="471">
        <f t="shared" si="18"/>
        <v>4147.9198643630843</v>
      </c>
      <c r="I31" s="471">
        <f t="shared" si="18"/>
        <v>0</v>
      </c>
      <c r="J31" s="471">
        <f t="shared" si="18"/>
        <v>431.71342267449984</v>
      </c>
      <c r="K31" s="471">
        <f t="shared" si="18"/>
        <v>0</v>
      </c>
      <c r="L31" s="471">
        <f t="shared" ca="1" si="18"/>
        <v>0</v>
      </c>
      <c r="M31" s="471">
        <f t="shared" si="18"/>
        <v>0</v>
      </c>
      <c r="N31" s="471">
        <f t="shared" ca="1" si="18"/>
        <v>0</v>
      </c>
      <c r="O31" s="471">
        <f t="shared" si="18"/>
        <v>0</v>
      </c>
      <c r="P31" s="472">
        <f t="shared" si="18"/>
        <v>0</v>
      </c>
      <c r="Q31" s="472">
        <f t="shared" ca="1" si="18"/>
        <v>54544.439189480683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0.20933650266739023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0.20933650266739023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0.20933650266739023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2018-06-27T09:00:40Z</dcterms:modified>
</cp:coreProperties>
</file>