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G80" i="14"/>
  <c r="M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C97" i="18"/>
  <c r="I100" s="1"/>
  <c r="H7" s="1"/>
  <c r="I67" i="14" s="1"/>
  <c r="B16" i="18"/>
  <c r="B78" i="14" s="1"/>
  <c r="C18" i="16"/>
  <c r="C8" i="48" s="1"/>
  <c r="N16" i="16"/>
  <c r="O80" i="14"/>
  <c r="L68"/>
  <c r="L69" s="1"/>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G100" i="18"/>
  <c r="B81" i="14"/>
  <c r="E31" i="20"/>
  <c r="F43" i="14" s="1"/>
  <c r="H14" i="22"/>
  <c r="F8" i="17"/>
  <c r="G22" i="14" s="1"/>
  <c r="D100" i="18"/>
  <c r="E9" i="14"/>
  <c r="J9"/>
  <c r="J15" s="1"/>
  <c r="N9"/>
  <c r="N15" s="1"/>
  <c r="I11" i="48"/>
  <c r="M11"/>
  <c r="M19" i="19"/>
  <c r="N35" i="14" s="1"/>
  <c r="J7" i="15"/>
  <c r="O5" i="16"/>
  <c r="B7" i="18"/>
  <c r="B67" i="14" s="1"/>
  <c r="E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H69"/>
  <c r="P20"/>
  <c r="K20"/>
  <c r="L20"/>
  <c r="G20"/>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F7" i="48"/>
  <c r="F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N8" i="17" l="1"/>
  <c r="N5"/>
  <c r="J16" i="18"/>
  <c r="K78" i="14" s="1"/>
  <c r="K81" s="1"/>
  <c r="H9" i="18"/>
  <c r="L21" i="48"/>
  <c r="M28"/>
  <c r="C100" i="18"/>
  <c r="I16"/>
  <c r="L8" i="17"/>
  <c r="L7" i="48" s="1"/>
  <c r="L24" s="1"/>
  <c r="L5" i="17"/>
  <c r="L29" i="48"/>
  <c r="E100" i="18"/>
  <c r="E7" s="1"/>
  <c r="H100"/>
  <c r="J7" s="1"/>
  <c r="K14" i="48"/>
  <c r="L30"/>
  <c r="B100" i="18"/>
  <c r="C7" s="1"/>
  <c r="B35" i="13"/>
  <c r="I69" i="14"/>
  <c r="J12" i="17"/>
  <c r="K48" i="14" s="1"/>
  <c r="F100" i="18"/>
  <c r="D81" i="14"/>
  <c r="O79"/>
  <c r="O81" s="1"/>
  <c r="B17" i="6" s="1"/>
  <c r="M23" i="48"/>
  <c r="L27"/>
  <c r="B9" i="18"/>
  <c r="M31" i="20"/>
  <c r="N43" i="14" s="1"/>
  <c r="M12" i="22"/>
  <c r="O18" i="16"/>
  <c r="B34" i="13"/>
  <c r="I7" i="18"/>
  <c r="K22" i="14"/>
  <c r="M13"/>
  <c r="L8" i="48"/>
  <c r="L25" s="1"/>
  <c r="L22" i="16"/>
  <c r="M39" i="14" s="1"/>
  <c r="C7" i="48"/>
  <c r="D22" i="14"/>
  <c r="M22" i="48"/>
  <c r="B36" i="13"/>
  <c r="B48" s="1"/>
  <c r="C48" s="1"/>
  <c r="N5" s="1"/>
  <c r="N8" s="1"/>
  <c r="N4" i="48" s="1"/>
  <c r="N21" s="1"/>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J78" i="14" l="1"/>
  <c r="I19" i="18"/>
  <c r="D67" i="14"/>
  <c r="C9" i="18"/>
  <c r="O22" i="14"/>
  <c r="N12" i="17"/>
  <c r="O48" i="14" s="1"/>
  <c r="N7" i="48"/>
  <c r="N24" s="1"/>
  <c r="F67" i="14"/>
  <c r="F69" s="1"/>
  <c r="E9" i="18"/>
  <c r="M22" i="14"/>
  <c r="M16" i="18"/>
  <c r="M19" s="1"/>
  <c r="J19"/>
  <c r="L12" i="17"/>
  <c r="M48" i="14" s="1"/>
  <c r="C14" i="48"/>
  <c r="R22" i="14"/>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D69"/>
  <c r="O67"/>
  <c r="Q7" i="48"/>
  <c r="J5"/>
  <c r="J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<sst xmlns="http://schemas.openxmlformats.org/spreadsheetml/2006/main" count="2038" uniqueCount="901">
  <si>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</si>
  <si>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</si>
  <si>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</si>
  <si>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</si>
  <si>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</si>
  <si>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</si>
  <si>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</si>
  <si>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</si>
  <si>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</si>
  <si>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</si>
  <si>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</si>
  <si>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</si>
  <si>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</si>
  <si>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</si>
  <si>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</si>
  <si>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</si>
  <si>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</si>
  <si>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</si>
  <si>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</si>
  <si>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</si>
  <si>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</si>
  <si>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</si>
  <si>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</si>
  <si>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</si>
  <si>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</si>
  <si>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</si>
  <si>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</si>
  <si>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</si>
  <si>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</si>
  <si>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</si>
  <si>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</si>
  <si>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</si>
  <si>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</si>
  <si>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</si>
  <si>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</si>
  <si>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</si>
  <si>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</si>
  <si>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</si>
  <si>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</si>
  <si>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</si>
  <si>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</si>
  <si>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</si>
  <si>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</si>
  <si>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</si>
  <si>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</si>
  <si>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</si>
  <si>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</si>
  <si>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</si>
  <si>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</si>
  <si>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</si>
  <si>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</si>
  <si>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</si>
  <si>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</si>
  <si>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</si>
  <si>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</si>
  <si>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</si>
  <si>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</si>
  <si>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</si>
  <si>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</si>
  <si>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</si>
  <si>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</si>
  <si>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</si>
  <si>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</si>
  <si>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</si>
  <si>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</si>
  <si>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</si>
  <si>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</si>
  <si>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</si>
  <si>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</si>
  <si>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</si>
  <si>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</si>
  <si>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</si>
  <si>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</si>
  <si>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</si>
  <si>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</si>
  <si>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</si>
  <si>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</si>
  <si>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</si>
  <si>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</si>
  <si>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</si>
  <si>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</si>
  <si>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</si>
  <si>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</si>
  <si>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</si>
  <si>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</si>
  <si>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</si>
  <si>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</si>
  <si>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</si>
  <si>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</si>
  <si>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</si>
  <si>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</si>
  <si>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</si>
  <si>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</si>
  <si>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</si>
  <si>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</si>
  <si>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</si>
  <si>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</si>
  <si>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</si>
  <si>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</si>
  <si>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</si>
  <si>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</si>
  <si>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</si>
  <si>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</si>
  <si>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</si>
  <si>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</si>
  <si>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</si>
  <si>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</si>
  <si>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</si>
  <si>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</si>
  <si>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</si>
  <si>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</si>
  <si>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</si>
  <si>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</si>
  <si>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</si>
  <si>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</si>
  <si>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</si>
  <si>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</si>
  <si>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</si>
  <si>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</si>
  <si>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</si>
  <si>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</si>
  <si>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</si>
  <si>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</si>
  <si>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</si>
  <si>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</si>
  <si>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</si>
  <si>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</si>
  <si>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</si>
  <si>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</si>
  <si>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</si>
  <si>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</si>
  <si>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</si>
  <si>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</si>
  <si>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</si>
  <si>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</si>
  <si>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</si>
  <si>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</si>
  <si>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</si>
  <si>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</si>
  <si>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</si>
  <si>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</si>
  <si>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</si>
  <si>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</si>
  <si>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</si>
  <si>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</si>
  <si>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</si>
  <si>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</si>
  <si>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</si>
  <si>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</si>
  <si>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</si>
  <si>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</si>
  <si>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</si>
  <si>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</si>
  <si>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</si>
  <si>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</si>
  <si>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</si>
  <si>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</si>
  <si>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</si>
  <si>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</si>
  <si>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</si>
  <si>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</si>
  <si>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</si>
  <si>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</si>
  <si>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</si>
  <si>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</si>
  <si>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</si>
  <si>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</si>
  <si>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</si>
  <si>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</si>
  <si>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</si>
  <si>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</si>
  <si>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</si>
  <si>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</si>
  <si>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</si>
  <si>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</si>
  <si>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</si>
  <si>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</si>
  <si>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</si>
  <si>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</si>
  <si>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</si>
  <si>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</si>
  <si>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</si>
  <si>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</si>
  <si>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</si>
  <si>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</si>
  <si>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</si>
  <si>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</si>
  <si>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</si>
  <si>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</si>
  <si>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</si>
  <si>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</si>
  <si>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</si>
  <si>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</si>
  <si>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</si>
  <si>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</si>
  <si>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</si>
  <si>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</si>
  <si>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</si>
  <si>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</si>
  <si>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</si>
  <si>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</si>
  <si>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</si>
  <si>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</si>
  <si>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</si>
  <si>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</si>
  <si>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</si>
  <si>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</si>
  <si>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</si>
  <si>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</si>
  <si>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</si>
  <si>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</si>
  <si>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</si>
  <si>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</si>
  <si>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</si>
  <si>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</si>
  <si>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</si>
  <si>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</si>
  <si>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</si>
  <si>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</si>
  <si>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</si>
  <si>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</si>
  <si>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</si>
  <si>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</si>
  <si>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</si>
  <si>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</si>
  <si>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</si>
  <si>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</si>
  <si>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</si>
  <si>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</si>
  <si>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</si>
  <si>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</si>
  <si>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</si>
  <si>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</si>
  <si>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</si>
  <si>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</si>
  <si>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</si>
  <si>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</si>
  <si>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</si>
  <si>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</si>
  <si>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</si>
  <si>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</si>
  <si>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</si>
  <si>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</si>
  <si>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</si>
  <si>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</si>
  <si>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</si>
  <si>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</si>
  <si>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</si>
  <si>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</si>
  <si>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</si>
  <si>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</si>
  <si>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</si>
  <si>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</si>
  <si>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</si>
  <si>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</si>
  <si>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</si>
  <si>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</si>
  <si>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</si>
  <si>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</si>
  <si>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</si>
  <si>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</si>
  <si>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</si>
  <si>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</si>
  <si>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</si>
  <si>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</si>
  <si>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</si>
  <si>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</si>
  <si>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</si>
  <si>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</si>
  <si>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</si>
  <si>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</si>
  <si>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</si>
  <si>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</si>
  <si>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</si>
  <si>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</si>
  <si>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</si>
  <si>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</si>
  <si>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</si>
  <si>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</si>
  <si>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</si>
  <si>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</si>
  <si>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</si>
  <si>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</si>
  <si>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</si>
  <si>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</si>
  <si>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</si>
  <si>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</si>
  <si>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</si>
  <si>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</si>
  <si>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</si>
  <si>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</si>
  <si>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</si>
  <si>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</si>
  <si>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</si>
  <si>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</si>
  <si>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</si>
  <si>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</si>
  <si>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</si>
  <si>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</si>
  <si>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</si>
  <si>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</si>
  <si>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</si>
  <si>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</si>
  <si>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</si>
  <si>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</si>
  <si>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</si>
  <si>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</si>
  <si>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</si>
  <si>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</si>
  <si>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</si>
  <si>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</si>
  <si>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</si>
  <si>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</si>
  <si>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</si>
  <si>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</si>
  <si>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</si>
  <si>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</si>
  <si>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</si>
  <si>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</si>
  <si>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</si>
  <si>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</si>
  <si>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</si>
  <si>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</si>
  <si>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</si>
  <si>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</si>
  <si>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</si>
  <si>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</si>
  <si>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</si>
  <si>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</si>
  <si>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</si>
  <si>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</si>
  <si>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</si>
  <si>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</si>
  <si>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</si>
  <si>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</si>
  <si>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</si>
  <si>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</si>
  <si>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</si>
  <si>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</si>
  <si>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</si>
  <si>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</si>
  <si>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</si>
  <si>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</si>
  <si>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</si>
  <si>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</si>
  <si>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</si>
  <si>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</si>
  <si>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</si>
  <si>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</si>
  <si>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</si>
  <si>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</si>
  <si>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</si>
  <si>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</si>
  <si>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</si>
  <si>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</si>
  <si>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</si>
  <si>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</si>
  <si>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</si>
  <si>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</si>
  <si>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</si>
  <si>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</si>
  <si>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</si>
  <si>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</si>
  <si>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</si>
  <si>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</si>
  <si>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</si>
  <si>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</si>
  <si>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</si>
  <si>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</si>
  <si>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</si>
  <si>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</si>
  <si>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</si>
  <si>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</si>
  <si>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</si>
  <si>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</si>
  <si>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</si>
  <si>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</si>
  <si>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</si>
  <si>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</si>
  <si>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</si>
  <si>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</si>
  <si>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</si>
  <si>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</si>
  <si>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</si>
  <si>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</si>
  <si>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</si>
  <si>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</si>
  <si>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</si>
  <si>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</si>
  <si>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</si>
  <si>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</si>
  <si>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</si>
  <si>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</si>
  <si>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</si>
  <si>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</si>
  <si>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</si>
  <si>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</si>
  <si>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</si>
  <si>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</si>
  <si>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</si>
  <si>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</si>
  <si>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</si>
  <si>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</si>
  <si>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</si>
  <si>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</si>
  <si>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</si>
  <si>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</si>
  <si>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</si>
  <si>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</si>
  <si>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</si>
  <si>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</si>
  <si>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</si>
  <si>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</si>
  <si>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</si>
  <si>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</si>
  <si>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</si>
  <si>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</si>
  <si>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</si>
  <si>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</si>
  <si>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</si>
  <si>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</si>
  <si>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</si>
  <si>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</si>
  <si>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</si>
  <si>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</si>
  <si>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</si>
  <si>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</si>
  <si>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</si>
  <si>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</si>
  <si>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</si>
  <si>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</si>
  <si>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</si>
  <si>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</si>
  <si>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</si>
  <si>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</si>
  <si>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</si>
  <si>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</si>
  <si>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</si>
  <si>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</si>
  <si>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</si>
  <si>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</si>
  <si>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</si>
  <si>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</si>
  <si>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</si>
  <si>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</si>
  <si>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</si>
  <si>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</si>
  <si>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</si>
  <si>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</si>
  <si>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</si>
  <si>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</si>
  <si>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</si>
  <si>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</si>
  <si>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</si>
  <si>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</si>
  <si>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</si>
  <si>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</si>
  <si>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</si>
  <si>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</si>
  <si>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</si>
  <si>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</si>
  <si>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</si>
  <si>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</si>
  <si>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</si>
  <si>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</si>
  <si>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</si>
  <si>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</si>
  <si>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</si>
  <si>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</si>
  <si>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</si>
  <si>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</si>
  <si>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</si>
  <si>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</si>
  <si>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</si>
  <si>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</si>
  <si>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</si>
  <si>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</si>
  <si>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</si>
  <si>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</si>
  <si>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</si>
  <si>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</si>
  <si>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</si>
  <si>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</si>
  <si>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</si>
  <si>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</si>
  <si>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</si>
  <si>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</si>
  <si>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</si>
  <si>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</si>
  <si>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</si>
  <si>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</si>
  <si>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</si>
  <si>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</si>
  <si>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</si>
  <si>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</si>
  <si>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</si>
  <si>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</si>
  <si>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</si>
  <si>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</si>
  <si>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</si>
  <si>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</si>
  <si>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</si>
  <si>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</si>
  <si>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</si>
  <si>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</si>
  <si>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</si>
  <si>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</si>
  <si>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</si>
  <si>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</si>
  <si>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</si>
  <si>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</si>
  <si>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</si>
  <si>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</si>
  <si>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</si>
  <si>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</si>
  <si>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</si>
  <si>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</si>
  <si>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</si>
  <si>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</si>
  <si>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</si>
  <si>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</si>
  <si>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</si>
  <si>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</si>
  <si>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</si>
  <si>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</si>
  <si>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</si>
  <si>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</si>
  <si>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</si>
  <si>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</si>
  <si>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</si>
  <si>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</si>
  <si>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</si>
  <si>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</si>
  <si>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</si>
  <si>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</si>
  <si>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</si>
  <si>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</si>
  <si>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</si>
  <si>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</si>
  <si>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</si>
  <si>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</si>
  <si>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</si>
  <si>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</si>
  <si>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</si>
  <si>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</si>
  <si>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</si>
  <si>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</si>
  <si>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</si>
  <si>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</si>
  <si>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</si>
  <si>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</si>
  <si>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</si>
  <si>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</si>
  <si>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</si>
  <si>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</si>
  <si>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</si>
  <si>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</si>
  <si>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</si>
  <si>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</si>
  <si>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</si>
  <si>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</si>
  <si>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</si>
  <si>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</si>
  <si>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</si>
  <si>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</si>
  <si>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</si>
  <si>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</si>
  <si>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</si>
  <si>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</si>
  <si>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</si>
  <si>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</si>
  <si>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</si>
  <si>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</si>
  <si>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</si>
  <si>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</si>
  <si>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</si>
  <si>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</si>
  <si>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</si>
  <si>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</si>
  <si>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</si>
  <si>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</si>
  <si>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</si>
  <si>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</si>
  <si>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</si>
  <si>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</si>
  <si>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</si>
  <si>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</si>
  <si>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</si>
  <si>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</si>
  <si>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</si>
  <si>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</si>
  <si>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</si>
  <si>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</si>
  <si>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</si>
  <si>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</si>
  <si>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</si>
  <si>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</si>
  <si>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</si>
  <si>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</si>
  <si>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</si>
  <si>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</si>
  <si>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</si>
  <si>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</si>
  <si>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</si>
  <si>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</si>
  <si>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</si>
  <si>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</si>
  <si>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</si>
  <si>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</si>
  <si>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</si>
  <si>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</si>
  <si>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</si>
  <si>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</si>
  <si>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</si>
  <si>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</si>
  <si>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</si>
  <si>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</si>
  <si>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</si>
  <si>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</si>
  <si>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</si>
  <si>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</si>
  <si>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</si>
  <si>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</si>
  <si>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</si>
  <si>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</si>
  <si>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</si>
  <si>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</si>
  <si>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</si>
  <si>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</si>
  <si>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</si>
  <si>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</si>
  <si>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</si>
  <si>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</si>
  <si>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</si>
  <si>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</si>
  <si>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</si>
  <si>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</si>
  <si>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</si>
  <si>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</si>
  <si>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</si>
  <si>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</si>
  <si>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</si>
  <si>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</si>
  <si>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</si>
  <si>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</si>
  <si>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</si>
  <si>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</si>
  <si>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</si>
  <si>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</si>
  <si>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</si>
  <si>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</si>
  <si>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</si>
  <si>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</si>
  <si>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</si>
  <si>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</si>
  <si>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</si>
  <si>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</si>
  <si>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</si>
  <si>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</si>
  <si>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</si>
  <si>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</si>
  <si>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</si>
  <si>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</si>
  <si>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</si>
  <si>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</si>
  <si>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</si>
  <si>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</si>
  <si>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</si>
  <si>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</si>
  <si>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</si>
  <si>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</si>
  <si>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</si>
  <si>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</si>
  <si>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</si>
  <si>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</si>
  <si>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</si>
  <si>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</si>
  <si>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</si>
  <si>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</si>
  <si>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</si>
  <si>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</si>
  <si>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</si>
  <si>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</si>
  <si>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</si>
  <si>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</si>
  <si>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</si>
  <si>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</si>
  <si>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</si>
  <si>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</si>
  <si>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</si>
  <si>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</si>
  <si>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</si>
  <si>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</si>
  <si>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</si>
  <si>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</si>
  <si>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</si>
  <si>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</si>
  <si>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</si>
  <si>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</si>
  <si>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</si>
  <si>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</si>
  <si>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</si>
  <si>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</si>
  <si>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</si>
  <si>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</si>
  <si>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</si>
  <si>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</si>
  <si>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</si>
  <si>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</si>
  <si>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</si>
  <si>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</si>
  <si>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</si>
  <si>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</si>
  <si>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</si>
  <si>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</si>
  <si>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</si>
  <si>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</si>
  <si>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</si>
  <si>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</si>
  <si>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</si>
  <si>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</si>
  <si>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</si>
  <si>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</si>
  <si>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</si>
  <si>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</si>
  <si>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</si>
  <si>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</si>
  <si>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</si>
  <si>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</si>
  <si>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</si>
  <si>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</si>
  <si>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</si>
  <si>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</si>
  <si>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</si>
  <si>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</si>
  <si>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</si>
  <si>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</si>
  <si>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</si>
  <si>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</si>
  <si>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</si>
  <si>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</si>
  <si>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</si>
  <si>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</si>
  <si>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</si>
  <si>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</si>
  <si>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</si>
  <si>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</si>
  <si>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</si>
  <si>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</si>
  <si>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</si>
  <si>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</si>
  <si>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</si>
  <si>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</si>
  <si>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</si>
  <si>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</si>
  <si>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</si>
  <si>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</si>
  <si>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</si>
  <si>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</si>
  <si>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</si>
  <si>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</si>
  <si>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</si>
  <si>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</si>
  <si>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</si>
  <si>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</si>
  <si>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</si>
  <si>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</si>
  <si>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</si>
  <si>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</si>
  <si>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</si>
  <si>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</si>
  <si>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</si>
  <si>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</si>
  <si>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</si>
  <si>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</si>
  <si>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</si>
  <si>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</si>
  <si>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</si>
  <si>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</si>
  <si>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</si>
  <si>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</si>
  <si>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</si>
  <si>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</si>
  <si>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</si>
  <si>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</si>
  <si>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</si>
  <si>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</si>
  <si>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</si>
  <si>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</si>
  <si>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</si>
  <si>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</si>
  <si>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</si>
  <si>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</si>
  <si>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</si>
  <si>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</si>
  <si>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</si>
  <si>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</si>
  <si>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</si>
  <si>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</si>
  <si>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</si>
  <si>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</si>
  <si>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</si>
  <si>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</si>
  <si>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</si>
  <si>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</si>
  <si>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</si>
  <si>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</si>
  <si>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</si>
  <si>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</si>
  <si>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</si>
  <si>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</si>
  <si>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</si>
  <si>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</si>
  <si>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</si>
  <si>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</si>
  <si>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</si>
  <si>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</si>
  <si>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</si>
  <si>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</si>
  <si>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</si>
  <si>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</si>
  <si>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</si>
  <si>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</si>
  <si>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</si>
  <si>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</si>
  <si>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</si>
  <si>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</si>
  <si>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</si>
  <si>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</si>
  <si>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</si>
  <si>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</si>
  <si>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</si>
  <si>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</si>
  <si>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</si>
  <si>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</si>
  <si>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</si>
  <si>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</si>
  <si>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</si>
  <si>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</si>
  <si>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</si>
  <si>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</si>
  <si>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</si>
  <si>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</si>
  <si>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</si>
  <si>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</si>
  <si>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</si>
  <si>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</si>
  <si>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</si>
  <si>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</si>
  <si>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</si>
  <si>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</si>
  <si>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</si>
  <si>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</si>
  <si>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</si>
  <si>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</si>
  <si>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</si>
  <si>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</si>
  <si>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</si>
  <si>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</si>
  <si>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</si>
  <si>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</si>
  <si>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</si>
  <si>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</si>
  <si>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</si>
  <si>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</si>
  <si>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</si>
  <si>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</si>
  <si>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</si>
  <si>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</si>
  <si>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</si>
  <si>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</si>
  <si>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</si>
  <si>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</si>
  <si>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</si>
  <si>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</si>
  <si>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</si>
  <si>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</si>
  <si>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</si>
  <si>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</si>
  <si>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</si>
  <si>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</si>
  <si>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</si>
  <si>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</si>
  <si>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</si>
  <si>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</si>
  <si>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23098</t>
  </si>
  <si>
    <t>DROGENBOS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</si>
  <si>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</si>
  <si>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</si>
  <si>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</si>
  <si>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</si>
  <si>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</si>
  <si>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</si>
  <si>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</si>
  <si>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Armstrong Orchidee NV</t>
  </si>
  <si>
    <t>Parc Industriel des Hauts Sarts, B - 4040 Herstal</t>
  </si>
  <si>
    <t>WKK-0006 CATALA - Drogenbos</t>
  </si>
  <si>
    <t>interne verbrandingsmotor</t>
  </si>
  <si>
    <t>WKK interne verbrandinsgmotor (gas)</t>
  </si>
  <si>
    <t>Grote Baan 302, , 1620 Drogenbos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</si>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</sst>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23098</v>
      </c>
      <c r="B6" s="396"/>
      <c r="C6" s="397"/>
    </row>
    <row r="7" spans="1:7" s="394" customFormat="1" ht="15.75" customHeight="1">
      <c r="A7" s="398" t="str">
        <f>txtMunicipality</f>
        <v>DROGENBOS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2053</v>
      </c>
      <c r="C9" s="336">
        <v>2106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0</v>
      </c>
    </row>
    <row r="15" spans="1:6">
      <c r="A15" s="1194" t="s">
        <v>185</v>
      </c>
      <c r="B15" s="333">
        <v>0</v>
      </c>
    </row>
    <row r="16" spans="1:6">
      <c r="A16" s="1194" t="s">
        <v>6</v>
      </c>
      <c r="B16" s="333">
        <v>0</v>
      </c>
    </row>
    <row r="17" spans="1:6">
      <c r="A17" s="1194" t="s">
        <v>7</v>
      </c>
      <c r="B17" s="333">
        <v>0</v>
      </c>
    </row>
    <row r="18" spans="1:6">
      <c r="A18" s="1194" t="s">
        <v>8</v>
      </c>
      <c r="B18" s="333">
        <v>0</v>
      </c>
    </row>
    <row r="19" spans="1:6">
      <c r="A19" s="1194" t="s">
        <v>9</v>
      </c>
      <c r="B19" s="333">
        <v>0</v>
      </c>
    </row>
    <row r="20" spans="1:6">
      <c r="A20" s="1194" t="s">
        <v>10</v>
      </c>
      <c r="B20" s="333">
        <v>0</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0</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81875.404106143003</v>
      </c>
      <c r="E38" s="333">
        <v>0</v>
      </c>
      <c r="F38" s="333">
        <v>0</v>
      </c>
    </row>
    <row r="39" spans="1:6">
      <c r="A39" s="1194" t="s">
        <v>30</v>
      </c>
      <c r="B39" s="1194" t="s">
        <v>31</v>
      </c>
      <c r="C39" s="333">
        <v>1894</v>
      </c>
      <c r="D39" s="333">
        <v>27412138.594098099</v>
      </c>
      <c r="E39" s="333">
        <v>2170</v>
      </c>
      <c r="F39" s="333">
        <v>6697297.8019792996</v>
      </c>
    </row>
    <row r="40" spans="1:6">
      <c r="A40" s="1194" t="s">
        <v>30</v>
      </c>
      <c r="B40" s="1194" t="s">
        <v>29</v>
      </c>
      <c r="C40" s="333">
        <v>0</v>
      </c>
      <c r="D40" s="333">
        <v>0</v>
      </c>
      <c r="E40" s="333">
        <v>0</v>
      </c>
      <c r="F40" s="333">
        <v>0</v>
      </c>
    </row>
    <row r="41" spans="1:6">
      <c r="A41" s="1194" t="s">
        <v>32</v>
      </c>
      <c r="B41" s="1194" t="s">
        <v>33</v>
      </c>
      <c r="C41" s="333">
        <v>7</v>
      </c>
      <c r="D41" s="333">
        <v>760084.16410851001</v>
      </c>
      <c r="E41" s="333">
        <v>31</v>
      </c>
      <c r="F41" s="333">
        <v>4161984.2850035601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330675.15171853098</v>
      </c>
      <c r="E44" s="333">
        <v>9</v>
      </c>
      <c r="F44" s="333">
        <v>232743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435153.79059314699</v>
      </c>
      <c r="E47" s="333">
        <v>0</v>
      </c>
      <c r="F47" s="333">
        <v>0</v>
      </c>
    </row>
    <row r="48" spans="1:6">
      <c r="A48" s="1194" t="s">
        <v>32</v>
      </c>
      <c r="B48" s="1194" t="s">
        <v>29</v>
      </c>
      <c r="C48" s="333">
        <v>30</v>
      </c>
      <c r="D48" s="333">
        <v>116921389.663213</v>
      </c>
      <c r="E48" s="333">
        <v>31</v>
      </c>
      <c r="F48" s="333">
        <v>25004124.444869298</v>
      </c>
    </row>
    <row r="49" spans="1:6">
      <c r="A49" s="1194" t="s">
        <v>32</v>
      </c>
      <c r="B49" s="1194" t="s">
        <v>40</v>
      </c>
      <c r="C49" s="333">
        <v>0</v>
      </c>
      <c r="D49" s="333">
        <v>0</v>
      </c>
      <c r="E49" s="333">
        <v>0</v>
      </c>
      <c r="F49" s="333">
        <v>0</v>
      </c>
    </row>
    <row r="50" spans="1:6">
      <c r="A50" s="1194" t="s">
        <v>32</v>
      </c>
      <c r="B50" s="1194" t="s">
        <v>41</v>
      </c>
      <c r="C50" s="333">
        <v>0</v>
      </c>
      <c r="D50" s="333">
        <v>0</v>
      </c>
      <c r="E50" s="333">
        <v>7</v>
      </c>
      <c r="F50" s="333">
        <v>41376.874064488802</v>
      </c>
    </row>
    <row r="51" spans="1:6">
      <c r="A51" s="1194" t="s">
        <v>42</v>
      </c>
      <c r="B51" s="1194" t="s">
        <v>43</v>
      </c>
      <c r="C51" s="333">
        <v>0</v>
      </c>
      <c r="D51" s="333">
        <v>0</v>
      </c>
      <c r="E51" s="333">
        <v>0</v>
      </c>
      <c r="F51" s="333">
        <v>0</v>
      </c>
    </row>
    <row r="52" spans="1:6">
      <c r="A52" s="1194" t="s">
        <v>42</v>
      </c>
      <c r="B52" s="1194" t="s">
        <v>29</v>
      </c>
      <c r="C52" s="333">
        <v>0</v>
      </c>
      <c r="D52" s="333">
        <v>0</v>
      </c>
      <c r="E52" s="333">
        <v>1</v>
      </c>
      <c r="F52" s="333">
        <v>54.3277878444</v>
      </c>
    </row>
    <row r="53" spans="1:6">
      <c r="A53" s="1194" t="s">
        <v>44</v>
      </c>
      <c r="B53" s="1194" t="s">
        <v>45</v>
      </c>
      <c r="C53" s="333">
        <v>65</v>
      </c>
      <c r="D53" s="333">
        <v>1299372.1426099001</v>
      </c>
      <c r="E53" s="333">
        <v>108</v>
      </c>
      <c r="F53" s="333">
        <v>595812.05268695601</v>
      </c>
    </row>
    <row r="54" spans="1:6">
      <c r="A54" s="1194" t="s">
        <v>46</v>
      </c>
      <c r="B54" s="1194" t="s">
        <v>47</v>
      </c>
      <c r="C54" s="333">
        <v>0</v>
      </c>
      <c r="D54" s="333">
        <v>0</v>
      </c>
      <c r="E54" s="333">
        <v>1</v>
      </c>
      <c r="F54" s="333">
        <v>335939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v>
      </c>
      <c r="D57" s="333">
        <v>352479.40788248798</v>
      </c>
      <c r="E57" s="333">
        <v>6</v>
      </c>
      <c r="F57" s="333">
        <v>168234.49246646301</v>
      </c>
    </row>
    <row r="58" spans="1:6">
      <c r="A58" s="1194" t="s">
        <v>49</v>
      </c>
      <c r="B58" s="1194" t="s">
        <v>51</v>
      </c>
      <c r="C58" s="333">
        <v>0</v>
      </c>
      <c r="D58" s="333">
        <v>0</v>
      </c>
      <c r="E58" s="333">
        <v>10</v>
      </c>
      <c r="F58" s="333">
        <v>164152.128121043</v>
      </c>
    </row>
    <row r="59" spans="1:6">
      <c r="A59" s="1194" t="s">
        <v>49</v>
      </c>
      <c r="B59" s="1194" t="s">
        <v>52</v>
      </c>
      <c r="C59" s="333">
        <v>20</v>
      </c>
      <c r="D59" s="333">
        <v>8540958.7543933503</v>
      </c>
      <c r="E59" s="333">
        <v>57</v>
      </c>
      <c r="F59" s="333">
        <v>11922830.6174905</v>
      </c>
    </row>
    <row r="60" spans="1:6">
      <c r="A60" s="1194" t="s">
        <v>49</v>
      </c>
      <c r="B60" s="1194" t="s">
        <v>53</v>
      </c>
      <c r="C60" s="333">
        <v>15</v>
      </c>
      <c r="D60" s="333">
        <v>1433418.0376386701</v>
      </c>
      <c r="E60" s="333">
        <v>20</v>
      </c>
      <c r="F60" s="333">
        <v>846162.79326553596</v>
      </c>
    </row>
    <row r="61" spans="1:6">
      <c r="A61" s="1194" t="s">
        <v>49</v>
      </c>
      <c r="B61" s="1194" t="s">
        <v>54</v>
      </c>
      <c r="C61" s="333">
        <v>55</v>
      </c>
      <c r="D61" s="333">
        <v>3534668.6580936299</v>
      </c>
      <c r="E61" s="333">
        <v>144</v>
      </c>
      <c r="F61" s="333">
        <v>3070696.2391430498</v>
      </c>
    </row>
    <row r="62" spans="1:6">
      <c r="A62" s="1194" t="s">
        <v>49</v>
      </c>
      <c r="B62" s="1194" t="s">
        <v>55</v>
      </c>
      <c r="C62" s="333">
        <v>0</v>
      </c>
      <c r="D62" s="333">
        <v>0</v>
      </c>
      <c r="E62" s="333">
        <v>0</v>
      </c>
      <c r="F62" s="333">
        <v>0</v>
      </c>
    </row>
    <row r="63" spans="1:6">
      <c r="A63" s="1194" t="s">
        <v>49</v>
      </c>
      <c r="B63" s="1194" t="s">
        <v>29</v>
      </c>
      <c r="C63" s="333">
        <v>71</v>
      </c>
      <c r="D63" s="333">
        <v>5074490.5089197904</v>
      </c>
      <c r="E63" s="333">
        <v>83</v>
      </c>
      <c r="F63" s="333">
        <v>3115253.5560445399</v>
      </c>
    </row>
    <row r="64" spans="1:6">
      <c r="A64" s="1194" t="s">
        <v>56</v>
      </c>
      <c r="B64" s="1194" t="s">
        <v>57</v>
      </c>
      <c r="C64" s="333">
        <v>0</v>
      </c>
      <c r="D64" s="333">
        <v>0</v>
      </c>
      <c r="E64" s="333">
        <v>0</v>
      </c>
      <c r="F64" s="333">
        <v>0</v>
      </c>
    </row>
    <row r="65" spans="1:6">
      <c r="A65" s="1194" t="s">
        <v>56</v>
      </c>
      <c r="B65" s="1194" t="s">
        <v>29</v>
      </c>
      <c r="C65" s="333">
        <v>3</v>
      </c>
      <c r="D65" s="333">
        <v>72351.942337549204</v>
      </c>
      <c r="E65" s="333">
        <v>6</v>
      </c>
      <c r="F65" s="333">
        <v>16846.7529020615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185969.75595118999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18972425</v>
      </c>
      <c r="E73" s="333">
        <v>19114354.305501562</v>
      </c>
      <c r="F73" s="333">
        <v>18750456</v>
      </c>
    </row>
    <row r="74" spans="1:6">
      <c r="A74" s="1194" t="s">
        <v>64</v>
      </c>
      <c r="B74" s="1194" t="s">
        <v>775</v>
      </c>
      <c r="C74" s="1205" t="s">
        <v>776</v>
      </c>
      <c r="D74" s="333">
        <v>534193.124344824</v>
      </c>
      <c r="E74" s="333">
        <v>540455.63653836993</v>
      </c>
      <c r="F74" s="333">
        <v>545322.19458004425</v>
      </c>
    </row>
    <row r="75" spans="1:6">
      <c r="A75" s="1194" t="s">
        <v>65</v>
      </c>
      <c r="B75" s="1194" t="s">
        <v>773</v>
      </c>
      <c r="C75" s="1205" t="s">
        <v>777</v>
      </c>
      <c r="D75" s="333">
        <v>18062349</v>
      </c>
      <c r="E75" s="333">
        <v>18197462.925444257</v>
      </c>
      <c r="F75" s="333">
        <v>17851034</v>
      </c>
    </row>
    <row r="76" spans="1:6">
      <c r="A76" s="1194" t="s">
        <v>65</v>
      </c>
      <c r="B76" s="1194" t="s">
        <v>775</v>
      </c>
      <c r="C76" s="1205" t="s">
        <v>778</v>
      </c>
      <c r="D76" s="333">
        <v>74655.124344824028</v>
      </c>
      <c r="E76" s="333">
        <v>86214.63627543833</v>
      </c>
      <c r="F76" s="333">
        <v>86743.194580044219</v>
      </c>
    </row>
    <row r="77" spans="1:6">
      <c r="A77" s="1194" t="s">
        <v>66</v>
      </c>
      <c r="B77" s="1194" t="s">
        <v>773</v>
      </c>
      <c r="C77" s="1205" t="s">
        <v>779</v>
      </c>
      <c r="D77" s="333">
        <v>52520421</v>
      </c>
      <c r="E77" s="333">
        <v>50944255.736528389</v>
      </c>
      <c r="F77" s="333">
        <v>52979932</v>
      </c>
    </row>
    <row r="78" spans="1:6">
      <c r="A78" s="1190" t="s">
        <v>66</v>
      </c>
      <c r="B78" s="1190" t="s">
        <v>775</v>
      </c>
      <c r="C78" s="1190" t="s">
        <v>780</v>
      </c>
      <c r="D78" s="1190">
        <v>3902834</v>
      </c>
      <c r="E78" s="1190">
        <v>3739420.7766544516</v>
      </c>
      <c r="F78" s="336">
        <v>3951151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397765.75131035194</v>
      </c>
      <c r="C83" s="333">
        <v>366094.16511730832</v>
      </c>
      <c r="D83" s="333">
        <v>368295.61083991156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40.326625691662422</v>
      </c>
    </row>
    <row r="92" spans="1:6">
      <c r="A92" s="1190" t="s">
        <v>69</v>
      </c>
      <c r="B92" s="336">
        <v>107.81281417518157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1469</v>
      </c>
    </row>
    <row r="98" spans="1:6">
      <c r="A98" s="1194" t="s">
        <v>72</v>
      </c>
      <c r="B98" s="333">
        <v>1</v>
      </c>
    </row>
    <row r="99" spans="1:6">
      <c r="A99" s="1194" t="s">
        <v>73</v>
      </c>
      <c r="B99" s="333">
        <v>6</v>
      </c>
    </row>
    <row r="100" spans="1:6">
      <c r="A100" s="1194" t="s">
        <v>74</v>
      </c>
      <c r="B100" s="333">
        <v>75</v>
      </c>
    </row>
    <row r="101" spans="1:6">
      <c r="A101" s="1194" t="s">
        <v>75</v>
      </c>
      <c r="B101" s="333">
        <v>7</v>
      </c>
    </row>
    <row r="102" spans="1:6">
      <c r="A102" s="1194" t="s">
        <v>76</v>
      </c>
      <c r="B102" s="333">
        <v>25</v>
      </c>
    </row>
    <row r="103" spans="1:6">
      <c r="A103" s="1194" t="s">
        <v>77</v>
      </c>
      <c r="B103" s="333">
        <v>18</v>
      </c>
    </row>
    <row r="104" spans="1:6">
      <c r="A104" s="1194" t="s">
        <v>78</v>
      </c>
      <c r="B104" s="333">
        <v>268</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v>
      </c>
    </row>
    <row r="130" spans="1:6">
      <c r="A130" s="1194" t="s">
        <v>296</v>
      </c>
      <c r="B130" s="333">
        <v>0</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62763.391197140096</v>
      </c>
      <c r="C3" s="43" t="s">
        <v>171</v>
      </c>
      <c r="D3" s="43"/>
      <c r="E3" s="156"/>
      <c r="F3" s="43"/>
      <c r="G3" s="43"/>
      <c r="H3" s="43"/>
      <c r="I3" s="43"/>
      <c r="J3" s="43"/>
      <c r="K3" s="96"/>
    </row>
    <row r="4" spans="1:11">
      <c r="A4" s="364" t="s">
        <v>172</v>
      </c>
      <c r="B4" s="49">
        <f>IF(ISERROR('SEAP template'!B69),0,'SEAP template'!B69)</f>
        <v>7109.6394398668435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1654.38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0.22232481184020558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2363.4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9945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335.93900000000002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335.93900000000002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0.22232481184020558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74.687574964786833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6697.2978019792999</v>
      </c>
      <c r="C5" s="17">
        <f>IF(ISERROR('Eigen informatie GS &amp; warmtenet'!B57),0,'Eigen informatie GS &amp; warmtenet'!B57)</f>
        <v>0</v>
      </c>
      <c r="D5" s="30">
        <f>(SUM(HH_hh_gas_kWh,HH_rest_gas_kWh)/1000)*0.902</f>
        <v>24725.749011876484</v>
      </c>
      <c r="E5" s="17">
        <f>B46*B57</f>
        <v>222.99404706881296</v>
      </c>
      <c r="F5" s="17">
        <f>B51*B62</f>
        <v>0</v>
      </c>
      <c r="G5" s="18"/>
      <c r="H5" s="17"/>
      <c r="I5" s="17"/>
      <c r="J5" s="17">
        <f>B50*B61+C50*C61</f>
        <v>0</v>
      </c>
      <c r="K5" s="17"/>
      <c r="L5" s="17"/>
      <c r="M5" s="17"/>
      <c r="N5" s="17">
        <f>B48*B59+C48*C59</f>
        <v>752.73127374826072</v>
      </c>
      <c r="O5" s="17">
        <f>B69*B70*B71</f>
        <v>3.1266666666666669</v>
      </c>
      <c r="P5" s="17">
        <f>B77*B78*B79/1000-B77*B78*B79/1000/B80</f>
        <v>0</v>
      </c>
    </row>
    <row r="6" spans="1:16">
      <c r="A6" s="16" t="s">
        <v>633</v>
      </c>
      <c r="B6" s="830">
        <f>kWh_PV_kleiner_dan_10kW</f>
        <v>40.326625691662422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6737.6244276709622</v>
      </c>
      <c r="C8" s="21">
        <f>C5</f>
        <v>0</v>
      </c>
      <c r="D8" s="21">
        <f>D5</f>
        <v>24725.749011876484</v>
      </c>
      <c r="E8" s="21">
        <f>E5</f>
        <v>222.99404706881296</v>
      </c>
      <c r="F8" s="21">
        <f>F5</f>
        <v>0</v>
      </c>
      <c r="G8" s="21"/>
      <c r="H8" s="21"/>
      <c r="I8" s="21"/>
      <c r="J8" s="21">
        <f>J5</f>
        <v>0</v>
      </c>
      <c r="K8" s="21"/>
      <c r="L8" s="21">
        <f>L5</f>
        <v>0</v>
      </c>
      <c r="M8" s="21">
        <f>M5</f>
        <v>0</v>
      </c>
      <c r="N8" s="21">
        <f>N5</f>
        <v>752.73127374826072</v>
      </c>
      <c r="O8" s="21">
        <f>O5</f>
        <v>3.1266666666666669</v>
      </c>
      <c r="P8" s="21">
        <f>P5</f>
        <v>0</v>
      </c>
    </row>
    <row r="9" spans="1:16">
      <c r="B9" s="19"/>
      <c r="C9" s="19"/>
      <c r="D9" s="260"/>
      <c r="E9" s="19"/>
      <c r="F9" s="19"/>
      <c r="G9" s="19"/>
      <c r="H9" s="19"/>
      <c r="I9" s="19"/>
      <c r="J9" s="19"/>
      <c r="K9" s="19"/>
      <c r="L9" s="19"/>
      <c r="M9" s="19"/>
      <c r="N9" s="19"/>
      <c r="O9" s="19"/>
      <c r="P9" s="19"/>
    </row>
    <row r="10" spans="1:16">
      <c r="A10" s="24" t="s">
        <v>215</v>
      </c>
      <c r="B10" s="25">
        <f ca="1">'EF ele_warmte'!B12</f>
        <v>0.22232481184020558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1497.9410831319194</v>
      </c>
      <c r="C12" s="23">
        <f ca="1">C10*C8</f>
        <v>0</v>
      </c>
      <c r="D12" s="23">
        <f>D8*D10</f>
        <v>4994.6013003990502</v>
      </c>
      <c r="E12" s="23">
        <f>E10*E8</f>
        <v>50.619648684620543</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1469</v>
      </c>
      <c r="C18" s="167" t="s">
        <v>111</v>
      </c>
      <c r="D18" s="229"/>
      <c r="E18" s="15"/>
    </row>
    <row r="19" spans="1:7">
      <c r="A19" s="172" t="s">
        <v>72</v>
      </c>
      <c r="B19" s="37">
        <f>aantalw2001_ander</f>
        <v>1</v>
      </c>
      <c r="C19" s="167" t="s">
        <v>111</v>
      </c>
      <c r="D19" s="230"/>
      <c r="E19" s="15"/>
    </row>
    <row r="20" spans="1:7">
      <c r="A20" s="172" t="s">
        <v>73</v>
      </c>
      <c r="B20" s="37">
        <f>aantalw2001_propaan</f>
        <v>6</v>
      </c>
      <c r="C20" s="168">
        <f>IF(ISERROR(B20/SUM($B$20,$B$21,$B$22)*100),0,B20/SUM($B$20,$B$21,$B$22)*100)</f>
        <v>6.8181818181818175</v>
      </c>
      <c r="D20" s="230"/>
      <c r="E20" s="15"/>
    </row>
    <row r="21" spans="1:7">
      <c r="A21" s="172" t="s">
        <v>74</v>
      </c>
      <c r="B21" s="37">
        <f>aantalw2001_elektriciteit</f>
        <v>75</v>
      </c>
      <c r="C21" s="168">
        <f>IF(ISERROR(B21/SUM($B$20,$B$21,$B$22)*100),0,B21/SUM($B$20,$B$21,$B$22)*100)</f>
        <v>85.227272727272734</v>
      </c>
      <c r="D21" s="230"/>
      <c r="E21" s="15"/>
    </row>
    <row r="22" spans="1:7">
      <c r="A22" s="172" t="s">
        <v>75</v>
      </c>
      <c r="B22" s="37">
        <f>aantalw2001_hout</f>
        <v>7</v>
      </c>
      <c r="C22" s="168">
        <f>IF(ISERROR(B22/SUM($B$20,$B$21,$B$22)*100),0,B22/SUM($B$20,$B$21,$B$22)*100)</f>
        <v>7.9545454545454541</v>
      </c>
      <c r="D22" s="230"/>
      <c r="E22" s="15"/>
    </row>
    <row r="23" spans="1:7">
      <c r="A23" s="172" t="s">
        <v>76</v>
      </c>
      <c r="B23" s="37">
        <f>aantalw2001_niet_gespec</f>
        <v>25</v>
      </c>
      <c r="C23" s="167" t="s">
        <v>111</v>
      </c>
      <c r="D23" s="229"/>
      <c r="E23" s="15"/>
    </row>
    <row r="24" spans="1:7">
      <c r="A24" s="172" t="s">
        <v>77</v>
      </c>
      <c r="B24" s="37">
        <f>aantalw2001_steenkool</f>
        <v>18</v>
      </c>
      <c r="C24" s="167" t="s">
        <v>111</v>
      </c>
      <c r="D24" s="230"/>
      <c r="E24" s="15"/>
    </row>
    <row r="25" spans="1:7">
      <c r="A25" s="172" t="s">
        <v>78</v>
      </c>
      <c r="B25" s="37">
        <f>aantalw2001_stookolie</f>
        <v>268</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2053</v>
      </c>
      <c r="C28" s="36"/>
      <c r="D28" s="229"/>
    </row>
    <row r="29" spans="1:7" s="15" customFormat="1">
      <c r="A29" s="231" t="s">
        <v>714</v>
      </c>
      <c r="B29" s="37">
        <f>SUM(HH_hh_gas_aantal,HH_rest_gas_aantal)</f>
        <v>1894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1894</v>
      </c>
      <c r="C32" s="168">
        <f>IF(ISERROR(B32/SUM($B$32,$B$34,$B$35,$B$36,$B$38,$B$39)*100),0,B32/SUM($B$32,$B$34,$B$35,$B$36,$B$38,$B$39)*100)</f>
        <v>92.255236239649292</v>
      </c>
      <c r="D32" s="234"/>
      <c r="G32" s="15"/>
    </row>
    <row r="33" spans="1:7">
      <c r="A33" s="172" t="s">
        <v>72</v>
      </c>
      <c r="B33" s="34" t="s">
        <v>111</v>
      </c>
      <c r="C33" s="168"/>
      <c r="D33" s="234"/>
      <c r="G33" s="15"/>
    </row>
    <row r="34" spans="1:7">
      <c r="A34" s="172" t="s">
        <v>73</v>
      </c>
      <c r="B34" s="33">
        <f>IF((($B$28-$B$32-$B$39-$B$77-$B$38)*C20/100)&lt;0,0,($B$28-$B$32-$B$39-$B$77-$B$38)*C20/100)</f>
        <v>10.84090909090909</v>
      </c>
      <c r="C34" s="168">
        <f>IF(ISERROR(B34/SUM($B$32,$B$34,$B$35,$B$36,$B$38,$B$39)*100),0,B34/SUM($B$32,$B$34,$B$35,$B$36,$B$38,$B$39)*100)</f>
        <v>0.5280520745693662</v>
      </c>
      <c r="D34" s="234"/>
      <c r="G34" s="15"/>
    </row>
    <row r="35" spans="1:7">
      <c r="A35" s="172" t="s">
        <v>74</v>
      </c>
      <c r="B35" s="33">
        <f>IF((($B$28-$B$32-$B$39-$B$77-$B$38)*C21/100)&lt;0,0,($B$28-$B$32-$B$39-$B$77-$B$38)*C21/100)</f>
        <v>135.51136363636363</v>
      </c>
      <c r="C35" s="168">
        <f>IF(ISERROR(B35/SUM($B$32,$B$34,$B$35,$B$36,$B$38,$B$39)*100),0,B35/SUM($B$32,$B$34,$B$35,$B$36,$B$38,$B$39)*100)</f>
        <v>6.6006509321170785</v>
      </c>
      <c r="D35" s="234"/>
      <c r="G35" s="15"/>
    </row>
    <row r="36" spans="1:7">
      <c r="A36" s="172" t="s">
        <v>75</v>
      </c>
      <c r="B36" s="33">
        <f>IF((($B$28-$B$32-$B$39-$B$77-$B$38)*C22/100)&lt;0,0,($B$28-$B$32-$B$39-$B$77-$B$38)*C22/100)</f>
        <v>12.647727272727273</v>
      </c>
      <c r="C36" s="168">
        <f>IF(ISERROR(B36/SUM($B$32,$B$34,$B$35,$B$36,$B$38,$B$39)*100),0,B36/SUM($B$32,$B$34,$B$35,$B$36,$B$38,$B$39)*100)</f>
        <v>0.61606075366426072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1894</v>
      </c>
      <c r="C44" s="34" t="s">
        <v>111</v>
      </c>
      <c r="D44" s="175"/>
    </row>
    <row r="45" spans="1:7">
      <c r="A45" s="172" t="s">
        <v>72</v>
      </c>
      <c r="B45" s="33" t="str">
        <f t="shared" si="0"/>
        <v>-</v>
      </c>
      <c r="C45" s="34" t="s">
        <v>111</v>
      </c>
      <c r="D45" s="175"/>
    </row>
    <row r="46" spans="1:7">
      <c r="A46" s="172" t="s">
        <v>73</v>
      </c>
      <c r="B46" s="33">
        <f t="shared" si="0"/>
        <v>10.84090909090909</v>
      </c>
      <c r="C46" s="34" t="s">
        <v>111</v>
      </c>
      <c r="D46" s="175"/>
    </row>
    <row r="47" spans="1:7">
      <c r="A47" s="172" t="s">
        <v>74</v>
      </c>
      <c r="B47" s="33">
        <f t="shared" si="0"/>
        <v>135.51136363636363</v>
      </c>
      <c r="C47" s="34" t="s">
        <v>111</v>
      </c>
      <c r="D47" s="175"/>
    </row>
    <row r="48" spans="1:7">
      <c r="A48" s="172" t="s">
        <v>75</v>
      </c>
      <c r="B48" s="33">
        <f t="shared" si="0"/>
        <v>12.647727272727273</v>
      </c>
      <c r="C48" s="33">
        <f>B48*10</f>
        <v>126.47727272727273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19287.329826531131</v>
      </c>
      <c r="C5" s="17">
        <f>IF(ISERROR('Eigen informatie GS &amp; warmtenet'!B58),0,'Eigen informatie GS &amp; warmtenet'!B58)</f>
        <v>0</v>
      </c>
      <c r="D5" s="30">
        <f>SUM(D6:D12)</f>
        <v>17080.285860968994</v>
      </c>
      <c r="E5" s="17">
        <f>SUM(E6:E12)</f>
        <v>284.33849327188994</v>
      </c>
      <c r="F5" s="17">
        <f>SUM(F6:F12)</f>
        <v>3151.0303921994464</v>
      </c>
      <c r="G5" s="18"/>
      <c r="H5" s="17"/>
      <c r="I5" s="17"/>
      <c r="J5" s="17">
        <f>SUM(J6:J12)</f>
        <v>0</v>
      </c>
      <c r="K5" s="17"/>
      <c r="L5" s="17"/>
      <c r="M5" s="17"/>
      <c r="N5" s="17">
        <f>SUM(N6:N12)</f>
        <v>157.86214856530484</v>
      </c>
      <c r="O5" s="17">
        <f>B38*B39*B40</f>
        <v>0</v>
      </c>
      <c r="P5" s="17">
        <f>B46*B47*B48/1000-B46*B47*B48/1000/B49</f>
        <v>0</v>
      </c>
      <c r="R5" s="32"/>
    </row>
    <row r="6" spans="1:18">
      <c r="A6" s="32" t="s">
        <v>54</v>
      </c>
      <c r="B6" s="37">
        <f>B26</f>
        <v>3070.6962391430498</v>
      </c>
      <c r="C6" s="33"/>
      <c r="D6" s="37">
        <f>IF(ISERROR(TER_kantoor_gas_kWh/1000),0,TER_kantoor_gas_kWh/1000)*0.902</f>
        <v>3188.2711296004541</v>
      </c>
      <c r="E6" s="33">
        <f>$C$26*'E Balans VL '!I12/100/3.6*1000000</f>
        <v>107.48644771100535</v>
      </c>
      <c r="F6" s="33">
        <f>$C$26*('E Balans VL '!L12+'E Balans VL '!N12)/100/3.6*1000000</f>
        <v>465.58347705631348</v>
      </c>
      <c r="G6" s="34"/>
      <c r="H6" s="33"/>
      <c r="I6" s="33"/>
      <c r="J6" s="33">
        <f>$C$26*('E Balans VL '!D12+'E Balans VL '!E12)/100/3.6*1000000</f>
        <v>0</v>
      </c>
      <c r="K6" s="33"/>
      <c r="L6" s="33"/>
      <c r="M6" s="33"/>
      <c r="N6" s="33">
        <f>$C$26*'E Balans VL '!Y12/100/3.6*1000000</f>
        <v>23.735520827103624</v>
      </c>
      <c r="O6" s="33"/>
      <c r="P6" s="33"/>
      <c r="R6" s="32"/>
    </row>
    <row r="7" spans="1:18">
      <c r="A7" s="32" t="s">
        <v>53</v>
      </c>
      <c r="B7" s="37">
        <f t="shared" ref="B7:B12" si="0">B27</f>
        <v>846.16279326553592</v>
      </c>
      <c r="C7" s="33"/>
      <c r="D7" s="37">
        <f>IF(ISERROR(TER_horeca_gas_kWh/1000),0,TER_horeca_gas_kWh/1000)*0.902</f>
        <v>1292.9430699500804</v>
      </c>
      <c r="E7" s="33">
        <f>$C$27*'E Balans VL '!I9/100/3.6*1000000</f>
        <v>47.734832765189076</v>
      </c>
      <c r="F7" s="33">
        <f>$C$27*('E Balans VL '!L9+'E Balans VL '!N9)/100/3.6*1000000</f>
        <v>147.40624131187764</v>
      </c>
      <c r="G7" s="34"/>
      <c r="H7" s="33"/>
      <c r="I7" s="33"/>
      <c r="J7" s="33">
        <f>$C$27*('E Balans VL '!D9+'E Balans VL '!E9)/100/3.6*1000000</f>
        <v>0</v>
      </c>
      <c r="K7" s="33"/>
      <c r="L7" s="33"/>
      <c r="M7" s="33"/>
      <c r="N7" s="33">
        <f>$C$27*'E Balans VL '!Y9/100/3.6*1000000</f>
        <v>0</v>
      </c>
      <c r="O7" s="33"/>
      <c r="P7" s="33"/>
      <c r="R7" s="32"/>
    </row>
    <row r="8" spans="1:18">
      <c r="A8" s="6" t="s">
        <v>52</v>
      </c>
      <c r="B8" s="37">
        <f t="shared" si="0"/>
        <v>11922.830617490501</v>
      </c>
      <c r="C8" s="33"/>
      <c r="D8" s="37">
        <f>IF(ISERROR(TER_handel_gas_kWh/1000),0,TER_handel_gas_kWh/1000)*0.902</f>
        <v>7703.9447964628025</v>
      </c>
      <c r="E8" s="33">
        <f>$C$28*'E Balans VL '!I13/100/3.6*1000000</f>
        <v>61.210601048174034</v>
      </c>
      <c r="F8" s="33">
        <f>$C$28*('E Balans VL '!L13+'E Balans VL '!N13)/100/3.6*1000000</f>
        <v>1838.3162545723044</v>
      </c>
      <c r="G8" s="34"/>
      <c r="H8" s="33"/>
      <c r="I8" s="33"/>
      <c r="J8" s="33">
        <f>$C$28*('E Balans VL '!D13+'E Balans VL '!E13)/100/3.6*1000000</f>
        <v>0</v>
      </c>
      <c r="K8" s="33"/>
      <c r="L8" s="33"/>
      <c r="M8" s="33"/>
      <c r="N8" s="33">
        <f>$C$28*'E Balans VL '!Y13/100/3.6*1000000</f>
        <v>5.5764534175379197</v>
      </c>
      <c r="O8" s="33"/>
      <c r="P8" s="33"/>
      <c r="R8" s="32"/>
    </row>
    <row r="9" spans="1:18">
      <c r="A9" s="32" t="s">
        <v>51</v>
      </c>
      <c r="B9" s="37">
        <f t="shared" si="0"/>
        <v>164.15212812104301</v>
      </c>
      <c r="C9" s="33"/>
      <c r="D9" s="37">
        <f>IF(ISERROR(TER_gezond_gas_kWh/1000),0,TER_gezond_gas_kWh/1000)*0.902</f>
        <v>0</v>
      </c>
      <c r="E9" s="33">
        <f>$C$29*'E Balans VL '!I10/100/3.6*1000000</f>
        <v>6.8039888056614331E-2</v>
      </c>
      <c r="F9" s="33">
        <f>$C$29*('E Balans VL '!L10+'E Balans VL '!N10)/100/3.6*1000000</f>
        <v>40.428314900655543</v>
      </c>
      <c r="G9" s="34"/>
      <c r="H9" s="33"/>
      <c r="I9" s="33"/>
      <c r="J9" s="33">
        <f>$C$29*('E Balans VL '!D10+'E Balans VL '!E10)/100/3.6*1000000</f>
        <v>0</v>
      </c>
      <c r="K9" s="33"/>
      <c r="L9" s="33"/>
      <c r="M9" s="33"/>
      <c r="N9" s="33">
        <f>$C$29*'E Balans VL '!Y10/100/3.6*1000000</f>
        <v>1.418680684021272</v>
      </c>
      <c r="O9" s="33"/>
      <c r="P9" s="33"/>
      <c r="R9" s="32"/>
    </row>
    <row r="10" spans="1:18">
      <c r="A10" s="32" t="s">
        <v>50</v>
      </c>
      <c r="B10" s="37">
        <f t="shared" si="0"/>
        <v>168.234492466463</v>
      </c>
      <c r="C10" s="33"/>
      <c r="D10" s="37">
        <f>IF(ISERROR(TER_ander_gas_kWh/1000),0,TER_ander_gas_kWh/1000)*0.902</f>
        <v>317.93642591000417</v>
      </c>
      <c r="E10" s="33">
        <f>$C$30*'E Balans VL '!I14/100/3.6*1000000</f>
        <v>1.025561616874292</v>
      </c>
      <c r="F10" s="33">
        <f>$C$30*('E Balans VL '!L14+'E Balans VL '!N14)/100/3.6*1000000</f>
        <v>44.601268503989544</v>
      </c>
      <c r="G10" s="34"/>
      <c r="H10" s="33"/>
      <c r="I10" s="33"/>
      <c r="J10" s="33">
        <f>$C$30*('E Balans VL '!D14+'E Balans VL '!E14)/100/3.6*1000000</f>
        <v>0</v>
      </c>
      <c r="K10" s="33"/>
      <c r="L10" s="33"/>
      <c r="M10" s="33"/>
      <c r="N10" s="33">
        <f>$C$30*'E Balans VL '!Y14/100/3.6*1000000</f>
        <v>38.774415233709441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3115.2535560445399</v>
      </c>
      <c r="C12" s="33"/>
      <c r="D12" s="37">
        <f>IF(ISERROR(TER_rest_gas_kWh/1000),0,TER_rest_gas_kWh/1000)*0.902</f>
        <v>4577.1904390456511</v>
      </c>
      <c r="E12" s="33">
        <f>$C$32*'E Balans VL '!I8/100/3.6*1000000</f>
        <v>66.813010242590607</v>
      </c>
      <c r="F12" s="33">
        <f>$C$32*('E Balans VL '!L8+'E Balans VL '!N8)/100/3.6*1000000</f>
        <v>614.69483585430612</v>
      </c>
      <c r="G12" s="34"/>
      <c r="H12" s="33"/>
      <c r="I12" s="33"/>
      <c r="J12" s="33">
        <f>$C$32*('E Balans VL '!D8+'E Balans VL '!E8)/100/3.6*1000000</f>
        <v>0</v>
      </c>
      <c r="K12" s="33"/>
      <c r="L12" s="33"/>
      <c r="M12" s="33"/>
      <c r="N12" s="33">
        <f>$C$32*'E Balans VL '!Y8/100/3.6*1000000</f>
        <v>88.357078402932586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19287.329826531131</v>
      </c>
      <c r="C16" s="21">
        <f ca="1">C5+C13+C14</f>
        <v>0</v>
      </c>
      <c r="D16" s="21">
        <f t="shared" ref="D16:N16" ca="1" si="1">MAX((D5+D13+D14),0)</f>
        <v>17080.285860968994</v>
      </c>
      <c r="E16" s="21">
        <f t="shared" si="1"/>
        <v>284.33849327188994</v>
      </c>
      <c r="F16" s="21">
        <f t="shared" ca="1" si="1"/>
        <v>3151.0303921994464</v>
      </c>
      <c r="G16" s="21">
        <f t="shared" si="1"/>
        <v>0</v>
      </c>
      <c r="H16" s="21">
        <f t="shared" si="1"/>
        <v>0</v>
      </c>
      <c r="I16" s="21">
        <f t="shared" si="1"/>
        <v>0</v>
      </c>
      <c r="J16" s="21">
        <f t="shared" si="1"/>
        <v>0</v>
      </c>
      <c r="K16" s="21">
        <f t="shared" si="1"/>
        <v>0</v>
      </c>
      <c r="L16" s="21">
        <f t="shared" ca="1" si="1"/>
        <v>0</v>
      </c>
      <c r="M16" s="21">
        <f t="shared" si="1"/>
        <v>0</v>
      </c>
      <c r="N16" s="21">
        <f t="shared" ca="1" si="1"/>
        <v>157.86214856530484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0.22232481184020558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4288.051974583519</v>
      </c>
      <c r="C20" s="23">
        <f t="shared" ref="C20:P20" ca="1" si="2">C16*C18</f>
        <v>0</v>
      </c>
      <c r="D20" s="23">
        <f t="shared" ca="1" si="2"/>
        <v>3450.2177439157372</v>
      </c>
      <c r="E20" s="23">
        <f t="shared" si="2"/>
        <v>64.544837972719023</v>
      </c>
      <c r="F20" s="23">
        <f t="shared" ca="1" si="2"/>
        <v>841.32511471725229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3070.6962391430498</v>
      </c>
      <c r="C26" s="39">
        <f>IF(ISERROR(B26*3.6/1000000/'E Balans VL '!Z12*100),0,B26*3.6/1000000/'E Balans VL '!Z12*100)</f>
        <v>6.4617709986367594E-2</v>
      </c>
      <c r="D26" s="238" t="s">
        <v>720</v>
      </c>
      <c r="F26" s="6"/>
    </row>
    <row r="27" spans="1:18">
      <c r="A27" s="232" t="s">
        <v>53</v>
      </c>
      <c r="B27" s="33">
        <f>IF(ISERROR(TER_horeca_ele_kWh/1000),0,TER_horeca_ele_kWh/1000)</f>
        <v>846.16279326553592</v>
      </c>
      <c r="C27" s="39">
        <f>IF(ISERROR(B27*3.6/1000000/'E Balans VL '!Z9*100),0,B27*3.6/1000000/'E Balans VL '!Z9*100)</f>
        <v>7.1642226010362797E-2</v>
      </c>
      <c r="D27" s="238" t="s">
        <v>720</v>
      </c>
      <c r="F27" s="6"/>
    </row>
    <row r="28" spans="1:18">
      <c r="A28" s="172" t="s">
        <v>52</v>
      </c>
      <c r="B28" s="33">
        <f>IF(ISERROR(TER_handel_ele_kWh/1000),0,TER_handel_ele_kWh/1000)</f>
        <v>11922.830617490501</v>
      </c>
      <c r="C28" s="39">
        <f>IF(ISERROR(B28*3.6/1000000/'E Balans VL '!Z13*100),0,B28*3.6/1000000/'E Balans VL '!Z13*100)</f>
        <v>0.3300819169675846</v>
      </c>
      <c r="D28" s="238" t="s">
        <v>720</v>
      </c>
      <c r="F28" s="6"/>
    </row>
    <row r="29" spans="1:18">
      <c r="A29" s="232" t="s">
        <v>51</v>
      </c>
      <c r="B29" s="33">
        <f>IF(ISERROR(TER_gezond_ele_kWh/1000),0,TER_gezond_ele_kWh/1000)</f>
        <v>164.15212812104301</v>
      </c>
      <c r="C29" s="39">
        <f>IF(ISERROR(B29*3.6/1000000/'E Balans VL '!Z10*100),0,B29*3.6/1000000/'E Balans VL '!Z10*100)</f>
        <v>2.1337956817220907E-2</v>
      </c>
      <c r="D29" s="238" t="s">
        <v>720</v>
      </c>
      <c r="F29" s="6"/>
    </row>
    <row r="30" spans="1:18">
      <c r="A30" s="232" t="s">
        <v>50</v>
      </c>
      <c r="B30" s="33">
        <f>IF(ISERROR(TER_ander_ele_kWh/1000),0,TER_ander_ele_kWh/1000)</f>
        <v>168.234492466463</v>
      </c>
      <c r="C30" s="39">
        <f>IF(ISERROR(B30*3.6/1000000/'E Balans VL '!Z14*100),0,B30*3.6/1000000/'E Balans VL '!Z14*100)</f>
        <v>1.3039715994305014E-2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3115.2535560445399</v>
      </c>
      <c r="C32" s="39">
        <f>IF(ISERROR(B32*3.6/1000000/'E Balans VL '!Z8*100),0,B32*3.6/1000000/'E Balans VL '!Z8*100)</f>
        <v>2.5687657821276366E-2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29440.22860393735</v>
      </c>
      <c r="C5" s="17">
        <f>IF(ISERROR('Eigen informatie GS &amp; warmtenet'!B59),0,'Eigen informatie GS &amp; warmtenet'!B59)</f>
        <v>0</v>
      </c>
      <c r="D5" s="30">
        <f>SUM(D6:D15)</f>
        <v>106839.46709820913</v>
      </c>
      <c r="E5" s="17">
        <f>SUM(E6:E15)</f>
        <v>297.57487346716692</v>
      </c>
      <c r="F5" s="17">
        <f>SUM(F6:F15)</f>
        <v>8284.3567246960374</v>
      </c>
      <c r="G5" s="18"/>
      <c r="H5" s="17"/>
      <c r="I5" s="17"/>
      <c r="J5" s="17">
        <f>SUM(J6:J15)</f>
        <v>173.7093579932409</v>
      </c>
      <c r="K5" s="17"/>
      <c r="L5" s="17"/>
      <c r="M5" s="17"/>
      <c r="N5" s="17">
        <f>SUM(N6:N15)</f>
        <v>759.91810331811007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232.74299999999999</v>
      </c>
      <c r="C8" s="33"/>
      <c r="D8" s="37">
        <f>IF( ISERROR(IND_metaal_Gas_kWH/1000),0,IND_metaal_Gas_kWH/1000)*0.902</f>
        <v>298.26898685011497</v>
      </c>
      <c r="E8" s="33">
        <f>C30*'E Balans VL '!I18/100/3.6*1000000</f>
        <v>1.6354337085864088</v>
      </c>
      <c r="F8" s="33">
        <f>C30*'E Balans VL '!L18/100/3.6*1000000+C30*'E Balans VL '!N18/100/3.6*1000000</f>
        <v>25.553819719421767</v>
      </c>
      <c r="G8" s="34"/>
      <c r="H8" s="33"/>
      <c r="I8" s="33"/>
      <c r="J8" s="40">
        <f>C30*'E Balans VL '!D18/100/3.6*1000000+C30*'E Balans VL '!E18/100/3.6*1000000</f>
        <v>4.8019897423472848</v>
      </c>
      <c r="K8" s="33"/>
      <c r="L8" s="33"/>
      <c r="M8" s="33"/>
      <c r="N8" s="33">
        <f>C30*'E Balans VL '!Y18/100/3.6*1000000</f>
        <v>0.87233752613288074</v>
      </c>
      <c r="O8" s="33"/>
      <c r="P8" s="33"/>
      <c r="R8" s="32"/>
    </row>
    <row r="9" spans="1:18">
      <c r="A9" s="6" t="s">
        <v>33</v>
      </c>
      <c r="B9" s="37">
        <f t="shared" si="0"/>
        <v>4161.9842850035602</v>
      </c>
      <c r="C9" s="33"/>
      <c r="D9" s="37">
        <f>IF( ISERROR(IND_andere_gas_kWh/1000),0,IND_andere_gas_kWh/1000)*0.902</f>
        <v>685.59591602587602</v>
      </c>
      <c r="E9" s="33">
        <f>C31*'E Balans VL '!I19/100/3.6*1000000</f>
        <v>69.905624660172975</v>
      </c>
      <c r="F9" s="33">
        <f>C31*'E Balans VL '!L19/100/3.6*1000000+C31*'E Balans VL '!N19/100/3.6*1000000</f>
        <v>3253.6022650907785</v>
      </c>
      <c r="G9" s="34"/>
      <c r="H9" s="33"/>
      <c r="I9" s="33"/>
      <c r="J9" s="40">
        <f>C31*'E Balans VL '!D19/100/3.6*1000000+C31*'E Balans VL '!E19/100/3.6*1000000</f>
        <v>0.37537424307003264</v>
      </c>
      <c r="K9" s="33"/>
      <c r="L9" s="33"/>
      <c r="M9" s="33"/>
      <c r="N9" s="33">
        <f>C31*'E Balans VL '!Y19/100/3.6*1000000</f>
        <v>308.46980867809026</v>
      </c>
      <c r="O9" s="33"/>
      <c r="P9" s="33"/>
      <c r="R9" s="32"/>
    </row>
    <row r="10" spans="1:18">
      <c r="A10" s="6" t="s">
        <v>41</v>
      </c>
      <c r="B10" s="37">
        <f t="shared" si="0"/>
        <v>41.376874064488803</v>
      </c>
      <c r="C10" s="33"/>
      <c r="D10" s="37">
        <f>IF( ISERROR(IND_voed_gas_kWh/1000),0,IND_voed_gas_kWh/1000)*0.902</f>
        <v>0</v>
      </c>
      <c r="E10" s="33">
        <f>C32*'E Balans VL '!I20/100/3.6*1000000</f>
        <v>0.37750540480520506</v>
      </c>
      <c r="F10" s="33">
        <f>C32*'E Balans VL '!L20/100/3.6*1000000+C32*'E Balans VL '!N20/100/3.6*1000000</f>
        <v>6.6753839794839784</v>
      </c>
      <c r="G10" s="34"/>
      <c r="H10" s="33"/>
      <c r="I10" s="33"/>
      <c r="J10" s="40">
        <f>C32*'E Balans VL '!D20/100/3.6*1000000+C32*'E Balans VL '!E20/100/3.6*1000000</f>
        <v>0.17041709538933419</v>
      </c>
      <c r="K10" s="33"/>
      <c r="L10" s="33"/>
      <c r="M10" s="33"/>
      <c r="N10" s="33">
        <f>C32*'E Balans VL '!Y20/100/3.6*1000000</f>
        <v>0.6053110409825716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392.50871911501861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25004.1244448693</v>
      </c>
      <c r="C15" s="33"/>
      <c r="D15" s="37">
        <f>IF( ISERROR(IND_rest_gas_kWh/1000),0,IND_rest_gas_kWh/1000)*0.902</f>
        <v>105463.09347621813</v>
      </c>
      <c r="E15" s="33">
        <f>C37*'E Balans VL '!I15/100/3.6*1000000</f>
        <v>225.65630969360234</v>
      </c>
      <c r="F15" s="33">
        <f>C37*'E Balans VL '!L15/100/3.6*1000000+C37*'E Balans VL '!N15/100/3.6*1000000</f>
        <v>4998.5252559063538</v>
      </c>
      <c r="G15" s="34"/>
      <c r="H15" s="33"/>
      <c r="I15" s="33"/>
      <c r="J15" s="40">
        <f>C37*'E Balans VL '!D15/100/3.6*1000000+C37*'E Balans VL '!E15/100/3.6*1000000</f>
        <v>168.36157691243426</v>
      </c>
      <c r="K15" s="33"/>
      <c r="L15" s="33"/>
      <c r="M15" s="33"/>
      <c r="N15" s="33">
        <f>C37*'E Balans VL '!Y15/100/3.6*1000000</f>
        <v>449.97064607290434</v>
      </c>
      <c r="O15" s="33"/>
      <c r="P15" s="33"/>
      <c r="R15" s="32"/>
    </row>
    <row r="16" spans="1:18">
      <c r="A16" s="16" t="s">
        <v>497</v>
      </c>
      <c r="B16" s="248">
        <f>'lokale energieproductie'!N89+'lokale energieproductie'!N58</f>
        <v>6961.5</v>
      </c>
      <c r="C16" s="248">
        <f>'lokale energieproductie'!O89+'lokale energieproductie'!O58</f>
        <v>9945</v>
      </c>
      <c r="D16" s="311">
        <f>('lokale energieproductie'!P58+'lokale energieproductie'!P89)*(-1)</f>
        <v>-19890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36401.72860393735</v>
      </c>
      <c r="C18" s="21">
        <f>C5+C16</f>
        <v>9945</v>
      </c>
      <c r="D18" s="21">
        <f>MAX((D5+D16),0)</f>
        <v>86949.467098209134</v>
      </c>
      <c r="E18" s="21">
        <f>MAX((E5+E16),0)</f>
        <v>297.57487346716692</v>
      </c>
      <c r="F18" s="21">
        <f>MAX((F5+F16),0)</f>
        <v>8284.3567246960374</v>
      </c>
      <c r="G18" s="21"/>
      <c r="H18" s="21"/>
      <c r="I18" s="21"/>
      <c r="J18" s="21">
        <f>MAX((J5+J16),0)</f>
        <v>173.7093579932409</v>
      </c>
      <c r="K18" s="21"/>
      <c r="L18" s="21">
        <f>MAX((L5+L16),0)</f>
        <v>0</v>
      </c>
      <c r="M18" s="21"/>
      <c r="N18" s="21">
        <f>MAX((N5+N16),0)</f>
        <v>759.91810331811007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0.22232481184020558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8093.0074625286006</v>
      </c>
      <c r="C22" s="23">
        <f ca="1">C18*C20</f>
        <v>2363.4</v>
      </c>
      <c r="D22" s="23">
        <f>D18*D20</f>
        <v>17563.792353838246</v>
      </c>
      <c r="E22" s="23">
        <f>E18*E20</f>
        <v>67.549496277046899</v>
      </c>
      <c r="F22" s="23">
        <f>F18*F20</f>
        <v>2211.9232454938419</v>
      </c>
      <c r="G22" s="23"/>
      <c r="H22" s="23"/>
      <c r="I22" s="23"/>
      <c r="J22" s="23">
        <f>J18*J20</f>
        <v>61.493112729607276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232.74299999999999</v>
      </c>
      <c r="C30" s="39">
        <f>IF(ISERROR(B30*3.6/1000000/'E Balans VL '!Z18*100),0,B30*3.6/1000000/'E Balans VL '!Z18*100)</f>
        <v>1.5493843634785604E-2</v>
      </c>
      <c r="D30" s="238" t="s">
        <v>720</v>
      </c>
    </row>
    <row r="31" spans="1:18">
      <c r="A31" s="6" t="s">
        <v>33</v>
      </c>
      <c r="B31" s="37">
        <f>IF( ISERROR(IND_ander_ele_kWh/1000),0,IND_ander_ele_kWh/1000)</f>
        <v>4161.9842850035602</v>
      </c>
      <c r="C31" s="39">
        <f>IF(ISERROR(B31*3.6/1000000/'E Balans VL '!Z19*100),0,B31*3.6/1000000/'E Balans VL '!Z19*100)</f>
        <v>0.1844842696316884</v>
      </c>
      <c r="D31" s="238" t="s">
        <v>720</v>
      </c>
    </row>
    <row r="32" spans="1:18">
      <c r="A32" s="172" t="s">
        <v>41</v>
      </c>
      <c r="B32" s="37">
        <f>IF( ISERROR(IND_voed_ele_kWh/1000),0,IND_voed_ele_kWh/1000)</f>
        <v>41.376874064488803</v>
      </c>
      <c r="C32" s="39">
        <f>IF(ISERROR(B32*3.6/1000000/'E Balans VL '!Z20*100),0,B32*3.6/1000000/'E Balans VL '!Z20*100)</f>
        <v>1.3821062886434964E-3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25004.1244448693</v>
      </c>
      <c r="C37" s="39">
        <f>IF(ISERROR(B37*3.6/1000000/'E Balans VL '!Z15*100),0,B37*3.6/1000000/'E Balans VL '!Z15*100)</f>
        <v>0.18598995066664842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5.4327787844399997E-2</v>
      </c>
      <c r="C5" s="17">
        <f>'Eigen informatie GS &amp; warmtenet'!B60</f>
        <v>0</v>
      </c>
      <c r="D5" s="30">
        <f>IF(ISERROR(SUM(LB_lb_gas_kWh,LB_rest_gas_kWh,onbekend_gas_kWh)/1000),0,SUM(LB_lb_gas_kWh,LB_rest_gas_kWh,onbekend_gas_kWh)/1000)*0.902</f>
        <v>1172.03367263413</v>
      </c>
      <c r="E5" s="17">
        <f>B17*'E Balans VL '!I25/3.6*1000000/100</f>
        <v>5.6893235579299443E-4</v>
      </c>
      <c r="F5" s="17">
        <f>B17*('E Balans VL '!L25/3.6*1000000+'E Balans VL '!N25/3.6*1000000)/100</f>
        <v>0.27903616867106296</v>
      </c>
      <c r="G5" s="18"/>
      <c r="H5" s="17"/>
      <c r="I5" s="17"/>
      <c r="J5" s="17">
        <f>('E Balans VL '!D25+'E Balans VL '!E25)/3.6*1000000*landbouw!B17/100</f>
        <v>4.851958402774542E-3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5.4327787844399997E-2</v>
      </c>
      <c r="C8" s="21">
        <f>C5+C6</f>
        <v>0</v>
      </c>
      <c r="D8" s="21">
        <f>MAX((D5+D6),0)</f>
        <v>1172.03367263413</v>
      </c>
      <c r="E8" s="21">
        <f>MAX((E5+E6),0)</f>
        <v>5.6893235579299443E-4</v>
      </c>
      <c r="F8" s="21">
        <f>MAX((F5+F6),0)</f>
        <v>0.27903616867106296</v>
      </c>
      <c r="G8" s="21"/>
      <c r="H8" s="21"/>
      <c r="I8" s="21"/>
      <c r="J8" s="21">
        <f>MAX((J5+J6),0)</f>
        <v>4.851958402774542E-3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0.22232481184020558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1.2078415210200838E-2</v>
      </c>
      <c r="C12" s="23">
        <f ca="1">C8*C10</f>
        <v>0</v>
      </c>
      <c r="D12" s="23">
        <f>D8*D10</f>
        <v>236.75080187209426</v>
      </c>
      <c r="E12" s="23">
        <f>E8*E10</f>
        <v>1.2914764476500975E-4</v>
      </c>
      <c r="F12" s="23">
        <f>F8*F10</f>
        <v>7.4502657035173808E-2</v>
      </c>
      <c r="G12" s="23"/>
      <c r="H12" s="23"/>
      <c r="I12" s="23"/>
      <c r="J12" s="23">
        <f>J8*J10</f>
        <v>1.7175932745821878E-3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8.3620952693603944E-6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278</v>
      </c>
      <c r="B29" s="248">
        <f>B34*'ha_N2O bodem landbouw'!B4</f>
        <v>0</v>
      </c>
      <c r="C29" s="248">
        <f>B29*'GWP N2O_CH4'!B4</f>
        <v>0</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0</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2.5740403661186625E-6</v>
      </c>
      <c r="C5" s="446" t="s">
        <v>212</v>
      </c>
      <c r="D5" s="431">
        <f>SUM(D6:D11)</f>
        <v>1.3108186582031137E-5</v>
      </c>
      <c r="E5" s="431">
        <f>SUM(E6:E11)</f>
        <v>1.5042467822401597E-3</v>
      </c>
      <c r="F5" s="444" t="s">
        <v>212</v>
      </c>
      <c r="G5" s="431">
        <f>SUM(G6:G11)</f>
        <v>0.21506759047564164</v>
      </c>
      <c r="H5" s="431">
        <f>SUM(H6:H11)</f>
        <v>4.4819928516637152E-2</v>
      </c>
      <c r="I5" s="446" t="s">
        <v>212</v>
      </c>
      <c r="J5" s="446" t="s">
        <v>212</v>
      </c>
      <c r="K5" s="446" t="s">
        <v>212</v>
      </c>
      <c r="L5" s="446" t="s">
        <v>212</v>
      </c>
      <c r="M5" s="431">
        <f>SUM(M6:M11)</f>
        <v>1.1360712092771051E-2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5.4531496238893641E-7</v>
      </c>
      <c r="C6" s="432"/>
      <c r="D6" s="432">
        <f>vkm_2011_GW_PW*SUMIFS(TableVerdeelsleutelVkm[CNG],TableVerdeelsleutelVkm[Voertuigtype],"Lichte voertuigen")*SUMIFS(TableECFTransport[EnergieConsumptieFactor (PJ per km)],TableECFTransport[Index],CONCATENATE($A6,"_CNG_CNG"))</f>
        <v>2.3507894155174633E-6</v>
      </c>
      <c r="E6" s="434">
        <f>vkm_2011_GW_PW*SUMIFS(TableVerdeelsleutelVkm[LPG],TableVerdeelsleutelVkm[Voertuigtype],"Lichte voertuigen")*SUMIFS(TableECFTransport[EnergieConsumptieFactor (PJ per km)],TableECFTransport[Index],CONCATENATE($A6,"_LPG_LPG"))</f>
        <v>2.4458521454347404E-4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3.008465284347275E-2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7.9206656488216409E-3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1.6655752608116625E-3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4.9956214569257442E-3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1.7129293700198377E-6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2.1580148676773561E-4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5.1915710119243283E-7</v>
      </c>
      <c r="C8" s="432"/>
      <c r="D8" s="434">
        <f>vkm_2011_NGW_PW*SUMIFS(TableVerdeelsleutelVkm[CNG],TableVerdeelsleutelVkm[Voertuigtype],"Lichte voertuigen")*SUMIFS(TableECFTransport[EnergieConsumptieFactor (PJ per km)],TableECFTransport[Index],CONCATENATE($A8,"_CNG_CNG"))</f>
        <v>4.0150730057704715E-6</v>
      </c>
      <c r="E8" s="434">
        <f>vkm_2011_NGW_PW*SUMIFS(TableVerdeelsleutelVkm[LPG],TableVerdeelsleutelVkm[Voertuigtype],"Lichte voertuigen")*SUMIFS(TableECFTransport[EnergieConsumptieFactor (PJ per km)],TableECFTransport[Index],CONCATENATE($A8,"_LPG_LPG"))</f>
        <v>3.8143099134627041E-4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4.4499762246459532E-2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1.2913630785734645E-2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2.5190532730836046E-3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9.7010693296034004E-4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2.8896936957309361E-7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4.1904781579081983E-5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1.5095683025372932E-6</v>
      </c>
      <c r="C10" s="432"/>
      <c r="D10" s="434">
        <f>vkm_2011_SW_PW*SUMIFS(TableVerdeelsleutelVkm[CNG],TableVerdeelsleutelVkm[Voertuigtype],"Lichte voertuigen")*SUMIFS(TableECFTransport[EnergieConsumptieFactor (PJ per km)],TableECFTransport[Index],CONCATENATE($A10,"_CNG_CNG"))</f>
        <v>6.7423241607432022E-6</v>
      </c>
      <c r="E10" s="434">
        <f>vkm_2011_SW_PW*SUMIFS(TableVerdeelsleutelVkm[LPG],TableVerdeelsleutelVkm[Voertuigtype],"Lichte voertuigen")*SUMIFS(TableECFTransport[EnergieConsumptieFactor (PJ per km)],TableECFTransport[Index],CONCATENATE($A10,"_LPG_LPG"))</f>
        <v>8.7823057635041534E-4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9.9311543482310943E-2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2.3970750258923444E-2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5.3975108265678483E-3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3.5205903513512334E-2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1.2879924417835087E-5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1.5208664639611189E-3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0.71501121281073954</v>
      </c>
      <c r="C14" s="21"/>
      <c r="D14" s="21">
        <f t="shared" ref="D14:M14" si="0">((D5)*10^9/3600)+D12</f>
        <v>3.641162939453094</v>
      </c>
      <c r="E14" s="21">
        <f t="shared" si="0"/>
        <v>417.84632840004434</v>
      </c>
      <c r="F14" s="21"/>
      <c r="G14" s="21">
        <f t="shared" si="0"/>
        <v>59740.997354344901</v>
      </c>
      <c r="H14" s="21">
        <f t="shared" si="0"/>
        <v>12449.98014351032</v>
      </c>
      <c r="I14" s="21"/>
      <c r="J14" s="21"/>
      <c r="K14" s="21"/>
      <c r="L14" s="21"/>
      <c r="M14" s="21">
        <f t="shared" si="0"/>
        <v>3155.7533591030697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0.22232481184020558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0.15896473335178485</v>
      </c>
      <c r="C18" s="23"/>
      <c r="D18" s="23">
        <f t="shared" ref="D18:M18" si="1">D14*D16</f>
        <v>0.73551491376952505</v>
      </c>
      <c r="E18" s="23">
        <f t="shared" si="1"/>
        <v>94.851116546810076</v>
      </c>
      <c r="F18" s="23"/>
      <c r="G18" s="23">
        <f t="shared" si="1"/>
        <v>15950.84629361009</v>
      </c>
      <c r="H18" s="23">
        <f t="shared" si="1"/>
        <v>3100.0450557340696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5.222817399230072E-3</v>
      </c>
      <c r="H50" s="322">
        <f t="shared" si="2"/>
        <v>0</v>
      </c>
      <c r="I50" s="322">
        <f t="shared" si="2"/>
        <v>0</v>
      </c>
      <c r="J50" s="322">
        <f t="shared" si="2"/>
        <v>0</v>
      </c>
      <c r="K50" s="322">
        <f t="shared" si="2"/>
        <v>0</v>
      </c>
      <c r="L50" s="322">
        <f t="shared" si="2"/>
        <v>0</v>
      </c>
      <c r="M50" s="322">
        <f t="shared" si="2"/>
        <v>2.2262601532137434E-4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5.222817399230072E-3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2.2262601532137434E-4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1450.7826108972422</v>
      </c>
      <c r="H54" s="21">
        <f t="shared" si="3"/>
        <v>0</v>
      </c>
      <c r="I54" s="21">
        <f t="shared" si="3"/>
        <v>0</v>
      </c>
      <c r="J54" s="21">
        <f t="shared" si="3"/>
        <v>0</v>
      </c>
      <c r="K54" s="21">
        <f t="shared" si="3"/>
        <v>0</v>
      </c>
      <c r="L54" s="21">
        <f t="shared" si="3"/>
        <v>0</v>
      </c>
      <c r="M54" s="21">
        <f t="shared" si="3"/>
        <v>61.840559811492874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0.22232481184020558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387.35895710956368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148.13943986684399</v>
      </c>
      <c r="C6" s="1124"/>
      <c r="D6" s="1127"/>
      <c r="E6" s="1127"/>
      <c r="F6" s="1130"/>
      <c r="G6" s="1133"/>
      <c r="H6" s="1121"/>
      <c r="I6" s="1127"/>
      <c r="J6" s="1127"/>
      <c r="K6" s="1127"/>
      <c r="L6" s="1157"/>
      <c r="M6" s="559"/>
      <c r="N6" s="1169"/>
      <c r="O6" s="1170"/>
      <c r="Q6" s="557"/>
      <c r="R6" s="1154"/>
      <c r="S6" s="1154"/>
    </row>
    <row r="7" spans="1:19" s="547" customFormat="1">
      <c r="A7" s="560" t="s">
        <v>253</v>
      </c>
      <c r="B7" s="561">
        <f>N57</f>
        <v>6961.5</v>
      </c>
      <c r="C7" s="562">
        <f>B100</f>
        <v>8190</v>
      </c>
      <c r="D7" s="563"/>
      <c r="E7" s="563">
        <f>E100</f>
        <v>0</v>
      </c>
      <c r="F7" s="564"/>
      <c r="G7" s="565"/>
      <c r="H7" s="563">
        <f>I100</f>
        <v>0</v>
      </c>
      <c r="I7" s="563">
        <f>G100+F100</f>
        <v>0</v>
      </c>
      <c r="J7" s="563">
        <f>H100+D100+C100</f>
        <v>0</v>
      </c>
      <c r="K7" s="563"/>
      <c r="L7" s="566"/>
      <c r="M7" s="567">
        <f>C7*$C$11+D7*$D$11+E7*$E$11+F7*$F$11+G7*$G$11+H7*$H$11+I7*$I$11+J7*$J$11</f>
        <v>1654.38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7109.6394398668435</v>
      </c>
      <c r="C9" s="578">
        <f t="shared" ref="C9:L9" si="0">SUM(C7:C8)</f>
        <v>8190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1654.38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9945</v>
      </c>
      <c r="C16" s="594">
        <f>B101</f>
        <v>11700</v>
      </c>
      <c r="D16" s="595"/>
      <c r="E16" s="595">
        <f>E101</f>
        <v>0</v>
      </c>
      <c r="F16" s="596"/>
      <c r="G16" s="597"/>
      <c r="H16" s="594">
        <f>I101</f>
        <v>0</v>
      </c>
      <c r="I16" s="595">
        <f>G101+F101</f>
        <v>0</v>
      </c>
      <c r="J16" s="595">
        <f>H101+D101+C101</f>
        <v>0</v>
      </c>
      <c r="K16" s="595"/>
      <c r="L16" s="598"/>
      <c r="M16" s="599">
        <f>C16*$C$21+E16*$E$21+H16*$H$21+I16*$I$21+J16*$J$21+D16*$D$21+F16*$F$21+G16*$G$21+K16*$K$21+L16*$L$21</f>
        <v>2363.4</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9945</v>
      </c>
      <c r="C19" s="577">
        <f>SUM(C16:C18)</f>
        <v>11700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2363.4</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23098</v>
      </c>
      <c r="C27" s="839">
        <v>1620</v>
      </c>
      <c r="D27" s="656" t="s">
        <v>894</v>
      </c>
      <c r="E27" s="655" t="s">
        <v>895</v>
      </c>
      <c r="F27" s="655" t="s">
        <v>896</v>
      </c>
      <c r="G27" s="655" t="s">
        <v>897</v>
      </c>
      <c r="H27" s="655" t="s">
        <v>898</v>
      </c>
      <c r="I27" s="655" t="s">
        <v>899</v>
      </c>
      <c r="J27" s="838">
        <v>37895</v>
      </c>
      <c r="K27" s="838">
        <v>38384</v>
      </c>
      <c r="L27" s="655" t="s">
        <v>900</v>
      </c>
      <c r="M27" s="655">
        <v>1547</v>
      </c>
      <c r="N27" s="655">
        <v>6961.5</v>
      </c>
      <c r="O27" s="655">
        <v>9945</v>
      </c>
      <c r="P27" s="655">
        <v>19890</v>
      </c>
      <c r="Q27" s="655">
        <v>0</v>
      </c>
      <c r="R27" s="655">
        <v>0</v>
      </c>
      <c r="S27" s="655">
        <v>0</v>
      </c>
      <c r="T27" s="655">
        <v>0</v>
      </c>
      <c r="U27" s="655">
        <v>0</v>
      </c>
      <c r="V27" s="655">
        <v>0</v>
      </c>
      <c r="W27" s="655">
        <v>0</v>
      </c>
      <c r="X27" s="655">
        <v>700</v>
      </c>
      <c r="Y27" s="655" t="s">
        <v>39</v>
      </c>
      <c r="Z27" s="657" t="s">
        <v>392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1547</v>
      </c>
      <c r="N57" s="613">
        <f>SUM(N27:N56)</f>
        <v>6961.5</v>
      </c>
      <c r="O57" s="613">
        <f t="shared" ref="O57:W57" si="2">SUM(O27:O56)</f>
        <v>9945</v>
      </c>
      <c r="P57" s="613">
        <f t="shared" si="2"/>
        <v>19890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1547</v>
      </c>
      <c r="N58" s="613">
        <f t="shared" ref="N58:W58" si="3">SUMIF($Z$27:$Z$56,"industrie",N27:N56)</f>
        <v>6961.5</v>
      </c>
      <c r="O58" s="613">
        <f t="shared" si="3"/>
        <v>9945</v>
      </c>
      <c r="P58" s="613">
        <f t="shared" si="3"/>
        <v>19890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8190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11700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19623.26882653113</v>
      </c>
      <c r="D10" s="702">
        <f ca="1">tertiair!C16</f>
        <v>0</v>
      </c>
      <c r="E10" s="702">
        <f ca="1">tertiair!D16</f>
        <v>17080.285860968994</v>
      </c>
      <c r="F10" s="702">
        <f>tertiair!E16</f>
        <v>284.33849327188994</v>
      </c>
      <c r="G10" s="702">
        <f ca="1">tertiair!F16</f>
        <v>3151.0303921994464</v>
      </c>
      <c r="H10" s="702">
        <f>tertiair!G16</f>
        <v>0</v>
      </c>
      <c r="I10" s="702">
        <f>tertiair!H16</f>
        <v>0</v>
      </c>
      <c r="J10" s="702">
        <f>tertiair!I16</f>
        <v>0</v>
      </c>
      <c r="K10" s="702">
        <f>tertiair!J16</f>
        <v>0</v>
      </c>
      <c r="L10" s="702">
        <f>tertiair!K16</f>
        <v>0</v>
      </c>
      <c r="M10" s="702">
        <f ca="1">tertiair!L16</f>
        <v>0</v>
      </c>
      <c r="N10" s="702">
        <f>tertiair!M16</f>
        <v>0</v>
      </c>
      <c r="O10" s="702">
        <f ca="1">tertiair!N16</f>
        <v>157.86214856530484</v>
      </c>
      <c r="P10" s="702">
        <f>tertiair!O16</f>
        <v>0</v>
      </c>
      <c r="Q10" s="703">
        <f>tertiair!P16</f>
        <v>0</v>
      </c>
      <c r="R10" s="705">
        <f ca="1">SUM(C10:Q10)</f>
        <v>40296.785721536769</v>
      </c>
      <c r="S10" s="67"/>
    </row>
    <row r="11" spans="1:19" s="457" customFormat="1">
      <c r="A11" s="858" t="s">
        <v>226</v>
      </c>
      <c r="B11" s="863"/>
      <c r="C11" s="702">
        <f>huishoudens!B8</f>
        <v>6737.6244276709622</v>
      </c>
      <c r="D11" s="702">
        <f>huishoudens!C8</f>
        <v>0</v>
      </c>
      <c r="E11" s="702">
        <f>huishoudens!D8</f>
        <v>24725.749011876484</v>
      </c>
      <c r="F11" s="702">
        <f>huishoudens!E8</f>
        <v>222.99404706881296</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752.73127374826072</v>
      </c>
      <c r="P11" s="702">
        <f>huishoudens!O8</f>
        <v>3.1266666666666669</v>
      </c>
      <c r="Q11" s="703">
        <f>huishoudens!P8</f>
        <v>0</v>
      </c>
      <c r="R11" s="705">
        <f>SUM(C11:Q11)</f>
        <v>32442.225427031186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36401.72860393735</v>
      </c>
      <c r="D13" s="702">
        <f>industrie!C18</f>
        <v>9945</v>
      </c>
      <c r="E13" s="702">
        <f>industrie!D18</f>
        <v>86949.467098209134</v>
      </c>
      <c r="F13" s="702">
        <f>industrie!E18</f>
        <v>297.57487346716692</v>
      </c>
      <c r="G13" s="702">
        <f>industrie!F18</f>
        <v>8284.3567246960374</v>
      </c>
      <c r="H13" s="702">
        <f>industrie!G18</f>
        <v>0</v>
      </c>
      <c r="I13" s="702">
        <f>industrie!H18</f>
        <v>0</v>
      </c>
      <c r="J13" s="702">
        <f>industrie!I18</f>
        <v>0</v>
      </c>
      <c r="K13" s="702">
        <f>industrie!J18</f>
        <v>173.7093579932409</v>
      </c>
      <c r="L13" s="702">
        <f>industrie!K18</f>
        <v>0</v>
      </c>
      <c r="M13" s="702">
        <f>industrie!L18</f>
        <v>0</v>
      </c>
      <c r="N13" s="702">
        <f>industrie!M18</f>
        <v>0</v>
      </c>
      <c r="O13" s="702">
        <f>industrie!N18</f>
        <v>759.91810331811007</v>
      </c>
      <c r="P13" s="702">
        <f>industrie!O18</f>
        <v>0</v>
      </c>
      <c r="Q13" s="703">
        <f>industrie!P18</f>
        <v>0</v>
      </c>
      <c r="R13" s="705">
        <f>SUM(C13:Q13)</f>
        <v>142811.75476162104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62762.621858139442</v>
      </c>
      <c r="D15" s="707">
        <f t="shared" ref="D15:Q15" ca="1" si="0">SUM(D9:D14)</f>
        <v>9945</v>
      </c>
      <c r="E15" s="707">
        <f t="shared" ca="1" si="0"/>
        <v>128755.50197105462</v>
      </c>
      <c r="F15" s="707">
        <f t="shared" si="0"/>
        <v>804.90741380786983</v>
      </c>
      <c r="G15" s="707">
        <f t="shared" ca="1" si="0"/>
        <v>11435.387116895483</v>
      </c>
      <c r="H15" s="707">
        <f t="shared" si="0"/>
        <v>0</v>
      </c>
      <c r="I15" s="707">
        <f t="shared" si="0"/>
        <v>0</v>
      </c>
      <c r="J15" s="707">
        <f t="shared" si="0"/>
        <v>0</v>
      </c>
      <c r="K15" s="707">
        <f t="shared" si="0"/>
        <v>173.7093579932409</v>
      </c>
      <c r="L15" s="707">
        <f t="shared" si="0"/>
        <v>0</v>
      </c>
      <c r="M15" s="707">
        <f t="shared" ca="1" si="0"/>
        <v>0</v>
      </c>
      <c r="N15" s="707">
        <f t="shared" si="0"/>
        <v>0</v>
      </c>
      <c r="O15" s="707">
        <f t="shared" ca="1" si="0"/>
        <v>1670.5115256316756</v>
      </c>
      <c r="P15" s="707">
        <f t="shared" si="0"/>
        <v>3.1266666666666669</v>
      </c>
      <c r="Q15" s="708">
        <f t="shared" si="0"/>
        <v>0</v>
      </c>
      <c r="R15" s="709">
        <f ca="1">SUM(R9:R14)</f>
        <v>215550.76591018899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1450.7826108972422</v>
      </c>
      <c r="I18" s="702">
        <f>transport!H54</f>
        <v>0</v>
      </c>
      <c r="J18" s="702">
        <f>transport!I54</f>
        <v>0</v>
      </c>
      <c r="K18" s="702">
        <f>transport!J54</f>
        <v>0</v>
      </c>
      <c r="L18" s="702">
        <f>transport!K54</f>
        <v>0</v>
      </c>
      <c r="M18" s="702">
        <f>transport!L54</f>
        <v>0</v>
      </c>
      <c r="N18" s="702">
        <f>transport!M54</f>
        <v>61.840559811492874</v>
      </c>
      <c r="O18" s="702">
        <f>transport!N54</f>
        <v>0</v>
      </c>
      <c r="P18" s="702">
        <f>transport!O54</f>
        <v>0</v>
      </c>
      <c r="Q18" s="703">
        <f>transport!P54</f>
        <v>0</v>
      </c>
      <c r="R18" s="705">
        <f>SUM(C18:Q18)</f>
        <v>1512.623170708735</v>
      </c>
      <c r="S18" s="67"/>
    </row>
    <row r="19" spans="1:19" s="457" customFormat="1" ht="15" thickBot="1">
      <c r="A19" s="858" t="s">
        <v>308</v>
      </c>
      <c r="B19" s="863"/>
      <c r="C19" s="711">
        <f>transport!B14</f>
        <v>0.71501121281073954</v>
      </c>
      <c r="D19" s="711">
        <f>transport!C14</f>
        <v>0</v>
      </c>
      <c r="E19" s="711">
        <f>transport!D14</f>
        <v>3.641162939453094</v>
      </c>
      <c r="F19" s="711">
        <f>transport!E14</f>
        <v>417.84632840004434</v>
      </c>
      <c r="G19" s="711">
        <f>transport!F14</f>
        <v>0</v>
      </c>
      <c r="H19" s="711">
        <f>transport!G14</f>
        <v>59740.997354344901</v>
      </c>
      <c r="I19" s="711">
        <f>transport!H14</f>
        <v>12449.98014351032</v>
      </c>
      <c r="J19" s="711">
        <f>transport!I14</f>
        <v>0</v>
      </c>
      <c r="K19" s="711">
        <f>transport!J14</f>
        <v>0</v>
      </c>
      <c r="L19" s="711">
        <f>transport!K14</f>
        <v>0</v>
      </c>
      <c r="M19" s="711">
        <f>transport!L14</f>
        <v>0</v>
      </c>
      <c r="N19" s="711">
        <f>transport!M14</f>
        <v>3155.7533591030697</v>
      </c>
      <c r="O19" s="711">
        <f>transport!N14</f>
        <v>0</v>
      </c>
      <c r="P19" s="711">
        <f>transport!O14</f>
        <v>0</v>
      </c>
      <c r="Q19" s="712">
        <f>transport!P14</f>
        <v>0</v>
      </c>
      <c r="R19" s="713">
        <f>SUM(C19:Q19)</f>
        <v>75768.9333595106</v>
      </c>
      <c r="S19" s="67"/>
    </row>
    <row r="20" spans="1:19" s="457" customFormat="1" ht="15.75" thickBot="1">
      <c r="A20" s="714" t="s">
        <v>231</v>
      </c>
      <c r="B20" s="866"/>
      <c r="C20" s="861">
        <f>SUM(C17:C19)</f>
        <v>0.71501121281073954</v>
      </c>
      <c r="D20" s="715">
        <f t="shared" ref="D20:R20" si="1">SUM(D17:D19)</f>
        <v>0</v>
      </c>
      <c r="E20" s="715">
        <f t="shared" si="1"/>
        <v>3.641162939453094</v>
      </c>
      <c r="F20" s="715">
        <f t="shared" si="1"/>
        <v>417.84632840004434</v>
      </c>
      <c r="G20" s="715">
        <f t="shared" si="1"/>
        <v>0</v>
      </c>
      <c r="H20" s="715">
        <f t="shared" si="1"/>
        <v>61191.779965242145</v>
      </c>
      <c r="I20" s="715">
        <f t="shared" si="1"/>
        <v>12449.98014351032</v>
      </c>
      <c r="J20" s="715">
        <f t="shared" si="1"/>
        <v>0</v>
      </c>
      <c r="K20" s="715">
        <f t="shared" si="1"/>
        <v>0</v>
      </c>
      <c r="L20" s="715">
        <f t="shared" si="1"/>
        <v>0</v>
      </c>
      <c r="M20" s="715">
        <f t="shared" si="1"/>
        <v>0</v>
      </c>
      <c r="N20" s="715">
        <f t="shared" si="1"/>
        <v>3217.5939189145624</v>
      </c>
      <c r="O20" s="715">
        <f t="shared" si="1"/>
        <v>0</v>
      </c>
      <c r="P20" s="715">
        <f t="shared" si="1"/>
        <v>0</v>
      </c>
      <c r="Q20" s="716">
        <f t="shared" si="1"/>
        <v>0</v>
      </c>
      <c r="R20" s="717">
        <f t="shared" si="1"/>
        <v>77281.556530219328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5.4327787844399997E-2</v>
      </c>
      <c r="D22" s="711">
        <f>+landbouw!C8</f>
        <v>0</v>
      </c>
      <c r="E22" s="711">
        <f>+landbouw!D8</f>
        <v>1172.03367263413</v>
      </c>
      <c r="F22" s="711">
        <f>+landbouw!E8</f>
        <v>5.6893235579299443E-4</v>
      </c>
      <c r="G22" s="711">
        <f>+landbouw!F8</f>
        <v>0.27903616867106296</v>
      </c>
      <c r="H22" s="711">
        <f>+landbouw!G8</f>
        <v>0</v>
      </c>
      <c r="I22" s="711">
        <f>+landbouw!H8</f>
        <v>0</v>
      </c>
      <c r="J22" s="711">
        <f>+landbouw!I8</f>
        <v>0</v>
      </c>
      <c r="K22" s="711">
        <f>+landbouw!J8</f>
        <v>4.851958402774542E-3</v>
      </c>
      <c r="L22" s="711">
        <f>+landbouw!K8</f>
        <v>0</v>
      </c>
      <c r="M22" s="711">
        <f>+landbouw!L8</f>
        <v>0</v>
      </c>
      <c r="N22" s="711">
        <f>+landbouw!M8</f>
        <v>0</v>
      </c>
      <c r="O22" s="711">
        <f>+landbouw!N8</f>
        <v>0</v>
      </c>
      <c r="P22" s="711">
        <f>+landbouw!O8</f>
        <v>0</v>
      </c>
      <c r="Q22" s="712">
        <f>+landbouw!P8</f>
        <v>0</v>
      </c>
      <c r="R22" s="713">
        <f>SUM(C22:Q22)</f>
        <v>1172.3724574814039</v>
      </c>
      <c r="S22" s="67"/>
    </row>
    <row r="23" spans="1:19" s="457" customFormat="1" ht="17.25" thickTop="1" thickBot="1">
      <c r="A23" s="718" t="s">
        <v>116</v>
      </c>
      <c r="B23" s="852"/>
      <c r="C23" s="719">
        <f ca="1">C20+C15+C22</f>
        <v>62763.391197140096</v>
      </c>
      <c r="D23" s="719">
        <f t="shared" ref="D23:Q23" ca="1" si="2">D20+D15+D22</f>
        <v>9945</v>
      </c>
      <c r="E23" s="719">
        <f t="shared" ca="1" si="2"/>
        <v>129931.17680662821</v>
      </c>
      <c r="F23" s="719">
        <f t="shared" si="2"/>
        <v>1222.7543111402699</v>
      </c>
      <c r="G23" s="719">
        <f t="shared" ca="1" si="2"/>
        <v>11435.666153064154</v>
      </c>
      <c r="H23" s="719">
        <f t="shared" si="2"/>
        <v>61191.779965242145</v>
      </c>
      <c r="I23" s="719">
        <f t="shared" si="2"/>
        <v>12449.98014351032</v>
      </c>
      <c r="J23" s="719">
        <f t="shared" si="2"/>
        <v>0</v>
      </c>
      <c r="K23" s="719">
        <f t="shared" si="2"/>
        <v>173.71420995164368</v>
      </c>
      <c r="L23" s="719">
        <f t="shared" si="2"/>
        <v>0</v>
      </c>
      <c r="M23" s="719">
        <f t="shared" ca="1" si="2"/>
        <v>0</v>
      </c>
      <c r="N23" s="719">
        <f t="shared" si="2"/>
        <v>3217.5939189145624</v>
      </c>
      <c r="O23" s="719">
        <f t="shared" ca="1" si="2"/>
        <v>1670.5115256316756</v>
      </c>
      <c r="P23" s="719">
        <f t="shared" si="2"/>
        <v>3.1266666666666669</v>
      </c>
      <c r="Q23" s="720">
        <f t="shared" si="2"/>
        <v>0</v>
      </c>
      <c r="R23" s="721">
        <f ca="1">R20+R15+R22</f>
        <v>294004.69489788968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4362.7395495483061</v>
      </c>
      <c r="D36" s="702">
        <f ca="1">tertiair!C20</f>
        <v>0</v>
      </c>
      <c r="E36" s="702">
        <f ca="1">tertiair!D20</f>
        <v>3450.2177439157372</v>
      </c>
      <c r="F36" s="702">
        <f>tertiair!E20</f>
        <v>64.544837972719023</v>
      </c>
      <c r="G36" s="702">
        <f ca="1">tertiair!F20</f>
        <v>841.32511471725229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8718.8272461540146</v>
      </c>
    </row>
    <row r="37" spans="1:18">
      <c r="A37" s="873" t="s">
        <v>226</v>
      </c>
      <c r="B37" s="880"/>
      <c r="C37" s="702">
        <f ca="1">huishoudens!B12</f>
        <v>1497.9410831319194</v>
      </c>
      <c r="D37" s="702">
        <f ca="1">huishoudens!C12</f>
        <v>0</v>
      </c>
      <c r="E37" s="702">
        <f>huishoudens!D12</f>
        <v>4994.6013003990502</v>
      </c>
      <c r="F37" s="702">
        <f>huishoudens!E12</f>
        <v>50.619648684620543</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6543.1620322155895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8093.0074625286006</v>
      </c>
      <c r="D39" s="702">
        <f ca="1">industrie!C22</f>
        <v>2363.4</v>
      </c>
      <c r="E39" s="702">
        <f>industrie!D22</f>
        <v>17563.792353838246</v>
      </c>
      <c r="F39" s="702">
        <f>industrie!E22</f>
        <v>67.549496277046899</v>
      </c>
      <c r="G39" s="702">
        <f>industrie!F22</f>
        <v>2211.9232454938419</v>
      </c>
      <c r="H39" s="702">
        <f>industrie!G22</f>
        <v>0</v>
      </c>
      <c r="I39" s="702">
        <f>industrie!H22</f>
        <v>0</v>
      </c>
      <c r="J39" s="702">
        <f>industrie!I22</f>
        <v>0</v>
      </c>
      <c r="K39" s="702">
        <f>industrie!J22</f>
        <v>61.493112729607276</v>
      </c>
      <c r="L39" s="702">
        <f>industrie!K22</f>
        <v>0</v>
      </c>
      <c r="M39" s="702">
        <f>industrie!L22</f>
        <v>0</v>
      </c>
      <c r="N39" s="702">
        <f>industrie!M22</f>
        <v>0</v>
      </c>
      <c r="O39" s="702">
        <f>industrie!N22</f>
        <v>0</v>
      </c>
      <c r="P39" s="702">
        <f>industrie!O22</f>
        <v>0</v>
      </c>
      <c r="Q39" s="812">
        <f>industrie!P22</f>
        <v>0</v>
      </c>
      <c r="R39" s="906">
        <f ca="1">SUM(C39:Q39)</f>
        <v>30361.165670867344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13953.688095208825</v>
      </c>
      <c r="D41" s="747">
        <f t="shared" ref="D41:R41" ca="1" si="4">SUM(D35:D40)</f>
        <v>2363.4</v>
      </c>
      <c r="E41" s="747">
        <f t="shared" ca="1" si="4"/>
        <v>26008.611398153032</v>
      </c>
      <c r="F41" s="747">
        <f t="shared" si="4"/>
        <v>182.71398293438648</v>
      </c>
      <c r="G41" s="747">
        <f t="shared" ca="1" si="4"/>
        <v>3053.2483602110942</v>
      </c>
      <c r="H41" s="747">
        <f t="shared" si="4"/>
        <v>0</v>
      </c>
      <c r="I41" s="747">
        <f t="shared" si="4"/>
        <v>0</v>
      </c>
      <c r="J41" s="747">
        <f t="shared" si="4"/>
        <v>0</v>
      </c>
      <c r="K41" s="747">
        <f t="shared" si="4"/>
        <v>61.493112729607276</v>
      </c>
      <c r="L41" s="747">
        <f t="shared" si="4"/>
        <v>0</v>
      </c>
      <c r="M41" s="747">
        <f t="shared" ca="1" si="4"/>
        <v>0</v>
      </c>
      <c r="N41" s="747">
        <f t="shared" si="4"/>
        <v>0</v>
      </c>
      <c r="O41" s="747">
        <f t="shared" ca="1" si="4"/>
        <v>0</v>
      </c>
      <c r="P41" s="747">
        <f t="shared" si="4"/>
        <v>0</v>
      </c>
      <c r="Q41" s="748">
        <f t="shared" si="4"/>
        <v>0</v>
      </c>
      <c r="R41" s="749">
        <f t="shared" ca="1" si="4"/>
        <v>45623.154949236952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387.35895710956368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387.35895710956368</v>
      </c>
    </row>
    <row r="45" spans="1:18" ht="15" thickBot="1">
      <c r="A45" s="876" t="s">
        <v>308</v>
      </c>
      <c r="B45" s="886"/>
      <c r="C45" s="711">
        <f ca="1">transport!B18</f>
        <v>0.15896473335178485</v>
      </c>
      <c r="D45" s="711">
        <f>transport!C18</f>
        <v>0</v>
      </c>
      <c r="E45" s="711">
        <f>transport!D18</f>
        <v>0.73551491376952505</v>
      </c>
      <c r="F45" s="711">
        <f>transport!E18</f>
        <v>94.851116546810076</v>
      </c>
      <c r="G45" s="711">
        <f>transport!F18</f>
        <v>0</v>
      </c>
      <c r="H45" s="711">
        <f>transport!G18</f>
        <v>15950.84629361009</v>
      </c>
      <c r="I45" s="711">
        <f>transport!H18</f>
        <v>3100.0450557340696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19146.636945538092</v>
      </c>
    </row>
    <row r="46" spans="1:18" ht="15.75" thickBot="1">
      <c r="A46" s="874" t="s">
        <v>231</v>
      </c>
      <c r="B46" s="887"/>
      <c r="C46" s="747">
        <f t="shared" ref="C46:R46" ca="1" si="5">SUM(C43:C45)</f>
        <v>0.15896473335178485</v>
      </c>
      <c r="D46" s="747">
        <f t="shared" ca="1" si="5"/>
        <v>0</v>
      </c>
      <c r="E46" s="747">
        <f t="shared" si="5"/>
        <v>0.73551491376952505</v>
      </c>
      <c r="F46" s="747">
        <f t="shared" si="5"/>
        <v>94.851116546810076</v>
      </c>
      <c r="G46" s="747">
        <f t="shared" si="5"/>
        <v>0</v>
      </c>
      <c r="H46" s="747">
        <f t="shared" si="5"/>
        <v>16338.205250719653</v>
      </c>
      <c r="I46" s="747">
        <f t="shared" si="5"/>
        <v>3100.0450557340696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19533.995902647657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1.2078415210200838E-2</v>
      </c>
      <c r="D48" s="702">
        <f ca="1">+landbouw!C12</f>
        <v>0</v>
      </c>
      <c r="E48" s="702">
        <f>+landbouw!D12</f>
        <v>236.75080187209426</v>
      </c>
      <c r="F48" s="702">
        <f>+landbouw!E12</f>
        <v>1.2914764476500975E-4</v>
      </c>
      <c r="G48" s="702">
        <f>+landbouw!F12</f>
        <v>7.4502657035173808E-2</v>
      </c>
      <c r="H48" s="702">
        <f>+landbouw!G12</f>
        <v>0</v>
      </c>
      <c r="I48" s="702">
        <f>+landbouw!H12</f>
        <v>0</v>
      </c>
      <c r="J48" s="702">
        <f>+landbouw!I12</f>
        <v>0</v>
      </c>
      <c r="K48" s="702">
        <f>+landbouw!J12</f>
        <v>1.7175932745821878E-3</v>
      </c>
      <c r="L48" s="702">
        <f>+landbouw!K12</f>
        <v>0</v>
      </c>
      <c r="M48" s="702">
        <f>+landbouw!L12</f>
        <v>0</v>
      </c>
      <c r="N48" s="702">
        <f>+landbouw!M12</f>
        <v>0</v>
      </c>
      <c r="O48" s="702">
        <f>+landbouw!N12</f>
        <v>0</v>
      </c>
      <c r="P48" s="702">
        <f>+landbouw!O12</f>
        <v>0</v>
      </c>
      <c r="Q48" s="703">
        <f>+landbouw!P12</f>
        <v>0</v>
      </c>
      <c r="R48" s="745">
        <f ca="1">SUM(C48:Q48)</f>
        <v>236.83922968525897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13953.859138357386</v>
      </c>
      <c r="D53" s="757">
        <f t="shared" ref="D53:Q53" ca="1" si="6">D41+D46+D48</f>
        <v>2363.4</v>
      </c>
      <c r="E53" s="757">
        <f t="shared" ca="1" si="6"/>
        <v>26246.097714938896</v>
      </c>
      <c r="F53" s="757">
        <f t="shared" si="6"/>
        <v>277.56522862884134</v>
      </c>
      <c r="G53" s="757">
        <f t="shared" ca="1" si="6"/>
        <v>3053.3228628681295</v>
      </c>
      <c r="H53" s="757">
        <f t="shared" si="6"/>
        <v>16338.205250719653</v>
      </c>
      <c r="I53" s="757">
        <f t="shared" si="6"/>
        <v>3100.0450557340696</v>
      </c>
      <c r="J53" s="757">
        <f t="shared" si="6"/>
        <v>0</v>
      </c>
      <c r="K53" s="757">
        <f t="shared" si="6"/>
        <v>61.49483032288186</v>
      </c>
      <c r="L53" s="757">
        <f t="shared" si="6"/>
        <v>0</v>
      </c>
      <c r="M53" s="757">
        <f t="shared" ca="1" si="6"/>
        <v>0</v>
      </c>
      <c r="N53" s="757">
        <f t="shared" si="6"/>
        <v>0</v>
      </c>
      <c r="O53" s="757">
        <f t="shared" ca="1" si="6"/>
        <v>0</v>
      </c>
      <c r="P53" s="757">
        <f>P41+P46+P48</f>
        <v>0</v>
      </c>
      <c r="Q53" s="758">
        <f t="shared" si="6"/>
        <v>0</v>
      </c>
      <c r="R53" s="759">
        <f ca="1">R41+R46+R48</f>
        <v>65393.990081569871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0.22232481184020556</v>
      </c>
      <c r="D55" s="823">
        <f t="shared" ca="1" si="7"/>
        <v>0.23764705882352943</v>
      </c>
      <c r="E55" s="823">
        <f t="shared" ca="1" si="7"/>
        <v>0.20199999999999999</v>
      </c>
      <c r="F55" s="823">
        <f t="shared" si="7"/>
        <v>0.22700000000000006</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148.13943986684399</v>
      </c>
      <c r="C66" s="779">
        <f>'lokale energieproductie'!B6</f>
        <v>148.13943986684399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6961.5</v>
      </c>
      <c r="C67" s="778">
        <f>B67*IFERROR(SUM(J67:L67)/SUM(D67:M67),0)</f>
        <v>0</v>
      </c>
      <c r="D67" s="810">
        <f>'lokale energieproductie'!C7</f>
        <v>8190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1654.38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7109.6394398668435</v>
      </c>
      <c r="C69" s="787">
        <f>SUM(C64:C68)</f>
        <v>148.13943986684399</v>
      </c>
      <c r="D69" s="788">
        <f t="shared" ref="D69:M69" si="8">SUM(D67:D68)</f>
        <v>8190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1654.38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9945</v>
      </c>
      <c r="C78" s="801">
        <f>B78*IFERROR(SUM(I78:L78)/SUM(D78:M78),0)</f>
        <v>0</v>
      </c>
      <c r="D78" s="816">
        <f>'lokale energieproductie'!C16</f>
        <v>11700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2363.4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9945</v>
      </c>
      <c r="C81" s="787">
        <f>SUM(C78:C80)</f>
        <v>0</v>
      </c>
      <c r="D81" s="787">
        <f t="shared" ref="D81:P81" si="9">SUM(D78:D80)</f>
        <v>11700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2363.4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6737.6244276709622</v>
      </c>
      <c r="C4" s="461">
        <f>huishoudens!C8</f>
        <v>0</v>
      </c>
      <c r="D4" s="461">
        <f>huishoudens!D8</f>
        <v>24725.749011876484</v>
      </c>
      <c r="E4" s="461">
        <f>huishoudens!E8</f>
        <v>222.99404706881296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752.73127374826072</v>
      </c>
      <c r="O4" s="461">
        <f>huishoudens!O8</f>
        <v>3.1266666666666669</v>
      </c>
      <c r="P4" s="462">
        <f>huishoudens!P8</f>
        <v>0</v>
      </c>
      <c r="Q4" s="463">
        <f>SUM(B4:P4)</f>
        <v>32442.225427031186</v>
      </c>
    </row>
    <row r="5" spans="1:17">
      <c r="A5" s="460" t="s">
        <v>156</v>
      </c>
      <c r="B5" s="461">
        <f ca="1">tertiair!B16</f>
        <v>19287.329826531131</v>
      </c>
      <c r="C5" s="461">
        <f ca="1">tertiair!C16</f>
        <v>0</v>
      </c>
      <c r="D5" s="461">
        <f ca="1">tertiair!D16</f>
        <v>17080.285860968994</v>
      </c>
      <c r="E5" s="461">
        <f>tertiair!E16</f>
        <v>284.33849327188994</v>
      </c>
      <c r="F5" s="461">
        <f ca="1">tertiair!F16</f>
        <v>3151.0303921994464</v>
      </c>
      <c r="G5" s="461">
        <f>tertiair!G16</f>
        <v>0</v>
      </c>
      <c r="H5" s="461">
        <f>tertiair!H16</f>
        <v>0</v>
      </c>
      <c r="I5" s="461">
        <f>tertiair!I16</f>
        <v>0</v>
      </c>
      <c r="J5" s="461">
        <f>tertiair!J16</f>
        <v>0</v>
      </c>
      <c r="K5" s="461">
        <f>tertiair!K16</f>
        <v>0</v>
      </c>
      <c r="L5" s="461">
        <f ca="1">tertiair!L16</f>
        <v>0</v>
      </c>
      <c r="M5" s="461">
        <f>tertiair!M16</f>
        <v>0</v>
      </c>
      <c r="N5" s="461">
        <f ca="1">tertiair!N16</f>
        <v>157.86214856530484</v>
      </c>
      <c r="O5" s="461">
        <f>tertiair!O16</f>
        <v>0</v>
      </c>
      <c r="P5" s="462">
        <f>tertiair!P16</f>
        <v>0</v>
      </c>
      <c r="Q5" s="460">
        <f t="shared" ref="Q5:Q13" ca="1" si="0">SUM(B5:P5)</f>
        <v>39960.846721536771</v>
      </c>
    </row>
    <row r="6" spans="1:17">
      <c r="A6" s="460" t="s">
        <v>195</v>
      </c>
      <c r="B6" s="461">
        <f>'openbare verlichting'!B8</f>
        <v>335.93900000000002</v>
      </c>
      <c r="C6" s="461"/>
      <c r="D6" s="461"/>
      <c r="E6" s="461"/>
      <c r="F6" s="461"/>
      <c r="G6" s="461"/>
      <c r="H6" s="461"/>
      <c r="I6" s="461"/>
      <c r="J6" s="461"/>
      <c r="K6" s="461"/>
      <c r="L6" s="461"/>
      <c r="M6" s="461"/>
      <c r="N6" s="461"/>
      <c r="O6" s="461"/>
      <c r="P6" s="462"/>
      <c r="Q6" s="460">
        <f t="shared" si="0"/>
        <v>335.93900000000002</v>
      </c>
    </row>
    <row r="7" spans="1:17">
      <c r="A7" s="460" t="s">
        <v>112</v>
      </c>
      <c r="B7" s="461">
        <f>landbouw!B8</f>
        <v>5.4327787844399997E-2</v>
      </c>
      <c r="C7" s="461">
        <f>landbouw!C8</f>
        <v>0</v>
      </c>
      <c r="D7" s="461">
        <f>landbouw!D8</f>
        <v>1172.03367263413</v>
      </c>
      <c r="E7" s="461">
        <f>landbouw!E8</f>
        <v>5.6893235579299443E-4</v>
      </c>
      <c r="F7" s="461">
        <f>landbouw!F8</f>
        <v>0.27903616867106296</v>
      </c>
      <c r="G7" s="461">
        <f>landbouw!G8</f>
        <v>0</v>
      </c>
      <c r="H7" s="461">
        <f>landbouw!H8</f>
        <v>0</v>
      </c>
      <c r="I7" s="461">
        <f>landbouw!I8</f>
        <v>0</v>
      </c>
      <c r="J7" s="461">
        <f>landbouw!J8</f>
        <v>4.851958402774542E-3</v>
      </c>
      <c r="K7" s="461">
        <f>landbouw!K8</f>
        <v>0</v>
      </c>
      <c r="L7" s="461">
        <f>landbouw!L8</f>
        <v>0</v>
      </c>
      <c r="M7" s="461">
        <f>landbouw!M8</f>
        <v>0</v>
      </c>
      <c r="N7" s="461">
        <f>landbouw!N8</f>
        <v>0</v>
      </c>
      <c r="O7" s="461">
        <f>landbouw!O8</f>
        <v>0</v>
      </c>
      <c r="P7" s="462">
        <f>landbouw!P8</f>
        <v>0</v>
      </c>
      <c r="Q7" s="460">
        <f t="shared" si="0"/>
        <v>1172.3724574814039</v>
      </c>
    </row>
    <row r="8" spans="1:17">
      <c r="A8" s="460" t="s">
        <v>656</v>
      </c>
      <c r="B8" s="461">
        <f>industrie!B18</f>
        <v>36401.72860393735</v>
      </c>
      <c r="C8" s="461">
        <f>industrie!C18</f>
        <v>9945</v>
      </c>
      <c r="D8" s="461">
        <f>industrie!D18</f>
        <v>86949.467098209134</v>
      </c>
      <c r="E8" s="461">
        <f>industrie!E18</f>
        <v>297.57487346716692</v>
      </c>
      <c r="F8" s="461">
        <f>industrie!F18</f>
        <v>8284.3567246960374</v>
      </c>
      <c r="G8" s="461">
        <f>industrie!G18</f>
        <v>0</v>
      </c>
      <c r="H8" s="461">
        <f>industrie!H18</f>
        <v>0</v>
      </c>
      <c r="I8" s="461">
        <f>industrie!I18</f>
        <v>0</v>
      </c>
      <c r="J8" s="461">
        <f>industrie!J18</f>
        <v>173.7093579932409</v>
      </c>
      <c r="K8" s="461">
        <f>industrie!K18</f>
        <v>0</v>
      </c>
      <c r="L8" s="461">
        <f>industrie!L18</f>
        <v>0</v>
      </c>
      <c r="M8" s="461">
        <f>industrie!M18</f>
        <v>0</v>
      </c>
      <c r="N8" s="461">
        <f>industrie!N18</f>
        <v>759.91810331811007</v>
      </c>
      <c r="O8" s="461">
        <f>industrie!O18</f>
        <v>0</v>
      </c>
      <c r="P8" s="462">
        <f>industrie!P18</f>
        <v>0</v>
      </c>
      <c r="Q8" s="460">
        <f t="shared" si="0"/>
        <v>142811.75476162104</v>
      </c>
    </row>
    <row r="9" spans="1:17" s="466" customFormat="1">
      <c r="A9" s="464" t="s">
        <v>574</v>
      </c>
      <c r="B9" s="465">
        <f>transport!B14</f>
        <v>0.71501121281073954</v>
      </c>
      <c r="C9" s="465">
        <f>transport!C14</f>
        <v>0</v>
      </c>
      <c r="D9" s="465">
        <f>transport!D14</f>
        <v>3.641162939453094</v>
      </c>
      <c r="E9" s="465">
        <f>transport!E14</f>
        <v>417.84632840004434</v>
      </c>
      <c r="F9" s="465">
        <f>transport!F14</f>
        <v>0</v>
      </c>
      <c r="G9" s="465">
        <f>transport!G14</f>
        <v>59740.997354344901</v>
      </c>
      <c r="H9" s="465">
        <f>transport!H14</f>
        <v>12449.98014351032</v>
      </c>
      <c r="I9" s="465">
        <f>transport!I14</f>
        <v>0</v>
      </c>
      <c r="J9" s="465">
        <f>transport!J14</f>
        <v>0</v>
      </c>
      <c r="K9" s="465">
        <f>transport!K14</f>
        <v>0</v>
      </c>
      <c r="L9" s="465">
        <f>transport!L14</f>
        <v>0</v>
      </c>
      <c r="M9" s="465">
        <f>transport!M14</f>
        <v>3155.7533591030697</v>
      </c>
      <c r="N9" s="465">
        <f>transport!N14</f>
        <v>0</v>
      </c>
      <c r="O9" s="465">
        <f>transport!O14</f>
        <v>0</v>
      </c>
      <c r="P9" s="465">
        <f>transport!P14</f>
        <v>0</v>
      </c>
      <c r="Q9" s="464">
        <f>SUM(B9:P9)</f>
        <v>75768.9333595106</v>
      </c>
    </row>
    <row r="10" spans="1:17">
      <c r="A10" s="460" t="s">
        <v>564</v>
      </c>
      <c r="B10" s="461">
        <f>transport!B54</f>
        <v>0</v>
      </c>
      <c r="C10" s="461">
        <f>transport!C54</f>
        <v>0</v>
      </c>
      <c r="D10" s="461">
        <f>transport!D54</f>
        <v>0</v>
      </c>
      <c r="E10" s="461">
        <f>transport!E54</f>
        <v>0</v>
      </c>
      <c r="F10" s="461">
        <f>transport!F54</f>
        <v>0</v>
      </c>
      <c r="G10" s="461">
        <f>transport!G54</f>
        <v>1450.7826108972422</v>
      </c>
      <c r="H10" s="461">
        <f>transport!H54</f>
        <v>0</v>
      </c>
      <c r="I10" s="461">
        <f>transport!I54</f>
        <v>0</v>
      </c>
      <c r="J10" s="461">
        <f>transport!J54</f>
        <v>0</v>
      </c>
      <c r="K10" s="461">
        <f>transport!K54</f>
        <v>0</v>
      </c>
      <c r="L10" s="461">
        <f>transport!L54</f>
        <v>0</v>
      </c>
      <c r="M10" s="461">
        <f>transport!M54</f>
        <v>61.840559811492874</v>
      </c>
      <c r="N10" s="461">
        <f>transport!N54</f>
        <v>0</v>
      </c>
      <c r="O10" s="461">
        <f>transport!O54</f>
        <v>0</v>
      </c>
      <c r="P10" s="462">
        <f>transport!P54</f>
        <v>0</v>
      </c>
      <c r="Q10" s="460">
        <f t="shared" si="0"/>
        <v>1512.623170708735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62763.391197140096</v>
      </c>
      <c r="C14" s="471">
        <f t="shared" ref="C14:Q14" ca="1" si="1">SUM(C4:C13)</f>
        <v>9945</v>
      </c>
      <c r="D14" s="471">
        <f t="shared" ca="1" si="1"/>
        <v>129931.17680662819</v>
      </c>
      <c r="E14" s="471">
        <f t="shared" si="1"/>
        <v>1222.7543111402699</v>
      </c>
      <c r="F14" s="471">
        <f t="shared" ca="1" si="1"/>
        <v>11435.666153064154</v>
      </c>
      <c r="G14" s="471">
        <f t="shared" si="1"/>
        <v>61191.779965242145</v>
      </c>
      <c r="H14" s="471">
        <f t="shared" si="1"/>
        <v>12449.98014351032</v>
      </c>
      <c r="I14" s="471">
        <f t="shared" si="1"/>
        <v>0</v>
      </c>
      <c r="J14" s="471">
        <f t="shared" si="1"/>
        <v>173.71420995164368</v>
      </c>
      <c r="K14" s="471">
        <f t="shared" si="1"/>
        <v>0</v>
      </c>
      <c r="L14" s="471">
        <f t="shared" ca="1" si="1"/>
        <v>0</v>
      </c>
      <c r="M14" s="471">
        <f t="shared" si="1"/>
        <v>3217.5939189145624</v>
      </c>
      <c r="N14" s="471">
        <f t="shared" ca="1" si="1"/>
        <v>1670.5115256316756</v>
      </c>
      <c r="O14" s="471">
        <f t="shared" si="1"/>
        <v>3.1266666666666669</v>
      </c>
      <c r="P14" s="472">
        <f t="shared" si="1"/>
        <v>0</v>
      </c>
      <c r="Q14" s="472">
        <f t="shared" ca="1" si="1"/>
        <v>294004.69489788968</v>
      </c>
    </row>
    <row r="16" spans="1:17">
      <c r="A16" s="474" t="s">
        <v>569</v>
      </c>
      <c r="B16" s="828">
        <f ca="1">huishoudens!B10</f>
        <v>0.22232481184020558</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1497.9410831319194</v>
      </c>
      <c r="C21" s="461">
        <f t="shared" ref="C21:C30" ca="1" si="3">C4*$C$16</f>
        <v>0</v>
      </c>
      <c r="D21" s="461">
        <f t="shared" ref="D21:D30" si="4">D4*$D$16</f>
        <v>4994.6013003990502</v>
      </c>
      <c r="E21" s="461">
        <f t="shared" ref="E21:E30" si="5">E4*$E$16</f>
        <v>50.619648684620543</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6543.1620322155895</v>
      </c>
    </row>
    <row r="22" spans="1:17">
      <c r="A22" s="460" t="s">
        <v>156</v>
      </c>
      <c r="B22" s="461">
        <f t="shared" ca="1" si="2"/>
        <v>4288.051974583519</v>
      </c>
      <c r="C22" s="461">
        <f t="shared" ca="1" si="3"/>
        <v>0</v>
      </c>
      <c r="D22" s="461">
        <f t="shared" ca="1" si="4"/>
        <v>3450.2177439157372</v>
      </c>
      <c r="E22" s="461">
        <f t="shared" si="5"/>
        <v>64.544837972719023</v>
      </c>
      <c r="F22" s="461">
        <f t="shared" ca="1" si="6"/>
        <v>841.32511471725229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8644.1396711892266</v>
      </c>
    </row>
    <row r="23" spans="1:17">
      <c r="A23" s="460" t="s">
        <v>195</v>
      </c>
      <c r="B23" s="461">
        <f t="shared" ca="1" si="2"/>
        <v>74.687574964786833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74.687574964786833</v>
      </c>
    </row>
    <row r="24" spans="1:17">
      <c r="A24" s="460" t="s">
        <v>112</v>
      </c>
      <c r="B24" s="461">
        <f t="shared" ca="1" si="2"/>
        <v>1.2078415210200838E-2</v>
      </c>
      <c r="C24" s="461">
        <f t="shared" ca="1" si="3"/>
        <v>0</v>
      </c>
      <c r="D24" s="461">
        <f t="shared" si="4"/>
        <v>236.75080187209426</v>
      </c>
      <c r="E24" s="461">
        <f t="shared" si="5"/>
        <v>1.2914764476500975E-4</v>
      </c>
      <c r="F24" s="461">
        <f t="shared" si="6"/>
        <v>7.4502657035173808E-2</v>
      </c>
      <c r="G24" s="461">
        <f t="shared" si="7"/>
        <v>0</v>
      </c>
      <c r="H24" s="461">
        <f t="shared" si="8"/>
        <v>0</v>
      </c>
      <c r="I24" s="461">
        <f t="shared" si="9"/>
        <v>0</v>
      </c>
      <c r="J24" s="461">
        <f t="shared" si="10"/>
        <v>1.7175932745821878E-3</v>
      </c>
      <c r="K24" s="461">
        <f t="shared" si="11"/>
        <v>0</v>
      </c>
      <c r="L24" s="461">
        <f t="shared" si="12"/>
        <v>0</v>
      </c>
      <c r="M24" s="461">
        <f t="shared" si="13"/>
        <v>0</v>
      </c>
      <c r="N24" s="461">
        <f t="shared" si="14"/>
        <v>0</v>
      </c>
      <c r="O24" s="461">
        <f t="shared" si="15"/>
        <v>0</v>
      </c>
      <c r="P24" s="462">
        <f t="shared" si="16"/>
        <v>0</v>
      </c>
      <c r="Q24" s="460">
        <f t="shared" ca="1" si="17"/>
        <v>236.83922968525897</v>
      </c>
    </row>
    <row r="25" spans="1:17">
      <c r="A25" s="460" t="s">
        <v>656</v>
      </c>
      <c r="B25" s="461">
        <f t="shared" ca="1" si="2"/>
        <v>8093.0074625286006</v>
      </c>
      <c r="C25" s="461">
        <f t="shared" ca="1" si="3"/>
        <v>2363.4</v>
      </c>
      <c r="D25" s="461">
        <f t="shared" si="4"/>
        <v>17563.792353838246</v>
      </c>
      <c r="E25" s="461">
        <f t="shared" si="5"/>
        <v>67.549496277046899</v>
      </c>
      <c r="F25" s="461">
        <f t="shared" si="6"/>
        <v>2211.9232454938419</v>
      </c>
      <c r="G25" s="461">
        <f t="shared" si="7"/>
        <v>0</v>
      </c>
      <c r="H25" s="461">
        <f t="shared" si="8"/>
        <v>0</v>
      </c>
      <c r="I25" s="461">
        <f t="shared" si="9"/>
        <v>0</v>
      </c>
      <c r="J25" s="461">
        <f t="shared" si="10"/>
        <v>61.493112729607276</v>
      </c>
      <c r="K25" s="461">
        <f t="shared" si="11"/>
        <v>0</v>
      </c>
      <c r="L25" s="461">
        <f t="shared" si="12"/>
        <v>0</v>
      </c>
      <c r="M25" s="461">
        <f t="shared" si="13"/>
        <v>0</v>
      </c>
      <c r="N25" s="461">
        <f t="shared" si="14"/>
        <v>0</v>
      </c>
      <c r="O25" s="461">
        <f t="shared" si="15"/>
        <v>0</v>
      </c>
      <c r="P25" s="462">
        <f t="shared" si="16"/>
        <v>0</v>
      </c>
      <c r="Q25" s="460">
        <f t="shared" ca="1" si="17"/>
        <v>30361.165670867344</v>
      </c>
    </row>
    <row r="26" spans="1:17" s="466" customFormat="1">
      <c r="A26" s="464" t="s">
        <v>574</v>
      </c>
      <c r="B26" s="822">
        <f t="shared" ca="1" si="2"/>
        <v>0.15896473335178485</v>
      </c>
      <c r="C26" s="465">
        <f t="shared" ca="1" si="3"/>
        <v>0</v>
      </c>
      <c r="D26" s="465">
        <f t="shared" si="4"/>
        <v>0.73551491376952505</v>
      </c>
      <c r="E26" s="465">
        <f t="shared" si="5"/>
        <v>94.851116546810076</v>
      </c>
      <c r="F26" s="465">
        <f t="shared" si="6"/>
        <v>0</v>
      </c>
      <c r="G26" s="465">
        <f t="shared" si="7"/>
        <v>15950.84629361009</v>
      </c>
      <c r="H26" s="465">
        <f t="shared" si="8"/>
        <v>3100.0450557340696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19146.636945538092</v>
      </c>
    </row>
    <row r="27" spans="1:17">
      <c r="A27" s="460" t="s">
        <v>564</v>
      </c>
      <c r="B27" s="461">
        <f t="shared" ca="1" si="2"/>
        <v>0</v>
      </c>
      <c r="C27" s="461">
        <f t="shared" ca="1" si="3"/>
        <v>0</v>
      </c>
      <c r="D27" s="461">
        <f t="shared" si="4"/>
        <v>0</v>
      </c>
      <c r="E27" s="461">
        <f t="shared" si="5"/>
        <v>0</v>
      </c>
      <c r="F27" s="461">
        <f t="shared" si="6"/>
        <v>0</v>
      </c>
      <c r="G27" s="461">
        <f t="shared" si="7"/>
        <v>387.35895710956368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387.35895710956368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13953.859138357388</v>
      </c>
      <c r="C31" s="471">
        <f t="shared" ca="1" si="18"/>
        <v>2363.4</v>
      </c>
      <c r="D31" s="471">
        <f t="shared" ca="1" si="18"/>
        <v>26246.097714938896</v>
      </c>
      <c r="E31" s="471">
        <f t="shared" si="18"/>
        <v>277.56522862884134</v>
      </c>
      <c r="F31" s="471">
        <f t="shared" ca="1" si="18"/>
        <v>3053.3228628681295</v>
      </c>
      <c r="G31" s="471">
        <f t="shared" si="18"/>
        <v>16338.205250719653</v>
      </c>
      <c r="H31" s="471">
        <f t="shared" si="18"/>
        <v>3100.0450557340696</v>
      </c>
      <c r="I31" s="471">
        <f t="shared" si="18"/>
        <v>0</v>
      </c>
      <c r="J31" s="471">
        <f t="shared" si="18"/>
        <v>61.49483032288186</v>
      </c>
      <c r="K31" s="471">
        <f t="shared" si="18"/>
        <v>0</v>
      </c>
      <c r="L31" s="471">
        <f t="shared" ca="1" si="18"/>
        <v>0</v>
      </c>
      <c r="M31" s="471">
        <f t="shared" si="18"/>
        <v>0</v>
      </c>
      <c r="N31" s="471">
        <f t="shared" ca="1" si="18"/>
        <v>0</v>
      </c>
      <c r="O31" s="471">
        <f t="shared" si="18"/>
        <v>0</v>
      </c>
      <c r="P31" s="472">
        <f t="shared" si="18"/>
        <v>0</v>
      </c>
      <c r="Q31" s="472">
        <f t="shared" ca="1" si="18"/>
        <v>65393.990081569864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0.22232481184020558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0.22232481184020558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0.22232481184020558</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2018-06-27T09:00:24Z</dcterms:modified>
</cp:coreProperties>
</file>