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R8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M79" i="14"/>
  <c r="K79"/>
  <c r="E79"/>
  <c r="B79"/>
  <c r="M78"/>
  <c r="L78"/>
  <c r="H78"/>
  <c r="G78"/>
  <c r="E78"/>
  <c r="J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O80" i="14"/>
  <c r="F13" i="15"/>
  <c r="D6" i="17"/>
  <c r="L68" i="14"/>
  <c r="J8" i="18"/>
  <c r="H68" i="14"/>
  <c r="D8" i="17"/>
  <c r="E22" i="14" s="1"/>
  <c r="C97" i="18"/>
  <c r="I100" s="1"/>
  <c r="H7" s="1"/>
  <c r="I67" i="14" s="1"/>
  <c r="F16" i="16"/>
  <c r="D13" i="15"/>
  <c r="D12" i="22"/>
  <c r="E17" i="14"/>
  <c r="D13" i="48"/>
  <c r="D30" s="1"/>
  <c r="D31" i="20"/>
  <c r="E43" i="14" s="1"/>
  <c r="I101" i="18"/>
  <c r="H16" s="1"/>
  <c r="I78" i="14" s="1"/>
  <c r="I81"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B81" i="14"/>
  <c r="F100" i="18"/>
  <c r="E31" i="20"/>
  <c r="F43" i="14" s="1"/>
  <c r="H14" i="22"/>
  <c r="F8" i="17"/>
  <c r="G22" i="14" s="1"/>
  <c r="B100" i="18"/>
  <c r="C7" s="1"/>
  <c r="D67" i="14" s="1"/>
  <c r="E9"/>
  <c r="J9"/>
  <c r="J15" s="1"/>
  <c r="N9"/>
  <c r="N15" s="1"/>
  <c r="I11" i="48"/>
  <c r="M1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H69"/>
  <c r="P20"/>
  <c r="K20"/>
  <c r="G20"/>
  <c r="L69"/>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L30"/>
  <c r="P30"/>
  <c r="G22"/>
  <c r="E23"/>
  <c r="I23"/>
  <c r="O24"/>
  <c r="I25"/>
  <c r="P11" i="14"/>
  <c r="O12" i="13"/>
  <c r="P37" i="14" s="1"/>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N8" i="17" l="1"/>
  <c r="N5"/>
  <c r="H19" i="18"/>
  <c r="C9"/>
  <c r="H9"/>
  <c r="L21" i="48"/>
  <c r="D7"/>
  <c r="D24" s="1"/>
  <c r="M28"/>
  <c r="C100" i="18"/>
  <c r="I16"/>
  <c r="L8" i="17"/>
  <c r="L7" i="48" s="1"/>
  <c r="L24" s="1"/>
  <c r="L5" i="17"/>
  <c r="B35" i="13"/>
  <c r="B47" s="1"/>
  <c r="J12" i="17"/>
  <c r="K48" i="14" s="1"/>
  <c r="E19" i="18"/>
  <c r="F81" i="14"/>
  <c r="D16" i="15"/>
  <c r="D12" i="17"/>
  <c r="E48" i="14" s="1"/>
  <c r="D100" i="18"/>
  <c r="G100"/>
  <c r="G31" i="20"/>
  <c r="H43" i="14" s="1"/>
  <c r="E100" i="18"/>
  <c r="E7" s="1"/>
  <c r="H100"/>
  <c r="J7" s="1"/>
  <c r="O78" i="14"/>
  <c r="L12" i="17"/>
  <c r="M48" i="14" s="1"/>
  <c r="D81"/>
  <c r="O79"/>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69" i="14"/>
  <c r="D8" i="48"/>
  <c r="D25" s="1"/>
  <c r="D18" i="16"/>
  <c r="D22" s="1"/>
  <c r="E39" i="14" s="1"/>
  <c r="M22"/>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F67" i="14" l="1"/>
  <c r="E9" i="18"/>
  <c r="O22" i="14"/>
  <c r="R22" s="1"/>
  <c r="N12" i="17"/>
  <c r="O48" i="14" s="1"/>
  <c r="N7" i="48"/>
  <c r="N24" s="1"/>
  <c r="J78" i="14"/>
  <c r="I19" i="18"/>
  <c r="C14" i="48"/>
  <c r="E19" i="14"/>
  <c r="E20" s="1"/>
  <c r="O81"/>
  <c r="B17" i="6" s="1"/>
  <c r="E16" i="15"/>
  <c r="E20" s="1"/>
  <c r="F36" i="14" s="1"/>
  <c r="K67"/>
  <c r="K69" s="1"/>
  <c r="J9" i="18"/>
  <c r="J67" i="14"/>
  <c r="I9" i="18"/>
  <c r="M7"/>
  <c r="M9" s="1"/>
  <c r="K10" i="14"/>
  <c r="J16" i="15"/>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M9" i="48" l="1"/>
  <c r="M14" s="1"/>
  <c r="N19" i="14"/>
  <c r="N20" s="1"/>
  <c r="N23" s="1"/>
  <c r="F69"/>
  <c r="O67"/>
  <c r="J81"/>
  <c r="C78"/>
  <c r="C81" s="1"/>
  <c r="B22" i="6"/>
  <c r="P55" i="14"/>
  <c r="O31" i="48"/>
  <c r="J18" i="16"/>
  <c r="J8" i="48" s="1"/>
  <c r="J25" s="1"/>
  <c r="N18" i="16"/>
  <c r="N8" i="48" s="1"/>
  <c r="E18" i="16"/>
  <c r="E22" s="1"/>
  <c r="F39" i="14" s="1"/>
  <c r="F41" s="1"/>
  <c r="F53" s="1"/>
  <c r="O14" i="48"/>
  <c r="F18" i="16"/>
  <c r="G13" i="14" s="1"/>
  <c r="G15" s="1"/>
  <c r="G23" s="1"/>
  <c r="J69"/>
  <c r="C67"/>
  <c r="C69" s="1"/>
  <c r="B14" i="48"/>
  <c r="H46" i="14"/>
  <c r="H53" s="1"/>
  <c r="G26" i="48"/>
  <c r="G14"/>
  <c r="G27"/>
  <c r="Q10"/>
  <c r="R18" i="14"/>
  <c r="H20"/>
  <c r="H23" s="1"/>
  <c r="N46"/>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K13" l="1"/>
  <c r="K15" s="1"/>
  <c r="K23" s="1"/>
  <c r="R19"/>
  <c r="R20" s="1"/>
  <c r="Q9" i="48"/>
  <c r="M26"/>
  <c r="M31" s="1"/>
  <c r="N25"/>
  <c r="N31" s="1"/>
  <c r="N14"/>
  <c r="E8"/>
  <c r="Q8" s="1"/>
  <c r="J22" i="16"/>
  <c r="K39" i="14" s="1"/>
  <c r="K41" s="1"/>
  <c r="K53" s="1"/>
  <c r="K55" s="1"/>
  <c r="J31" i="48"/>
  <c r="J14"/>
  <c r="N55" i="14"/>
  <c r="H55"/>
  <c r="G31" i="48"/>
  <c r="F55" i="14"/>
  <c r="O53"/>
  <c r="G53"/>
  <c r="G55" s="1"/>
  <c r="O69" s="1"/>
  <c r="B9" i="6" s="1"/>
  <c r="B12" s="1"/>
  <c r="M53" i="14"/>
  <c r="M55" s="1"/>
  <c r="C12" i="13"/>
  <c r="D37" i="14" s="1"/>
  <c r="D41" s="1"/>
  <c r="C23" i="48"/>
  <c r="C24"/>
  <c r="C27"/>
  <c r="C28"/>
  <c r="C22"/>
  <c r="C25"/>
  <c r="C29"/>
  <c r="C21"/>
  <c r="C26"/>
  <c r="F25"/>
  <c r="F31" s="1"/>
  <c r="F14"/>
  <c r="R13" i="14" l="1"/>
  <c r="R15" s="1"/>
  <c r="R23" s="1"/>
  <c r="Q14" i="48"/>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<sst xmlns="http://schemas.openxmlformats.org/spreadsheetml/2006/main" count="2038" uniqueCount="901">
  <si>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</si>
  <si>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</si>
  <si>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</si>
  <si>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</si>
  <si>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</si>
  <si>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</si>
  <si>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</si>
  <si>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</si>
  <si>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</si>
  <si>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</si>
  <si>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</si>
  <si>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</si>
  <si>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</si>
  <si>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</si>
  <si>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</si>
  <si>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</si>
  <si>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</si>
  <si>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</si>
  <si>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</si>
  <si>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</si>
  <si>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</si>
  <si>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</si>
  <si>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</si>
  <si>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</si>
  <si>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</si>
  <si>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</si>
  <si>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</si>
  <si>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</si>
  <si>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</si>
  <si>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</si>
  <si>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</si>
  <si>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</si>
  <si>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</si>
  <si>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</si>
  <si>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</si>
  <si>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</si>
  <si>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</si>
  <si>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</si>
  <si>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</si>
  <si>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</si>
  <si>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</si>
  <si>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</si>
  <si>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</si>
  <si>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</si>
  <si>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</si>
  <si>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</si>
  <si>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</si>
  <si>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</si>
  <si>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</si>
  <si>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</si>
  <si>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</si>
  <si>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</si>
  <si>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</si>
  <si>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</si>
  <si>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</si>
  <si>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</si>
  <si>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</si>
  <si>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</si>
  <si>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</si>
  <si>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</si>
  <si>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</si>
  <si>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</si>
  <si>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</si>
  <si>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</si>
  <si>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</si>
  <si>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</si>
  <si>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</si>
  <si>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</si>
  <si>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</si>
  <si>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</si>
  <si>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</si>
  <si>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</si>
  <si>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</si>
  <si>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</si>
  <si>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</si>
  <si>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</si>
  <si>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</si>
  <si>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</si>
  <si>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</si>
  <si>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</si>
  <si>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</si>
  <si>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</si>
  <si>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</si>
  <si>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</si>
  <si>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</si>
  <si>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</si>
  <si>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</si>
  <si>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</si>
  <si>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</si>
  <si>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</si>
  <si>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</si>
  <si>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</si>
  <si>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</si>
  <si>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</si>
  <si>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</si>
  <si>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</si>
  <si>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</si>
  <si>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</si>
  <si>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</si>
  <si>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</si>
  <si>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</si>
  <si>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</si>
  <si>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</si>
  <si>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</si>
  <si>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</si>
  <si>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</si>
  <si>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</si>
  <si>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</si>
  <si>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</si>
  <si>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</si>
  <si>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</si>
  <si>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</si>
  <si>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</si>
  <si>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</si>
  <si>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</si>
  <si>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</si>
  <si>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</si>
  <si>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</si>
  <si>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</si>
  <si>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</si>
  <si>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</si>
  <si>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</si>
  <si>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</si>
  <si>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</si>
  <si>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</si>
  <si>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</si>
  <si>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</si>
  <si>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</si>
  <si>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</si>
  <si>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</si>
  <si>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</si>
  <si>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</si>
  <si>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</si>
  <si>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</si>
  <si>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</si>
  <si>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</si>
  <si>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</si>
  <si>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</si>
  <si>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</si>
  <si>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</si>
  <si>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</si>
  <si>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</si>
  <si>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</si>
  <si>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</si>
  <si>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</si>
  <si>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</si>
  <si>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</si>
  <si>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</si>
  <si>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</si>
  <si>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</si>
  <si>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</si>
  <si>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</si>
  <si>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</si>
  <si>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</si>
  <si>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</si>
  <si>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</si>
  <si>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</si>
  <si>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</si>
  <si>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</si>
  <si>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</si>
  <si>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</si>
  <si>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</si>
  <si>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</si>
  <si>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</si>
  <si>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</si>
  <si>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</si>
  <si>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</si>
  <si>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</si>
  <si>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</si>
  <si>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</si>
  <si>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</si>
  <si>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</si>
  <si>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</si>
  <si>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</si>
  <si>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</si>
  <si>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</si>
  <si>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</si>
  <si>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</si>
  <si>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</si>
  <si>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</si>
  <si>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</si>
  <si>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</si>
  <si>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</si>
  <si>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</si>
  <si>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</si>
  <si>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</si>
  <si>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</si>
  <si>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</si>
  <si>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</si>
  <si>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</si>
  <si>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</si>
  <si>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</si>
  <si>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</si>
  <si>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</si>
  <si>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</si>
  <si>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</si>
  <si>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</si>
  <si>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</si>
  <si>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</si>
  <si>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</si>
  <si>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</si>
  <si>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</si>
  <si>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</si>
  <si>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</si>
  <si>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</si>
  <si>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</si>
  <si>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</si>
  <si>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</si>
  <si>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</si>
  <si>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</si>
  <si>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</si>
  <si>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</si>
  <si>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</si>
  <si>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</si>
  <si>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</si>
  <si>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</si>
  <si>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</si>
  <si>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</si>
  <si>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</si>
  <si>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</si>
  <si>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</si>
  <si>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</si>
  <si>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</si>
  <si>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</si>
  <si>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</si>
  <si>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</si>
  <si>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</si>
  <si>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</si>
  <si>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</si>
  <si>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</si>
  <si>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</si>
  <si>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</si>
  <si>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</si>
  <si>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</si>
  <si>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</si>
  <si>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</si>
  <si>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</si>
  <si>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</si>
  <si>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</si>
  <si>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</si>
  <si>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</si>
  <si>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</si>
  <si>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</si>
  <si>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</si>
  <si>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</si>
  <si>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</si>
  <si>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</si>
  <si>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</si>
  <si>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</si>
  <si>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</si>
  <si>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</si>
  <si>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</si>
  <si>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</si>
  <si>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</si>
  <si>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</si>
  <si>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</si>
  <si>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</si>
  <si>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</si>
  <si>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</si>
  <si>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</si>
  <si>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</si>
  <si>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</si>
  <si>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</si>
  <si>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</si>
  <si>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</si>
  <si>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</si>
  <si>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</si>
  <si>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</si>
  <si>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</si>
  <si>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</si>
  <si>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</si>
  <si>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</si>
  <si>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</si>
  <si>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</si>
  <si>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</si>
  <si>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</si>
  <si>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</si>
  <si>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</si>
  <si>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</si>
  <si>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</si>
  <si>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</si>
  <si>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</si>
  <si>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</si>
  <si>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</si>
  <si>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</si>
  <si>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</si>
  <si>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</si>
  <si>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</si>
  <si>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</si>
  <si>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</si>
  <si>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</si>
  <si>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</si>
  <si>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</si>
  <si>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</si>
  <si>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</si>
  <si>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</si>
  <si>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</si>
  <si>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</si>
  <si>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</si>
  <si>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</si>
  <si>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</si>
  <si>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</si>
  <si>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</si>
  <si>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</si>
  <si>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</si>
  <si>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</si>
  <si>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</si>
  <si>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</si>
  <si>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</si>
  <si>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</si>
  <si>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</si>
  <si>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</si>
  <si>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</si>
  <si>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</si>
  <si>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</si>
  <si>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</si>
  <si>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</si>
  <si>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</si>
  <si>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</si>
  <si>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</si>
  <si>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</si>
  <si>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</si>
  <si>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</si>
  <si>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</si>
  <si>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</si>
  <si>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</si>
  <si>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</si>
  <si>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</si>
  <si>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</si>
  <si>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</si>
  <si>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</si>
  <si>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</si>
  <si>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</si>
  <si>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</si>
  <si>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</si>
  <si>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</si>
  <si>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</si>
  <si>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</si>
  <si>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</si>
  <si>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</si>
  <si>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</si>
  <si>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</si>
  <si>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</si>
  <si>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</si>
  <si>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</si>
  <si>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</si>
  <si>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</si>
  <si>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</si>
  <si>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</si>
  <si>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</si>
  <si>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</si>
  <si>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</si>
  <si>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</si>
  <si>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</si>
  <si>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</si>
  <si>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</si>
  <si>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</si>
  <si>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</si>
  <si>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</si>
  <si>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</si>
  <si>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</si>
  <si>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</si>
  <si>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</si>
  <si>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</si>
  <si>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</si>
  <si>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</si>
  <si>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</si>
  <si>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</si>
  <si>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</si>
  <si>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</si>
  <si>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</si>
  <si>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</si>
  <si>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</si>
  <si>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</si>
  <si>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</si>
  <si>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</si>
  <si>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</si>
  <si>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</si>
  <si>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</si>
  <si>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</si>
  <si>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</si>
  <si>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</si>
  <si>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</si>
  <si>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</si>
  <si>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</si>
  <si>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</si>
  <si>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</si>
  <si>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</si>
  <si>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</si>
  <si>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</si>
  <si>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</si>
  <si>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</si>
  <si>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</si>
  <si>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</si>
  <si>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</si>
  <si>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</si>
  <si>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</si>
  <si>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</si>
  <si>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</si>
  <si>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</si>
  <si>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</si>
  <si>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</si>
  <si>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</si>
  <si>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</si>
  <si>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</si>
  <si>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</si>
  <si>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</si>
  <si>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</si>
  <si>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</si>
  <si>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</si>
  <si>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</si>
  <si>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</si>
  <si>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</si>
  <si>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</si>
  <si>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</si>
  <si>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</si>
  <si>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</si>
  <si>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</si>
  <si>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</si>
  <si>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</si>
  <si>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</si>
  <si>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</si>
  <si>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</si>
  <si>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</si>
  <si>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</si>
  <si>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</si>
  <si>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</si>
  <si>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</si>
  <si>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</si>
  <si>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</si>
  <si>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</si>
  <si>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</si>
  <si>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</si>
  <si>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</si>
  <si>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</si>
  <si>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</si>
  <si>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</si>
  <si>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</si>
  <si>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</si>
  <si>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</si>
  <si>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</si>
  <si>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</si>
  <si>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</si>
  <si>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</si>
  <si>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</si>
  <si>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</si>
  <si>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</si>
  <si>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</si>
  <si>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</si>
  <si>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</si>
  <si>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</si>
  <si>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</si>
  <si>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</si>
  <si>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</si>
  <si>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</si>
  <si>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</si>
  <si>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</si>
  <si>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</si>
  <si>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</si>
  <si>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</si>
  <si>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</si>
  <si>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</si>
  <si>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</si>
  <si>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</si>
  <si>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</si>
  <si>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</si>
  <si>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</si>
  <si>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</si>
  <si>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</si>
  <si>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</si>
  <si>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</si>
  <si>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</si>
  <si>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</si>
  <si>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</si>
  <si>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</si>
  <si>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</si>
  <si>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</si>
  <si>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</si>
  <si>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</si>
  <si>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</si>
  <si>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</si>
  <si>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</si>
  <si>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</si>
  <si>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</si>
  <si>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</si>
  <si>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</si>
  <si>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</si>
  <si>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</si>
  <si>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</si>
  <si>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</si>
  <si>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</si>
  <si>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</si>
  <si>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</si>
  <si>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</si>
  <si>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</si>
  <si>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</si>
  <si>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</si>
  <si>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</si>
  <si>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</si>
  <si>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</si>
  <si>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</si>
  <si>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</si>
  <si>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</si>
  <si>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</si>
  <si>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</si>
  <si>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</si>
  <si>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</si>
  <si>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</si>
  <si>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</si>
  <si>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</si>
  <si>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</si>
  <si>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</si>
  <si>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</si>
  <si>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</si>
  <si>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</si>
  <si>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</si>
  <si>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</si>
  <si>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</si>
  <si>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</si>
  <si>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</si>
  <si>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</si>
  <si>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</si>
  <si>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</si>
  <si>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</si>
  <si>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</si>
  <si>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</si>
  <si>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</si>
  <si>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</si>
  <si>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</si>
  <si>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</si>
  <si>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</si>
  <si>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</si>
  <si>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</si>
  <si>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</si>
  <si>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</si>
  <si>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</si>
  <si>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</si>
  <si>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</si>
  <si>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</si>
  <si>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</si>
  <si>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</si>
  <si>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</si>
  <si>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</si>
  <si>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</si>
  <si>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</si>
  <si>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</si>
  <si>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</si>
  <si>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</si>
  <si>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</si>
  <si>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</si>
  <si>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</si>
  <si>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</si>
  <si>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</si>
  <si>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</si>
  <si>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</si>
  <si>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</si>
  <si>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</si>
  <si>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</si>
  <si>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</si>
  <si>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</si>
  <si>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</si>
  <si>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</si>
  <si>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</si>
  <si>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</si>
  <si>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</si>
  <si>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</si>
  <si>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</si>
  <si>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</si>
  <si>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</si>
  <si>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</si>
  <si>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</si>
  <si>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</si>
  <si>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</si>
  <si>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</si>
  <si>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</si>
  <si>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</si>
  <si>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</si>
  <si>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</si>
  <si>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</si>
  <si>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</si>
  <si>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</si>
  <si>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</si>
  <si>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</si>
  <si>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</si>
  <si>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</si>
  <si>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</si>
  <si>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</si>
  <si>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</si>
  <si>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</si>
  <si>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</si>
  <si>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</si>
  <si>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</si>
  <si>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</si>
  <si>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</si>
  <si>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</si>
  <si>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</si>
  <si>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</si>
  <si>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</si>
  <si>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</si>
  <si>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</si>
  <si>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</si>
  <si>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</si>
  <si>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</si>
  <si>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</si>
  <si>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</si>
  <si>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</si>
  <si>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</si>
  <si>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</si>
  <si>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</si>
  <si>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</si>
  <si>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</si>
  <si>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</si>
  <si>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</si>
  <si>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</si>
  <si>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</si>
  <si>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</si>
  <si>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</si>
  <si>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</si>
  <si>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</si>
  <si>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</si>
  <si>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</si>
  <si>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</si>
  <si>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</si>
  <si>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</si>
  <si>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</si>
  <si>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</si>
  <si>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</si>
  <si>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</si>
  <si>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</si>
  <si>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</si>
  <si>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</si>
  <si>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</si>
  <si>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</si>
  <si>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</si>
  <si>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</si>
  <si>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</si>
  <si>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</si>
  <si>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</si>
  <si>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</si>
  <si>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</si>
  <si>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</si>
  <si>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</si>
  <si>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</si>
  <si>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</si>
  <si>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</si>
  <si>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</si>
  <si>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</si>
  <si>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</si>
  <si>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</si>
  <si>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</si>
  <si>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</si>
  <si>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</si>
  <si>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</si>
  <si>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</si>
  <si>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</si>
  <si>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</si>
  <si>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</si>
  <si>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</si>
  <si>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</si>
  <si>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</si>
  <si>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</si>
  <si>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</si>
  <si>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</si>
  <si>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</si>
  <si>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</si>
  <si>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</si>
  <si>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</si>
  <si>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</si>
  <si>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</si>
  <si>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</si>
  <si>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</si>
  <si>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</si>
  <si>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</si>
  <si>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</si>
  <si>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</si>
  <si>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</si>
  <si>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</si>
  <si>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</si>
  <si>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</si>
  <si>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</si>
  <si>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</si>
  <si>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</si>
  <si>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</si>
  <si>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</si>
  <si>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</si>
  <si>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</si>
  <si>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</si>
  <si>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</si>
  <si>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</si>
  <si>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</si>
  <si>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</si>
  <si>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</si>
  <si>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</si>
  <si>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</si>
  <si>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</si>
  <si>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</si>
  <si>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</si>
  <si>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</si>
  <si>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</si>
  <si>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</si>
  <si>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</si>
  <si>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</si>
  <si>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</si>
  <si>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</si>
  <si>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</si>
  <si>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</si>
  <si>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</si>
  <si>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</si>
  <si>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</si>
  <si>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</si>
  <si>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</si>
  <si>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</si>
  <si>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</si>
  <si>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</si>
  <si>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</si>
  <si>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</si>
  <si>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</si>
  <si>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</si>
  <si>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</si>
  <si>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</si>
  <si>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</si>
  <si>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</si>
  <si>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</si>
  <si>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</si>
  <si>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</si>
  <si>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</si>
  <si>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</si>
  <si>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</si>
  <si>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</si>
  <si>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</si>
  <si>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</si>
  <si>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</si>
  <si>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</si>
  <si>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</si>
  <si>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</si>
  <si>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</si>
  <si>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</si>
  <si>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</si>
  <si>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</si>
  <si>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</si>
  <si>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</si>
  <si>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</si>
  <si>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</si>
  <si>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</si>
  <si>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</si>
  <si>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</si>
  <si>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</si>
  <si>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</si>
  <si>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</si>
  <si>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</si>
  <si>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</si>
  <si>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</si>
  <si>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</si>
  <si>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</si>
  <si>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</si>
  <si>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</si>
  <si>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</si>
  <si>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</si>
  <si>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</si>
  <si>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</si>
  <si>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</si>
  <si>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</si>
  <si>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</si>
  <si>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</si>
  <si>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</si>
  <si>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</si>
  <si>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</si>
  <si>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</si>
  <si>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</si>
  <si>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</si>
  <si>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</si>
  <si>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</si>
  <si>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</si>
  <si>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</si>
  <si>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</si>
  <si>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</si>
  <si>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</si>
  <si>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</si>
  <si>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</si>
  <si>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</si>
  <si>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</si>
  <si>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</si>
  <si>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</si>
  <si>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</si>
  <si>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</si>
  <si>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</si>
  <si>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</si>
  <si>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</si>
  <si>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</si>
  <si>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</si>
  <si>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</si>
  <si>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</si>
  <si>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</si>
  <si>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</si>
  <si>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</si>
  <si>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</si>
  <si>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</si>
  <si>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</si>
  <si>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</si>
  <si>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</si>
  <si>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</si>
  <si>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</si>
  <si>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</si>
  <si>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</si>
  <si>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</si>
  <si>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</si>
  <si>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</si>
  <si>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</si>
  <si>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</si>
  <si>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</si>
  <si>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</si>
  <si>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</si>
  <si>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</si>
  <si>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</si>
  <si>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</si>
  <si>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</si>
  <si>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</si>
  <si>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</si>
  <si>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</si>
  <si>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</si>
  <si>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</si>
  <si>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</si>
  <si>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</si>
  <si>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</si>
  <si>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</si>
  <si>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</si>
  <si>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</si>
  <si>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</si>
  <si>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</si>
  <si>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</si>
  <si>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</si>
  <si>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</si>
  <si>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</si>
  <si>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</si>
  <si>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</si>
  <si>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</si>
  <si>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</si>
  <si>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</si>
  <si>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</si>
  <si>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</si>
  <si>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</si>
  <si>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</si>
  <si>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</si>
  <si>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</si>
  <si>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</si>
  <si>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</si>
  <si>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</si>
  <si>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</si>
  <si>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</si>
  <si>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</si>
  <si>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</si>
  <si>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</si>
  <si>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</si>
  <si>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</si>
  <si>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</si>
  <si>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</si>
  <si>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</si>
  <si>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</si>
  <si>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</si>
  <si>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</si>
  <si>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</si>
  <si>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</si>
  <si>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</si>
  <si>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</si>
  <si>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</si>
  <si>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</si>
  <si>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</si>
  <si>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</si>
  <si>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</si>
  <si>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</si>
  <si>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</si>
  <si>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</si>
  <si>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</si>
  <si>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</si>
  <si>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</si>
  <si>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</si>
  <si>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</si>
  <si>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</si>
  <si>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</si>
  <si>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</si>
  <si>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</si>
  <si>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</si>
  <si>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</si>
  <si>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</si>
  <si>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</si>
  <si>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23094</t>
  </si>
  <si>
    <t>ZAVENTEM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</si>
  <si>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</si>
  <si>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</si>
  <si>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</si>
  <si>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</si>
  <si>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</si>
  <si>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</si>
  <si>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</si>
  <si>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d'Ieteren nv_St-Stevens-Woluwe</t>
  </si>
  <si>
    <t>Maliestraat 50 , 1050 Brussel</t>
  </si>
  <si>
    <t>WKK-0343 D'Ieteren Zaventem</t>
  </si>
  <si>
    <t>interne verbrandingsmotor</t>
  </si>
  <si>
    <t>WKK interne verbrandinsgmotor (gas)</t>
  </si>
  <si>
    <t>Leuvensesteenweg 326 , 1932 Sint-Stevens-Woluwe</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</si>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</sst>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23094</v>
      </c>
      <c r="B6" s="396"/>
      <c r="C6" s="397"/>
    </row>
    <row r="7" spans="1:7" s="394" customFormat="1" ht="15.75" customHeight="1">
      <c r="A7" s="398" t="str">
        <f>txtMunicipality</f>
        <v>ZAVENTEM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23094</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13089</v>
      </c>
      <c r="C9" s="336">
        <v>13822</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727</v>
      </c>
    </row>
    <row r="15" spans="1:6">
      <c r="A15" s="1194" t="s">
        <v>185</v>
      </c>
      <c r="B15" s="333">
        <v>0</v>
      </c>
    </row>
    <row r="16" spans="1:6">
      <c r="A16" s="1194" t="s">
        <v>6</v>
      </c>
      <c r="B16" s="333">
        <v>0</v>
      </c>
    </row>
    <row r="17" spans="1:6">
      <c r="A17" s="1194" t="s">
        <v>7</v>
      </c>
      <c r="B17" s="333">
        <v>3</v>
      </c>
    </row>
    <row r="18" spans="1:6">
      <c r="A18" s="1194" t="s">
        <v>8</v>
      </c>
      <c r="B18" s="333">
        <v>5</v>
      </c>
    </row>
    <row r="19" spans="1:6">
      <c r="A19" s="1194" t="s">
        <v>9</v>
      </c>
      <c r="B19" s="333">
        <v>5</v>
      </c>
    </row>
    <row r="20" spans="1:6">
      <c r="A20" s="1194" t="s">
        <v>10</v>
      </c>
      <c r="B20" s="333">
        <v>4</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0</v>
      </c>
    </row>
    <row r="28" spans="1:6">
      <c r="A28" s="1194" t="s">
        <v>18</v>
      </c>
      <c r="B28" s="333">
        <v>0</v>
      </c>
    </row>
    <row r="29" spans="1:6">
      <c r="A29" s="1194" t="s">
        <v>888</v>
      </c>
      <c r="B29" s="333">
        <v>42</v>
      </c>
    </row>
    <row r="30" spans="1:6">
      <c r="A30" s="1190" t="s">
        <v>889</v>
      </c>
      <c r="B30" s="1190">
        <v>5</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3</v>
      </c>
      <c r="F36" s="333">
        <v>13201</v>
      </c>
    </row>
    <row r="37" spans="1:6">
      <c r="A37" s="1194" t="s">
        <v>25</v>
      </c>
      <c r="B37" s="1194" t="s">
        <v>28</v>
      </c>
      <c r="C37" s="333">
        <v>0</v>
      </c>
      <c r="D37" s="333">
        <v>0</v>
      </c>
      <c r="E37" s="333">
        <v>0</v>
      </c>
      <c r="F37" s="333">
        <v>0</v>
      </c>
    </row>
    <row r="38" spans="1:6">
      <c r="A38" s="1194" t="s">
        <v>25</v>
      </c>
      <c r="B38" s="1194" t="s">
        <v>29</v>
      </c>
      <c r="C38" s="333">
        <v>1</v>
      </c>
      <c r="D38" s="333">
        <v>27795.178548010001</v>
      </c>
      <c r="E38" s="333">
        <v>6</v>
      </c>
      <c r="F38" s="333">
        <v>42104.8935173543</v>
      </c>
    </row>
    <row r="39" spans="1:6">
      <c r="A39" s="1194" t="s">
        <v>30</v>
      </c>
      <c r="B39" s="1194" t="s">
        <v>31</v>
      </c>
      <c r="C39" s="333">
        <v>10099</v>
      </c>
      <c r="D39" s="333">
        <v>176827169.347229</v>
      </c>
      <c r="E39" s="333">
        <v>13296</v>
      </c>
      <c r="F39" s="333">
        <v>50462537.705480099</v>
      </c>
    </row>
    <row r="40" spans="1:6">
      <c r="A40" s="1194" t="s">
        <v>30</v>
      </c>
      <c r="B40" s="1194" t="s">
        <v>29</v>
      </c>
      <c r="C40" s="333">
        <v>0</v>
      </c>
      <c r="D40" s="333">
        <v>0</v>
      </c>
      <c r="E40" s="333">
        <v>1</v>
      </c>
      <c r="F40" s="333">
        <v>2958.5534801211002</v>
      </c>
    </row>
    <row r="41" spans="1:6">
      <c r="A41" s="1194" t="s">
        <v>32</v>
      </c>
      <c r="B41" s="1194" t="s">
        <v>33</v>
      </c>
      <c r="C41" s="333">
        <v>91</v>
      </c>
      <c r="D41" s="333">
        <v>12044180.847567599</v>
      </c>
      <c r="E41" s="333">
        <v>217</v>
      </c>
      <c r="F41" s="333">
        <v>12610719.9165993</v>
      </c>
    </row>
    <row r="42" spans="1:6">
      <c r="A42" s="1194" t="s">
        <v>32</v>
      </c>
      <c r="B42" s="1194" t="s">
        <v>34</v>
      </c>
      <c r="C42" s="333">
        <v>5</v>
      </c>
      <c r="D42" s="333">
        <v>159806.15664060801</v>
      </c>
      <c r="E42" s="333">
        <v>4</v>
      </c>
      <c r="F42" s="333">
        <v>70407.874016945803</v>
      </c>
    </row>
    <row r="43" spans="1:6">
      <c r="A43" s="1194" t="s">
        <v>32</v>
      </c>
      <c r="B43" s="1194" t="s">
        <v>35</v>
      </c>
      <c r="C43" s="333">
        <v>0</v>
      </c>
      <c r="D43" s="333">
        <v>0</v>
      </c>
      <c r="E43" s="333">
        <v>0</v>
      </c>
      <c r="F43" s="333">
        <v>0</v>
      </c>
    </row>
    <row r="44" spans="1:6">
      <c r="A44" s="1194" t="s">
        <v>32</v>
      </c>
      <c r="B44" s="1194" t="s">
        <v>36</v>
      </c>
      <c r="C44" s="333">
        <v>8</v>
      </c>
      <c r="D44" s="333">
        <v>10670050.392199401</v>
      </c>
      <c r="E44" s="333">
        <v>11</v>
      </c>
      <c r="F44" s="333">
        <v>17679514.902148802</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7</v>
      </c>
      <c r="D47" s="333">
        <v>651154.920242836</v>
      </c>
      <c r="E47" s="333">
        <v>12</v>
      </c>
      <c r="F47" s="333">
        <v>927463.25115693</v>
      </c>
    </row>
    <row r="48" spans="1:6">
      <c r="A48" s="1194" t="s">
        <v>32</v>
      </c>
      <c r="B48" s="1194" t="s">
        <v>29</v>
      </c>
      <c r="C48" s="333">
        <v>50</v>
      </c>
      <c r="D48" s="333">
        <v>3907531.7598267398</v>
      </c>
      <c r="E48" s="333">
        <v>68</v>
      </c>
      <c r="F48" s="333">
        <v>5753282.6771339104</v>
      </c>
    </row>
    <row r="49" spans="1:6">
      <c r="A49" s="1194" t="s">
        <v>32</v>
      </c>
      <c r="B49" s="1194" t="s">
        <v>40</v>
      </c>
      <c r="C49" s="333">
        <v>0</v>
      </c>
      <c r="D49" s="333">
        <v>0</v>
      </c>
      <c r="E49" s="333">
        <v>0</v>
      </c>
      <c r="F49" s="333">
        <v>0</v>
      </c>
    </row>
    <row r="50" spans="1:6">
      <c r="A50" s="1194" t="s">
        <v>32</v>
      </c>
      <c r="B50" s="1194" t="s">
        <v>41</v>
      </c>
      <c r="C50" s="333">
        <v>7</v>
      </c>
      <c r="D50" s="333">
        <v>1057116.75251914</v>
      </c>
      <c r="E50" s="333">
        <v>11</v>
      </c>
      <c r="F50" s="333">
        <v>627064.51771994506</v>
      </c>
    </row>
    <row r="51" spans="1:6">
      <c r="A51" s="1194" t="s">
        <v>42</v>
      </c>
      <c r="B51" s="1194" t="s">
        <v>43</v>
      </c>
      <c r="C51" s="333">
        <v>9</v>
      </c>
      <c r="D51" s="333">
        <v>158047.15883087699</v>
      </c>
      <c r="E51" s="333">
        <v>19</v>
      </c>
      <c r="F51" s="333">
        <v>96710.658538774194</v>
      </c>
    </row>
    <row r="52" spans="1:6">
      <c r="A52" s="1194" t="s">
        <v>42</v>
      </c>
      <c r="B52" s="1194" t="s">
        <v>29</v>
      </c>
      <c r="C52" s="333">
        <v>8</v>
      </c>
      <c r="D52" s="333">
        <v>129740.95807702999</v>
      </c>
      <c r="E52" s="333">
        <v>8</v>
      </c>
      <c r="F52" s="333">
        <v>609691.15844562103</v>
      </c>
    </row>
    <row r="53" spans="1:6">
      <c r="A53" s="1194" t="s">
        <v>44</v>
      </c>
      <c r="B53" s="1194" t="s">
        <v>45</v>
      </c>
      <c r="C53" s="333">
        <v>399</v>
      </c>
      <c r="D53" s="333">
        <v>12495838.937693899</v>
      </c>
      <c r="E53" s="333">
        <v>612</v>
      </c>
      <c r="F53" s="333">
        <v>11156079.4772224</v>
      </c>
    </row>
    <row r="54" spans="1:6">
      <c r="A54" s="1194" t="s">
        <v>46</v>
      </c>
      <c r="B54" s="1194" t="s">
        <v>47</v>
      </c>
      <c r="C54" s="333">
        <v>0</v>
      </c>
      <c r="D54" s="333">
        <v>0</v>
      </c>
      <c r="E54" s="333">
        <v>2</v>
      </c>
      <c r="F54" s="333">
        <v>2877377</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43</v>
      </c>
      <c r="D57" s="333">
        <v>2331288.7378946501</v>
      </c>
      <c r="E57" s="333">
        <v>71</v>
      </c>
      <c r="F57" s="333">
        <v>2138921.8139053802</v>
      </c>
    </row>
    <row r="58" spans="1:6">
      <c r="A58" s="1194" t="s">
        <v>49</v>
      </c>
      <c r="B58" s="1194" t="s">
        <v>51</v>
      </c>
      <c r="C58" s="333">
        <v>0</v>
      </c>
      <c r="D58" s="333">
        <v>0</v>
      </c>
      <c r="E58" s="333">
        <v>17</v>
      </c>
      <c r="F58" s="333">
        <v>134146.00656004099</v>
      </c>
    </row>
    <row r="59" spans="1:6">
      <c r="A59" s="1194" t="s">
        <v>49</v>
      </c>
      <c r="B59" s="1194" t="s">
        <v>52</v>
      </c>
      <c r="C59" s="333">
        <v>213</v>
      </c>
      <c r="D59" s="333">
        <v>25153007.3229151</v>
      </c>
      <c r="E59" s="333">
        <v>431</v>
      </c>
      <c r="F59" s="333">
        <v>44486875.146702901</v>
      </c>
    </row>
    <row r="60" spans="1:6">
      <c r="A60" s="1194" t="s">
        <v>49</v>
      </c>
      <c r="B60" s="1194" t="s">
        <v>53</v>
      </c>
      <c r="C60" s="333">
        <v>107</v>
      </c>
      <c r="D60" s="333">
        <v>5200805.8914471697</v>
      </c>
      <c r="E60" s="333">
        <v>127</v>
      </c>
      <c r="F60" s="333">
        <v>3748371.9327122499</v>
      </c>
    </row>
    <row r="61" spans="1:6">
      <c r="A61" s="1194" t="s">
        <v>49</v>
      </c>
      <c r="B61" s="1194" t="s">
        <v>54</v>
      </c>
      <c r="C61" s="333">
        <v>599</v>
      </c>
      <c r="D61" s="333">
        <v>67834121.049675599</v>
      </c>
      <c r="E61" s="333">
        <v>1485</v>
      </c>
      <c r="F61" s="333">
        <v>137256019.99351501</v>
      </c>
    </row>
    <row r="62" spans="1:6">
      <c r="A62" s="1194" t="s">
        <v>49</v>
      </c>
      <c r="B62" s="1194" t="s">
        <v>55</v>
      </c>
      <c r="C62" s="333">
        <v>7</v>
      </c>
      <c r="D62" s="333">
        <v>2254794.0029544299</v>
      </c>
      <c r="E62" s="333">
        <v>6</v>
      </c>
      <c r="F62" s="333">
        <v>609292.84407184797</v>
      </c>
    </row>
    <row r="63" spans="1:6">
      <c r="A63" s="1194" t="s">
        <v>49</v>
      </c>
      <c r="B63" s="1194" t="s">
        <v>29</v>
      </c>
      <c r="C63" s="333">
        <v>236</v>
      </c>
      <c r="D63" s="333">
        <v>23172693.347344901</v>
      </c>
      <c r="E63" s="333">
        <v>254</v>
      </c>
      <c r="F63" s="333">
        <v>35068013.830057196</v>
      </c>
    </row>
    <row r="64" spans="1:6">
      <c r="A64" s="1194" t="s">
        <v>56</v>
      </c>
      <c r="B64" s="1194" t="s">
        <v>57</v>
      </c>
      <c r="C64" s="333">
        <v>0</v>
      </c>
      <c r="D64" s="333">
        <v>0</v>
      </c>
      <c r="E64" s="333">
        <v>0</v>
      </c>
      <c r="F64" s="333">
        <v>0</v>
      </c>
    </row>
    <row r="65" spans="1:6">
      <c r="A65" s="1194" t="s">
        <v>56</v>
      </c>
      <c r="B65" s="1194" t="s">
        <v>29</v>
      </c>
      <c r="C65" s="333">
        <v>4</v>
      </c>
      <c r="D65" s="333">
        <v>823603.38864179503</v>
      </c>
      <c r="E65" s="333">
        <v>9</v>
      </c>
      <c r="F65" s="333">
        <v>85246.058603238605</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14</v>
      </c>
      <c r="D68" s="333">
        <v>343227.287674964</v>
      </c>
      <c r="E68" s="333">
        <v>20</v>
      </c>
      <c r="F68" s="333">
        <v>243997.168691308</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86970085</v>
      </c>
      <c r="E73" s="333">
        <v>148053890.91572654</v>
      </c>
      <c r="F73" s="333">
        <v>108631368</v>
      </c>
    </row>
    <row r="74" spans="1:6">
      <c r="A74" s="1194" t="s">
        <v>64</v>
      </c>
      <c r="B74" s="1194" t="s">
        <v>775</v>
      </c>
      <c r="C74" s="1205" t="s">
        <v>776</v>
      </c>
      <c r="D74" s="333">
        <v>1864467.7838601216</v>
      </c>
      <c r="E74" s="333">
        <v>5400772.2305160547</v>
      </c>
      <c r="F74" s="333">
        <v>3700646.5646188795</v>
      </c>
    </row>
    <row r="75" spans="1:6">
      <c r="A75" s="1194" t="s">
        <v>65</v>
      </c>
      <c r="B75" s="1194" t="s">
        <v>773</v>
      </c>
      <c r="C75" s="1205" t="s">
        <v>777</v>
      </c>
      <c r="D75" s="333">
        <v>30295935</v>
      </c>
      <c r="E75" s="333">
        <v>53565514.208524846</v>
      </c>
      <c r="F75" s="333">
        <v>37941069</v>
      </c>
    </row>
    <row r="76" spans="1:6">
      <c r="A76" s="1194" t="s">
        <v>65</v>
      </c>
      <c r="B76" s="1194" t="s">
        <v>775</v>
      </c>
      <c r="C76" s="1205" t="s">
        <v>778</v>
      </c>
      <c r="D76" s="333">
        <v>80990.200000000012</v>
      </c>
      <c r="E76" s="333">
        <v>337222.62431334355</v>
      </c>
      <c r="F76" s="333">
        <v>123575.70000000001</v>
      </c>
    </row>
    <row r="77" spans="1:6">
      <c r="A77" s="1194" t="s">
        <v>66</v>
      </c>
      <c r="B77" s="1194" t="s">
        <v>773</v>
      </c>
      <c r="C77" s="1205" t="s">
        <v>779</v>
      </c>
      <c r="D77" s="333">
        <v>452502247</v>
      </c>
      <c r="E77" s="333">
        <v>515307697.79307371</v>
      </c>
      <c r="F77" s="333">
        <v>470260948</v>
      </c>
    </row>
    <row r="78" spans="1:6">
      <c r="A78" s="1190" t="s">
        <v>66</v>
      </c>
      <c r="B78" s="1190" t="s">
        <v>775</v>
      </c>
      <c r="C78" s="1190" t="s">
        <v>780</v>
      </c>
      <c r="D78" s="1190">
        <v>38933104</v>
      </c>
      <c r="E78" s="1190">
        <v>42961522.127922006</v>
      </c>
      <c r="F78" s="336">
        <v>40837166</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2807070.4322797568</v>
      </c>
      <c r="C83" s="333">
        <v>2583561.0606130995</v>
      </c>
      <c r="D83" s="333">
        <v>2599096.8707622411</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825.6081459129033</v>
      </c>
    </row>
    <row r="92" spans="1:6">
      <c r="A92" s="1190" t="s">
        <v>69</v>
      </c>
      <c r="B92" s="336">
        <v>1017.8959828121097</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7180</v>
      </c>
    </row>
    <row r="98" spans="1:6">
      <c r="A98" s="1194" t="s">
        <v>72</v>
      </c>
      <c r="B98" s="333">
        <v>4</v>
      </c>
    </row>
    <row r="99" spans="1:6">
      <c r="A99" s="1194" t="s">
        <v>73</v>
      </c>
      <c r="B99" s="333">
        <v>38</v>
      </c>
    </row>
    <row r="100" spans="1:6">
      <c r="A100" s="1194" t="s">
        <v>74</v>
      </c>
      <c r="B100" s="333">
        <v>729</v>
      </c>
    </row>
    <row r="101" spans="1:6">
      <c r="A101" s="1194" t="s">
        <v>75</v>
      </c>
      <c r="B101" s="333">
        <v>33</v>
      </c>
    </row>
    <row r="102" spans="1:6">
      <c r="A102" s="1194" t="s">
        <v>76</v>
      </c>
      <c r="B102" s="333">
        <v>215</v>
      </c>
    </row>
    <row r="103" spans="1:6">
      <c r="A103" s="1194" t="s">
        <v>77</v>
      </c>
      <c r="B103" s="333">
        <v>81</v>
      </c>
    </row>
    <row r="104" spans="1:6">
      <c r="A104" s="1194" t="s">
        <v>78</v>
      </c>
      <c r="B104" s="333">
        <v>2411</v>
      </c>
    </row>
    <row r="105" spans="1:6">
      <c r="A105" s="1190" t="s">
        <v>79</v>
      </c>
      <c r="B105" s="1190">
        <v>11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6</v>
      </c>
      <c r="C123" s="333">
        <v>4</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31</v>
      </c>
    </row>
    <row r="130" spans="1:6">
      <c r="A130" s="1194" t="s">
        <v>296</v>
      </c>
      <c r="B130" s="333">
        <v>1</v>
      </c>
    </row>
    <row r="131" spans="1:6">
      <c r="A131" s="1194" t="s">
        <v>297</v>
      </c>
      <c r="B131" s="333">
        <v>2</v>
      </c>
    </row>
    <row r="132" spans="1:6">
      <c r="A132" s="1190" t="s">
        <v>298</v>
      </c>
      <c r="B132" s="336">
        <v>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316256.52697413578</v>
      </c>
      <c r="C3" s="43" t="s">
        <v>171</v>
      </c>
      <c r="D3" s="43"/>
      <c r="E3" s="156"/>
      <c r="F3" s="43"/>
      <c r="G3" s="43"/>
      <c r="H3" s="43"/>
      <c r="I3" s="43"/>
      <c r="J3" s="43"/>
      <c r="K3" s="96"/>
    </row>
    <row r="4" spans="1:11">
      <c r="A4" s="364" t="s">
        <v>172</v>
      </c>
      <c r="B4" s="49">
        <f>IF(ISERROR('SEAP template'!B69),0,'SEAP template'!B69)</f>
        <v>2110.5041287250128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63.451764705882361</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0.21972581397260676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90.645378151260516</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381.42857142857144</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2877.377</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2877.377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0.21972581397260676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632.23400343105732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50465.496258960215</v>
      </c>
      <c r="C5" s="17">
        <f>IF(ISERROR('Eigen informatie GS &amp; warmtenet'!B57),0,'Eigen informatie GS &amp; warmtenet'!B57)</f>
        <v>0</v>
      </c>
      <c r="D5" s="30">
        <f>(SUM(HH_hh_gas_kWh,HH_rest_gas_kWh)/1000)*0.902</f>
        <v>159498.10675120057</v>
      </c>
      <c r="E5" s="17">
        <f>B46*B57</f>
        <v>2914.5695946102778</v>
      </c>
      <c r="F5" s="17">
        <f>B51*B62</f>
        <v>0</v>
      </c>
      <c r="G5" s="18"/>
      <c r="H5" s="17"/>
      <c r="I5" s="17"/>
      <c r="J5" s="17">
        <f>B50*B61+C50*C61</f>
        <v>0</v>
      </c>
      <c r="K5" s="17"/>
      <c r="L5" s="17"/>
      <c r="M5" s="17"/>
      <c r="N5" s="17">
        <f>B48*B59+C48*C59</f>
        <v>7323.2637234641088</v>
      </c>
      <c r="O5" s="17">
        <f>B69*B70*B71</f>
        <v>54.716666666666669</v>
      </c>
      <c r="P5" s="17">
        <f>B77*B78*B79/1000-B77*B78*B79/1000/B80</f>
        <v>133.46666666666667</v>
      </c>
    </row>
    <row r="6" spans="1:16">
      <c r="A6" s="16" t="s">
        <v>633</v>
      </c>
      <c r="B6" s="830">
        <f>kWh_PV_kleiner_dan_10kW</f>
        <v>825.6081459129033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51291.10440487312</v>
      </c>
      <c r="C8" s="21">
        <f>C5</f>
        <v>0</v>
      </c>
      <c r="D8" s="21">
        <f>D5</f>
        <v>159498.10675120057</v>
      </c>
      <c r="E8" s="21">
        <f>E5</f>
        <v>2914.5695946102778</v>
      </c>
      <c r="F8" s="21">
        <f>F5</f>
        <v>0</v>
      </c>
      <c r="G8" s="21"/>
      <c r="H8" s="21"/>
      <c r="I8" s="21"/>
      <c r="J8" s="21">
        <f>J5</f>
        <v>0</v>
      </c>
      <c r="K8" s="21"/>
      <c r="L8" s="21">
        <f>L5</f>
        <v>0</v>
      </c>
      <c r="M8" s="21">
        <f>M5</f>
        <v>0</v>
      </c>
      <c r="N8" s="21">
        <f>N5</f>
        <v>7323.2637234641088</v>
      </c>
      <c r="O8" s="21">
        <f>O5</f>
        <v>54.716666666666669</v>
      </c>
      <c r="P8" s="21">
        <f>P5</f>
        <v>133.46666666666667</v>
      </c>
    </row>
    <row r="9" spans="1:16">
      <c r="B9" s="19"/>
      <c r="C9" s="19"/>
      <c r="D9" s="260"/>
      <c r="E9" s="19"/>
      <c r="F9" s="19"/>
      <c r="G9" s="19"/>
      <c r="H9" s="19"/>
      <c r="I9" s="19"/>
      <c r="J9" s="19"/>
      <c r="K9" s="19"/>
      <c r="L9" s="19"/>
      <c r="M9" s="19"/>
      <c r="N9" s="19"/>
      <c r="O9" s="19"/>
      <c r="P9" s="19"/>
    </row>
    <row r="10" spans="1:16">
      <c r="A10" s="24" t="s">
        <v>215</v>
      </c>
      <c r="B10" s="25">
        <f ca="1">'EF ele_warmte'!B12</f>
        <v>0.21972581397260676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11269.979664914703</v>
      </c>
      <c r="C12" s="23">
        <f ca="1">C10*C8</f>
        <v>0</v>
      </c>
      <c r="D12" s="23">
        <f>D8*D10</f>
        <v>32218.617563742519</v>
      </c>
      <c r="E12" s="23">
        <f>E10*E8</f>
        <v>661.60729797653312</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7180</v>
      </c>
      <c r="C18" s="167" t="s">
        <v>111</v>
      </c>
      <c r="D18" s="229"/>
      <c r="E18" s="15"/>
    </row>
    <row r="19" spans="1:7">
      <c r="A19" s="172" t="s">
        <v>72</v>
      </c>
      <c r="B19" s="37">
        <f>aantalw2001_ander</f>
        <v>4</v>
      </c>
      <c r="C19" s="167" t="s">
        <v>111</v>
      </c>
      <c r="D19" s="230"/>
      <c r="E19" s="15"/>
    </row>
    <row r="20" spans="1:7">
      <c r="A20" s="172" t="s">
        <v>73</v>
      </c>
      <c r="B20" s="37">
        <f>aantalw2001_propaan</f>
        <v>38</v>
      </c>
      <c r="C20" s="168">
        <f>IF(ISERROR(B20/SUM($B$20,$B$21,$B$22)*100),0,B20/SUM($B$20,$B$21,$B$22)*100)</f>
        <v>4.75</v>
      </c>
      <c r="D20" s="230"/>
      <c r="E20" s="15"/>
    </row>
    <row r="21" spans="1:7">
      <c r="A21" s="172" t="s">
        <v>74</v>
      </c>
      <c r="B21" s="37">
        <f>aantalw2001_elektriciteit</f>
        <v>729</v>
      </c>
      <c r="C21" s="168">
        <f>IF(ISERROR(B21/SUM($B$20,$B$21,$B$22)*100),0,B21/SUM($B$20,$B$21,$B$22)*100)</f>
        <v>91.125</v>
      </c>
      <c r="D21" s="230"/>
      <c r="E21" s="15"/>
    </row>
    <row r="22" spans="1:7">
      <c r="A22" s="172" t="s">
        <v>75</v>
      </c>
      <c r="B22" s="37">
        <f>aantalw2001_hout</f>
        <v>33</v>
      </c>
      <c r="C22" s="168">
        <f>IF(ISERROR(B22/SUM($B$20,$B$21,$B$22)*100),0,B22/SUM($B$20,$B$21,$B$22)*100)</f>
        <v>4.125</v>
      </c>
      <c r="D22" s="230"/>
      <c r="E22" s="15"/>
    </row>
    <row r="23" spans="1:7">
      <c r="A23" s="172" t="s">
        <v>76</v>
      </c>
      <c r="B23" s="37">
        <f>aantalw2001_niet_gespec</f>
        <v>215</v>
      </c>
      <c r="C23" s="167" t="s">
        <v>111</v>
      </c>
      <c r="D23" s="229"/>
      <c r="E23" s="15"/>
    </row>
    <row r="24" spans="1:7">
      <c r="A24" s="172" t="s">
        <v>77</v>
      </c>
      <c r="B24" s="37">
        <f>aantalw2001_steenkool</f>
        <v>81</v>
      </c>
      <c r="C24" s="167" t="s">
        <v>111</v>
      </c>
      <c r="D24" s="230"/>
      <c r="E24" s="15"/>
    </row>
    <row r="25" spans="1:7">
      <c r="A25" s="172" t="s">
        <v>78</v>
      </c>
      <c r="B25" s="37">
        <f>aantalw2001_stookolie</f>
        <v>2411</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713</v>
      </c>
      <c r="B28" s="37">
        <f>aantalHuishoudens2011</f>
        <v>13089</v>
      </c>
      <c r="C28" s="36"/>
      <c r="D28" s="229"/>
    </row>
    <row r="29" spans="1:7" s="15" customFormat="1">
      <c r="A29" s="231" t="s">
        <v>714</v>
      </c>
      <c r="B29" s="37">
        <f>SUM(HH_hh_gas_aantal,HH_rest_gas_aantal)</f>
        <v>10099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10099</v>
      </c>
      <c r="C32" s="168">
        <f>IF(ISERROR(B32/SUM($B$32,$B$34,$B$35,$B$36,$B$38,$B$39)*100),0,B32/SUM($B$32,$B$34,$B$35,$B$36,$B$38,$B$39)*100)</f>
        <v>77.197676196300264</v>
      </c>
      <c r="D32" s="234"/>
      <c r="G32" s="15"/>
    </row>
    <row r="33" spans="1:7">
      <c r="A33" s="172" t="s">
        <v>72</v>
      </c>
      <c r="B33" s="34" t="s">
        <v>111</v>
      </c>
      <c r="C33" s="168"/>
      <c r="D33" s="234"/>
      <c r="G33" s="15"/>
    </row>
    <row r="34" spans="1:7">
      <c r="A34" s="172" t="s">
        <v>73</v>
      </c>
      <c r="B34" s="33">
        <f>IF((($B$28-$B$32-$B$39-$B$77-$B$38)*C20/100)&lt;0,0,($B$28-$B$32-$B$39-$B$77-$B$38)*C20/100)</f>
        <v>141.6925</v>
      </c>
      <c r="C34" s="168">
        <f>IF(ISERROR(B34/SUM($B$32,$B$34,$B$35,$B$36,$B$38,$B$39)*100),0,B34/SUM($B$32,$B$34,$B$35,$B$36,$B$38,$B$39)*100)</f>
        <v>1.0831103806757378</v>
      </c>
      <c r="D34" s="234"/>
      <c r="G34" s="15"/>
    </row>
    <row r="35" spans="1:7">
      <c r="A35" s="172" t="s">
        <v>74</v>
      </c>
      <c r="B35" s="33">
        <f>IF((($B$28-$B$32-$B$39-$B$77-$B$38)*C21/100)&lt;0,0,($B$28-$B$32-$B$39-$B$77-$B$38)*C21/100)</f>
        <v>2718.25875</v>
      </c>
      <c r="C35" s="168">
        <f>IF(ISERROR(B35/SUM($B$32,$B$34,$B$35,$B$36,$B$38,$B$39)*100),0,B35/SUM($B$32,$B$34,$B$35,$B$36,$B$38,$B$39)*100)</f>
        <v>20.77861756612139</v>
      </c>
      <c r="D35" s="234"/>
      <c r="G35" s="15"/>
    </row>
    <row r="36" spans="1:7">
      <c r="A36" s="172" t="s">
        <v>75</v>
      </c>
      <c r="B36" s="33">
        <f>IF((($B$28-$B$32-$B$39-$B$77-$B$38)*C22/100)&lt;0,0,($B$28-$B$32-$B$39-$B$77-$B$38)*C22/100)</f>
        <v>123.04875</v>
      </c>
      <c r="C36" s="168">
        <f>IF(ISERROR(B36/SUM($B$32,$B$34,$B$35,$B$36,$B$38,$B$39)*100),0,B36/SUM($B$32,$B$34,$B$35,$B$36,$B$38,$B$39)*100)</f>
        <v>0.94059585690261449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10099</v>
      </c>
      <c r="C44" s="34" t="s">
        <v>111</v>
      </c>
      <c r="D44" s="175"/>
    </row>
    <row r="45" spans="1:7">
      <c r="A45" s="172" t="s">
        <v>72</v>
      </c>
      <c r="B45" s="33" t="str">
        <f t="shared" si="0"/>
        <v>-</v>
      </c>
      <c r="C45" s="34" t="s">
        <v>111</v>
      </c>
      <c r="D45" s="175"/>
    </row>
    <row r="46" spans="1:7">
      <c r="A46" s="172" t="s">
        <v>73</v>
      </c>
      <c r="B46" s="33">
        <f t="shared" si="0"/>
        <v>141.6925</v>
      </c>
      <c r="C46" s="34" t="s">
        <v>111</v>
      </c>
      <c r="D46" s="175"/>
    </row>
    <row r="47" spans="1:7">
      <c r="A47" s="172" t="s">
        <v>74</v>
      </c>
      <c r="B47" s="33">
        <f t="shared" si="0"/>
        <v>2718.25875</v>
      </c>
      <c r="C47" s="34" t="s">
        <v>111</v>
      </c>
      <c r="D47" s="175"/>
    </row>
    <row r="48" spans="1:7">
      <c r="A48" s="172" t="s">
        <v>75</v>
      </c>
      <c r="B48" s="33">
        <f t="shared" si="0"/>
        <v>123.04875</v>
      </c>
      <c r="C48" s="33">
        <f>B48*10</f>
        <v>1230.4875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223441.64156752461</v>
      </c>
      <c r="C5" s="17">
        <f>IF(ISERROR('Eigen informatie GS &amp; warmtenet'!B58),0,'Eigen informatie GS &amp; warmtenet'!B58)</f>
        <v>0</v>
      </c>
      <c r="D5" s="30">
        <f>SUM(D6:D12)</f>
        <v>113603.93273771313</v>
      </c>
      <c r="E5" s="17">
        <f>SUM(E6:E12)</f>
        <v>6010.0141562398912</v>
      </c>
      <c r="F5" s="17">
        <f>SUM(F6:F12)</f>
        <v>36283.690518885385</v>
      </c>
      <c r="G5" s="18"/>
      <c r="H5" s="17"/>
      <c r="I5" s="17"/>
      <c r="J5" s="17">
        <f>SUM(J6:J12)</f>
        <v>0</v>
      </c>
      <c r="K5" s="17"/>
      <c r="L5" s="17"/>
      <c r="M5" s="17"/>
      <c r="N5" s="17">
        <f>SUM(N6:N12)</f>
        <v>2572.307889233638</v>
      </c>
      <c r="O5" s="17">
        <f>B38*B39*B40</f>
        <v>1.5633333333333335</v>
      </c>
      <c r="P5" s="17">
        <f>B46*B47*B48/1000-B46*B47*B48/1000/B49</f>
        <v>38.133333333333333</v>
      </c>
      <c r="R5" s="32"/>
    </row>
    <row r="6" spans="1:18">
      <c r="A6" s="32" t="s">
        <v>54</v>
      </c>
      <c r="B6" s="37">
        <f>B26</f>
        <v>137256.01999351502</v>
      </c>
      <c r="C6" s="33"/>
      <c r="D6" s="37">
        <f>IF(ISERROR(TER_kantoor_gas_kWh/1000),0,TER_kantoor_gas_kWh/1000)*0.902</f>
        <v>61186.377186807389</v>
      </c>
      <c r="E6" s="33">
        <f>$C$26*'E Balans VL '!I12/100/3.6*1000000</f>
        <v>4804.5006301798421</v>
      </c>
      <c r="F6" s="33">
        <f>$C$26*('E Balans VL '!L12+'E Balans VL '!N12)/100/3.6*1000000</f>
        <v>20810.959488889577</v>
      </c>
      <c r="G6" s="34"/>
      <c r="H6" s="33"/>
      <c r="I6" s="33"/>
      <c r="J6" s="33">
        <f>$C$26*('E Balans VL '!D12+'E Balans VL '!E12)/100/3.6*1000000</f>
        <v>0</v>
      </c>
      <c r="K6" s="33"/>
      <c r="L6" s="33"/>
      <c r="M6" s="33"/>
      <c r="N6" s="33">
        <f>$C$26*'E Balans VL '!Y12/100/3.6*1000000</f>
        <v>1060.9460745979241</v>
      </c>
      <c r="O6" s="33"/>
      <c r="P6" s="33"/>
      <c r="R6" s="32"/>
    </row>
    <row r="7" spans="1:18">
      <c r="A7" s="32" t="s">
        <v>53</v>
      </c>
      <c r="B7" s="37">
        <f t="shared" ref="B7:B12" si="0">B27</f>
        <v>3748.3719327122499</v>
      </c>
      <c r="C7" s="33"/>
      <c r="D7" s="37">
        <f>IF(ISERROR(TER_horeca_gas_kWh/1000),0,TER_horeca_gas_kWh/1000)*0.902</f>
        <v>4691.1269140853474</v>
      </c>
      <c r="E7" s="33">
        <f>$C$27*'E Balans VL '!I9/100/3.6*1000000</f>
        <v>211.45801821328496</v>
      </c>
      <c r="F7" s="33">
        <f>$C$27*('E Balans VL '!L9+'E Balans VL '!N9)/100/3.6*1000000</f>
        <v>652.98713443508677</v>
      </c>
      <c r="G7" s="34"/>
      <c r="H7" s="33"/>
      <c r="I7" s="33"/>
      <c r="J7" s="33">
        <f>$C$27*('E Balans VL '!D9+'E Balans VL '!E9)/100/3.6*1000000</f>
        <v>0</v>
      </c>
      <c r="K7" s="33"/>
      <c r="L7" s="33"/>
      <c r="M7" s="33"/>
      <c r="N7" s="33">
        <f>$C$27*'E Balans VL '!Y9/100/3.6*1000000</f>
        <v>0</v>
      </c>
      <c r="O7" s="33"/>
      <c r="P7" s="33"/>
      <c r="R7" s="32"/>
    </row>
    <row r="8" spans="1:18">
      <c r="A8" s="6" t="s">
        <v>52</v>
      </c>
      <c r="B8" s="37">
        <f t="shared" si="0"/>
        <v>44486.8751467029</v>
      </c>
      <c r="C8" s="33"/>
      <c r="D8" s="37">
        <f>IF(ISERROR(TER_handel_gas_kWh/1000),0,TER_handel_gas_kWh/1000)*0.902</f>
        <v>22688.012605269418</v>
      </c>
      <c r="E8" s="33">
        <f>$C$28*'E Balans VL '!I13/100/3.6*1000000</f>
        <v>228.39109720221015</v>
      </c>
      <c r="F8" s="33">
        <f>$C$28*('E Balans VL '!L13+'E Balans VL '!N13)/100/3.6*1000000</f>
        <v>6859.1887548366194</v>
      </c>
      <c r="G8" s="34"/>
      <c r="H8" s="33"/>
      <c r="I8" s="33"/>
      <c r="J8" s="33">
        <f>$C$28*('E Balans VL '!D13+'E Balans VL '!E13)/100/3.6*1000000</f>
        <v>0</v>
      </c>
      <c r="K8" s="33"/>
      <c r="L8" s="33"/>
      <c r="M8" s="33"/>
      <c r="N8" s="33">
        <f>$C$28*'E Balans VL '!Y13/100/3.6*1000000</f>
        <v>20.807054541518713</v>
      </c>
      <c r="O8" s="33"/>
      <c r="P8" s="33"/>
      <c r="R8" s="32"/>
    </row>
    <row r="9" spans="1:18">
      <c r="A9" s="32" t="s">
        <v>51</v>
      </c>
      <c r="B9" s="37">
        <f t="shared" si="0"/>
        <v>134.14600656004097</v>
      </c>
      <c r="C9" s="33"/>
      <c r="D9" s="37">
        <f>IF(ISERROR(TER_gezond_gas_kWh/1000),0,TER_gezond_gas_kWh/1000)*0.902</f>
        <v>0</v>
      </c>
      <c r="E9" s="33">
        <f>$C$29*'E Balans VL '!I10/100/3.6*1000000</f>
        <v>5.5602564365517922E-2</v>
      </c>
      <c r="F9" s="33">
        <f>$C$29*('E Balans VL '!L10+'E Balans VL '!N10)/100/3.6*1000000</f>
        <v>33.038237505368755</v>
      </c>
      <c r="G9" s="34"/>
      <c r="H9" s="33"/>
      <c r="I9" s="33"/>
      <c r="J9" s="33">
        <f>$C$29*('E Balans VL '!D10+'E Balans VL '!E10)/100/3.6*1000000</f>
        <v>0</v>
      </c>
      <c r="K9" s="33"/>
      <c r="L9" s="33"/>
      <c r="M9" s="33"/>
      <c r="N9" s="33">
        <f>$C$29*'E Balans VL '!Y10/100/3.6*1000000</f>
        <v>1.1593535248290492</v>
      </c>
      <c r="O9" s="33"/>
      <c r="P9" s="33"/>
      <c r="R9" s="32"/>
    </row>
    <row r="10" spans="1:18">
      <c r="A10" s="32" t="s">
        <v>50</v>
      </c>
      <c r="B10" s="37">
        <f t="shared" si="0"/>
        <v>2138.9218139053801</v>
      </c>
      <c r="C10" s="33"/>
      <c r="D10" s="37">
        <f>IF(ISERROR(TER_ander_gas_kWh/1000),0,TER_ander_gas_kWh/1000)*0.902</f>
        <v>2102.8224415809746</v>
      </c>
      <c r="E10" s="33">
        <f>$C$30*'E Balans VL '!I14/100/3.6*1000000</f>
        <v>13.038920150537983</v>
      </c>
      <c r="F10" s="33">
        <f>$C$30*('E Balans VL '!L14+'E Balans VL '!N14)/100/3.6*1000000</f>
        <v>567.05747277153421</v>
      </c>
      <c r="G10" s="34"/>
      <c r="H10" s="33"/>
      <c r="I10" s="33"/>
      <c r="J10" s="33">
        <f>$C$30*('E Balans VL '!D14+'E Balans VL '!E14)/100/3.6*1000000</f>
        <v>0</v>
      </c>
      <c r="K10" s="33"/>
      <c r="L10" s="33"/>
      <c r="M10" s="33"/>
      <c r="N10" s="33">
        <f>$C$30*'E Balans VL '!Y14/100/3.6*1000000</f>
        <v>492.97525940668277</v>
      </c>
      <c r="O10" s="33"/>
      <c r="P10" s="33"/>
      <c r="R10" s="32"/>
    </row>
    <row r="11" spans="1:18">
      <c r="A11" s="32" t="s">
        <v>55</v>
      </c>
      <c r="B11" s="37">
        <f t="shared" si="0"/>
        <v>609.29284407184798</v>
      </c>
      <c r="C11" s="33"/>
      <c r="D11" s="37">
        <f>IF(ISERROR(TER_onderwijs_gas_kWh/1000),0,TER_onderwijs_gas_kWh/1000)*0.902</f>
        <v>2033.8241906648957</v>
      </c>
      <c r="E11" s="33">
        <f>$C$31*'E Balans VL '!I11/100/3.6*1000000</f>
        <v>0.46431287339630545</v>
      </c>
      <c r="F11" s="33">
        <f>$C$31*('E Balans VL '!L11+'E Balans VL '!N11)/100/3.6*1000000</f>
        <v>440.91769260755632</v>
      </c>
      <c r="G11" s="34"/>
      <c r="H11" s="33"/>
      <c r="I11" s="33"/>
      <c r="J11" s="33">
        <f>$C$31*('E Balans VL '!D11+'E Balans VL '!E11)/100/3.6*1000000</f>
        <v>0</v>
      </c>
      <c r="K11" s="33"/>
      <c r="L11" s="33"/>
      <c r="M11" s="33"/>
      <c r="N11" s="33">
        <f>$C$31*'E Balans VL '!Y11/100/3.6*1000000</f>
        <v>1.7957316298160171</v>
      </c>
      <c r="O11" s="33"/>
      <c r="P11" s="33"/>
      <c r="R11" s="32"/>
    </row>
    <row r="12" spans="1:18">
      <c r="A12" s="32" t="s">
        <v>261</v>
      </c>
      <c r="B12" s="37">
        <f t="shared" si="0"/>
        <v>35068.0138300572</v>
      </c>
      <c r="C12" s="33"/>
      <c r="D12" s="37">
        <f>IF(ISERROR(TER_rest_gas_kWh/1000),0,TER_rest_gas_kWh/1000)*0.902</f>
        <v>20901.769399305103</v>
      </c>
      <c r="E12" s="33">
        <f>$C$32*'E Balans VL '!I8/100/3.6*1000000</f>
        <v>752.10557505625468</v>
      </c>
      <c r="F12" s="33">
        <f>$C$32*('E Balans VL '!L8+'E Balans VL '!N8)/100/3.6*1000000</f>
        <v>6919.5417378396378</v>
      </c>
      <c r="G12" s="34"/>
      <c r="H12" s="33"/>
      <c r="I12" s="33"/>
      <c r="J12" s="33">
        <f>$C$32*('E Balans VL '!D8+'E Balans VL '!E8)/100/3.6*1000000</f>
        <v>0</v>
      </c>
      <c r="K12" s="33"/>
      <c r="L12" s="33"/>
      <c r="M12" s="33"/>
      <c r="N12" s="33">
        <f>$C$32*'E Balans VL '!Y8/100/3.6*1000000</f>
        <v>994.6244155328676</v>
      </c>
      <c r="O12" s="33"/>
      <c r="P12" s="33"/>
      <c r="R12" s="32"/>
    </row>
    <row r="13" spans="1:18">
      <c r="A13" s="16" t="s">
        <v>497</v>
      </c>
      <c r="B13" s="248">
        <f ca="1">'lokale energieproductie'!N90+'lokale energieproductie'!N59</f>
        <v>267</v>
      </c>
      <c r="C13" s="248">
        <f ca="1">'lokale energieproductie'!O90+'lokale energieproductie'!O59</f>
        <v>381.42857142857144</v>
      </c>
      <c r="D13" s="311">
        <f ca="1">('lokale energieproductie'!P59+'lokale energieproductie'!P90)*(-1)</f>
        <v>-762.85714285714289</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223708.64156752461</v>
      </c>
      <c r="C16" s="21">
        <f ca="1">C5+C13+C14</f>
        <v>381.42857142857144</v>
      </c>
      <c r="D16" s="21">
        <f t="shared" ref="D16:N16" ca="1" si="1">MAX((D5+D13+D14),0)</f>
        <v>112841.07559485598</v>
      </c>
      <c r="E16" s="21">
        <f t="shared" si="1"/>
        <v>6010.0141562398912</v>
      </c>
      <c r="F16" s="21">
        <f t="shared" ca="1" si="1"/>
        <v>36283.690518885385</v>
      </c>
      <c r="G16" s="21">
        <f t="shared" si="1"/>
        <v>0</v>
      </c>
      <c r="H16" s="21">
        <f t="shared" si="1"/>
        <v>0</v>
      </c>
      <c r="I16" s="21">
        <f t="shared" si="1"/>
        <v>0</v>
      </c>
      <c r="J16" s="21">
        <f t="shared" si="1"/>
        <v>0</v>
      </c>
      <c r="K16" s="21">
        <f t="shared" si="1"/>
        <v>0</v>
      </c>
      <c r="L16" s="21">
        <f t="shared" ca="1" si="1"/>
        <v>0</v>
      </c>
      <c r="M16" s="21">
        <f t="shared" si="1"/>
        <v>0</v>
      </c>
      <c r="N16" s="21">
        <f t="shared" ca="1" si="1"/>
        <v>2572.307889233638</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0.21972581397260676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49154.56336113048</v>
      </c>
      <c r="C20" s="23">
        <f t="shared" ref="C20:P20" ca="1" si="2">C16*C18</f>
        <v>90.645378151260516</v>
      </c>
      <c r="D20" s="23">
        <f t="shared" ca="1" si="2"/>
        <v>22793.897270160909</v>
      </c>
      <c r="E20" s="23">
        <f t="shared" si="2"/>
        <v>1364.2732134664554</v>
      </c>
      <c r="F20" s="23">
        <f t="shared" ca="1" si="2"/>
        <v>9687.7453685423989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137256.01999351502</v>
      </c>
      <c r="C26" s="39">
        <f>IF(ISERROR(B26*3.6/1000000/'E Balans VL '!Z12*100),0,B26*3.6/1000000/'E Balans VL '!Z12*100)</f>
        <v>2.88832531878802</v>
      </c>
      <c r="D26" s="238" t="s">
        <v>720</v>
      </c>
      <c r="F26" s="6"/>
    </row>
    <row r="27" spans="1:18">
      <c r="A27" s="232" t="s">
        <v>53</v>
      </c>
      <c r="B27" s="33">
        <f>IF(ISERROR(TER_horeca_ele_kWh/1000),0,TER_horeca_ele_kWh/1000)</f>
        <v>3748.3719327122499</v>
      </c>
      <c r="C27" s="39">
        <f>IF(ISERROR(B27*3.6/1000000/'E Balans VL '!Z9*100),0,B27*3.6/1000000/'E Balans VL '!Z9*100)</f>
        <v>0.31736411871515585</v>
      </c>
      <c r="D27" s="238" t="s">
        <v>720</v>
      </c>
      <c r="F27" s="6"/>
    </row>
    <row r="28" spans="1:18">
      <c r="A28" s="172" t="s">
        <v>52</v>
      </c>
      <c r="B28" s="33">
        <f>IF(ISERROR(TER_handel_ele_kWh/1000),0,TER_handel_ele_kWh/1000)</f>
        <v>44486.8751467029</v>
      </c>
      <c r="C28" s="39">
        <f>IF(ISERROR(B28*3.6/1000000/'E Balans VL '!Z13*100),0,B28*3.6/1000000/'E Balans VL '!Z13*100)</f>
        <v>1.2316129868338279</v>
      </c>
      <c r="D28" s="238" t="s">
        <v>720</v>
      </c>
      <c r="F28" s="6"/>
    </row>
    <row r="29" spans="1:18">
      <c r="A29" s="232" t="s">
        <v>51</v>
      </c>
      <c r="B29" s="33">
        <f>IF(ISERROR(TER_gezond_ele_kWh/1000),0,TER_gezond_ele_kWh/1000)</f>
        <v>134.14600656004097</v>
      </c>
      <c r="C29" s="39">
        <f>IF(ISERROR(B29*3.6/1000000/'E Balans VL '!Z10*100),0,B29*3.6/1000000/'E Balans VL '!Z10*100)</f>
        <v>1.7437493670932488E-2</v>
      </c>
      <c r="D29" s="238" t="s">
        <v>720</v>
      </c>
      <c r="F29" s="6"/>
    </row>
    <row r="30" spans="1:18">
      <c r="A30" s="232" t="s">
        <v>50</v>
      </c>
      <c r="B30" s="33">
        <f>IF(ISERROR(TER_ander_ele_kWh/1000),0,TER_ander_ele_kWh/1000)</f>
        <v>2138.9218139053801</v>
      </c>
      <c r="C30" s="39">
        <f>IF(ISERROR(B30*3.6/1000000/'E Balans VL '!Z14*100),0,B30*3.6/1000000/'E Balans VL '!Z14*100)</f>
        <v>0.16578605598914173</v>
      </c>
      <c r="D30" s="238" t="s">
        <v>720</v>
      </c>
      <c r="F30" s="6"/>
    </row>
    <row r="31" spans="1:18">
      <c r="A31" s="232" t="s">
        <v>55</v>
      </c>
      <c r="B31" s="33">
        <f>IF(ISERROR(TER_onderwijs_ele_kWh/1000),0,TER_onderwijs_ele_kWh/1000)</f>
        <v>609.29284407184798</v>
      </c>
      <c r="C31" s="39">
        <f>IF(ISERROR(B31*3.6/1000000/'E Balans VL '!Z11*100),0,B31*3.6/1000000/'E Balans VL '!Z11*100)</f>
        <v>0.11656810320129939</v>
      </c>
      <c r="D31" s="238" t="s">
        <v>720</v>
      </c>
    </row>
    <row r="32" spans="1:18">
      <c r="A32" s="232" t="s">
        <v>261</v>
      </c>
      <c r="B32" s="33">
        <f>IF(ISERROR(TER_rest_ele_kWh/1000),0,TER_rest_ele_kWh/1000)</f>
        <v>35068.0138300572</v>
      </c>
      <c r="C32" s="39">
        <f>IF(ISERROR(B32*3.6/1000000/'E Balans VL '!Z8*100),0,B32*3.6/1000000/'E Balans VL '!Z8*100)</f>
        <v>0.28916270330241373</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37668.453138775832</v>
      </c>
      <c r="C5" s="17">
        <f>IF(ISERROR('Eigen informatie GS &amp; warmtenet'!B59),0,'Eigen informatie GS &amp; warmtenet'!B59)</f>
        <v>0</v>
      </c>
      <c r="D5" s="30">
        <f>SUM(D6:D15)</f>
        <v>25697.836427754679</v>
      </c>
      <c r="E5" s="17">
        <f>SUM(E6:E15)</f>
        <v>422.45998660116499</v>
      </c>
      <c r="F5" s="17">
        <f>SUM(F6:F15)</f>
        <v>13247.901221103055</v>
      </c>
      <c r="G5" s="18"/>
      <c r="H5" s="17"/>
      <c r="I5" s="17"/>
      <c r="J5" s="17">
        <f>SUM(J6:J15)</f>
        <v>407.2254158394876</v>
      </c>
      <c r="K5" s="17"/>
      <c r="L5" s="17"/>
      <c r="M5" s="17"/>
      <c r="N5" s="17">
        <f>SUM(N6:N15)</f>
        <v>1113.9586816310975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17679.514902148803</v>
      </c>
      <c r="C8" s="33"/>
      <c r="D8" s="37">
        <f>IF( ISERROR(IND_metaal_Gas_kWH/1000),0,IND_metaal_Gas_kWH/1000)*0.902</f>
        <v>9624.3854537638599</v>
      </c>
      <c r="E8" s="33">
        <f>C30*'E Balans VL '!I18/100/3.6*1000000</f>
        <v>124.23005040937819</v>
      </c>
      <c r="F8" s="33">
        <f>C30*'E Balans VL '!L18/100/3.6*1000000+C30*'E Balans VL '!N18/100/3.6*1000000</f>
        <v>1941.1073009127717</v>
      </c>
      <c r="G8" s="34"/>
      <c r="H8" s="33"/>
      <c r="I8" s="33"/>
      <c r="J8" s="40">
        <f>C30*'E Balans VL '!D18/100/3.6*1000000+C30*'E Balans VL '!E18/100/3.6*1000000</f>
        <v>364.76649871229017</v>
      </c>
      <c r="K8" s="33"/>
      <c r="L8" s="33"/>
      <c r="M8" s="33"/>
      <c r="N8" s="33">
        <f>C30*'E Balans VL '!Y18/100/3.6*1000000</f>
        <v>66.26409513055124</v>
      </c>
      <c r="O8" s="33"/>
      <c r="P8" s="33"/>
      <c r="R8" s="32"/>
    </row>
    <row r="9" spans="1:18">
      <c r="A9" s="6" t="s">
        <v>33</v>
      </c>
      <c r="B9" s="37">
        <f t="shared" si="0"/>
        <v>12610.719916599301</v>
      </c>
      <c r="C9" s="33"/>
      <c r="D9" s="37">
        <f>IF( ISERROR(IND_andere_gas_kWh/1000),0,IND_andere_gas_kWh/1000)*0.902</f>
        <v>10863.851124505974</v>
      </c>
      <c r="E9" s="33">
        <f>C31*'E Balans VL '!I19/100/3.6*1000000</f>
        <v>211.81248962443027</v>
      </c>
      <c r="F9" s="33">
        <f>C31*'E Balans VL '!L19/100/3.6*1000000+C31*'E Balans VL '!N19/100/3.6*1000000</f>
        <v>9858.3425778210931</v>
      </c>
      <c r="G9" s="34"/>
      <c r="H9" s="33"/>
      <c r="I9" s="33"/>
      <c r="J9" s="40">
        <f>C31*'E Balans VL '!D19/100/3.6*1000000+C31*'E Balans VL '!E19/100/3.6*1000000</f>
        <v>1.1373756167985143</v>
      </c>
      <c r="K9" s="33"/>
      <c r="L9" s="33"/>
      <c r="M9" s="33"/>
      <c r="N9" s="33">
        <f>C31*'E Balans VL '!Y19/100/3.6*1000000</f>
        <v>934.65666700926533</v>
      </c>
      <c r="O9" s="33"/>
      <c r="P9" s="33"/>
      <c r="R9" s="32"/>
    </row>
    <row r="10" spans="1:18">
      <c r="A10" s="6" t="s">
        <v>41</v>
      </c>
      <c r="B10" s="37">
        <f t="shared" si="0"/>
        <v>627.064517719945</v>
      </c>
      <c r="C10" s="33"/>
      <c r="D10" s="37">
        <f>IF( ISERROR(IND_voed_gas_kWh/1000),0,IND_voed_gas_kWh/1000)*0.902</f>
        <v>953.51931077226425</v>
      </c>
      <c r="E10" s="33">
        <f>C32*'E Balans VL '!I20/100/3.6*1000000</f>
        <v>5.7210760830289678</v>
      </c>
      <c r="F10" s="33">
        <f>C32*'E Balans VL '!L20/100/3.6*1000000+C32*'E Balans VL '!N20/100/3.6*1000000</f>
        <v>101.16512013852352</v>
      </c>
      <c r="G10" s="34"/>
      <c r="H10" s="33"/>
      <c r="I10" s="33"/>
      <c r="J10" s="40">
        <f>C32*'E Balans VL '!D20/100/3.6*1000000+C32*'E Balans VL '!E20/100/3.6*1000000</f>
        <v>2.5826628073690125</v>
      </c>
      <c r="K10" s="33"/>
      <c r="L10" s="33"/>
      <c r="M10" s="33"/>
      <c r="N10" s="33">
        <f>C32*'E Balans VL '!Y20/100/3.6*1000000</f>
        <v>9.1734594399931879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927.46325115693003</v>
      </c>
      <c r="C13" s="33"/>
      <c r="D13" s="37">
        <f>IF( ISERROR(IND_papier_gas_kWh/1000),0,IND_papier_gas_kWh/1000)*0.902</f>
        <v>587.34173805903811</v>
      </c>
      <c r="E13" s="33">
        <f>C35*'E Balans VL '!I23/100/3.6*1000000</f>
        <v>28.535623774585751</v>
      </c>
      <c r="F13" s="33">
        <f>C35*'E Balans VL '!L23/100/3.6*1000000+C35*'E Balans VL '!N23/100/3.6*1000000</f>
        <v>196.93286114621114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70.407874016945797</v>
      </c>
      <c r="C14" s="33"/>
      <c r="D14" s="37">
        <f>IF( ISERROR(IND_chemie_gas_kWh/1000),0,IND_chemie_gas_kWh/1000)*0.902</f>
        <v>144.14515328982841</v>
      </c>
      <c r="E14" s="33">
        <f>C36*'E Balans VL '!I24/100/3.6*1000000</f>
        <v>0.23873118751612404</v>
      </c>
      <c r="F14" s="33">
        <f>C36*'E Balans VL '!L24/100/3.6*1000000+C36*'E Balans VL '!N24/100/3.6*1000000</f>
        <v>0.22595592656881885</v>
      </c>
      <c r="G14" s="34"/>
      <c r="H14" s="33"/>
      <c r="I14" s="33"/>
      <c r="J14" s="40">
        <f>C36*'E Balans VL '!D24/100/3.6*1000000+C36*'E Balans VL '!E24/100/3.6*1000000</f>
        <v>0</v>
      </c>
      <c r="K14" s="33"/>
      <c r="L14" s="33"/>
      <c r="M14" s="33"/>
      <c r="N14" s="33">
        <f>C36*'E Balans VL '!Y24/100/3.6*1000000</f>
        <v>0.32920813802987964</v>
      </c>
      <c r="O14" s="33"/>
      <c r="P14" s="33"/>
      <c r="R14" s="32"/>
    </row>
    <row r="15" spans="1:18">
      <c r="A15" s="6" t="s">
        <v>271</v>
      </c>
      <c r="B15" s="37">
        <f t="shared" si="0"/>
        <v>5753.2826771339105</v>
      </c>
      <c r="C15" s="33"/>
      <c r="D15" s="37">
        <f>IF( ISERROR(IND_rest_gas_kWh/1000),0,IND_rest_gas_kWh/1000)*0.902</f>
        <v>3524.5936473637194</v>
      </c>
      <c r="E15" s="33">
        <f>C37*'E Balans VL '!I15/100/3.6*1000000</f>
        <v>51.922015522225706</v>
      </c>
      <c r="F15" s="33">
        <f>C37*'E Balans VL '!L15/100/3.6*1000000+C37*'E Balans VL '!N15/100/3.6*1000000</f>
        <v>1150.1274051578851</v>
      </c>
      <c r="G15" s="34"/>
      <c r="H15" s="33"/>
      <c r="I15" s="33"/>
      <c r="J15" s="40">
        <f>C37*'E Balans VL '!D15/100/3.6*1000000+C37*'E Balans VL '!E15/100/3.6*1000000</f>
        <v>38.738878703029897</v>
      </c>
      <c r="K15" s="33"/>
      <c r="L15" s="33"/>
      <c r="M15" s="33"/>
      <c r="N15" s="33">
        <f>C37*'E Balans VL '!Y15/100/3.6*1000000</f>
        <v>103.53525191325797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37668.453138775832</v>
      </c>
      <c r="C18" s="21">
        <f>C5+C16</f>
        <v>0</v>
      </c>
      <c r="D18" s="21">
        <f>MAX((D5+D16),0)</f>
        <v>25697.836427754679</v>
      </c>
      <c r="E18" s="21">
        <f>MAX((E5+E16),0)</f>
        <v>422.45998660116499</v>
      </c>
      <c r="F18" s="21">
        <f>MAX((F5+F16),0)</f>
        <v>13247.901221103055</v>
      </c>
      <c r="G18" s="21"/>
      <c r="H18" s="21"/>
      <c r="I18" s="21"/>
      <c r="J18" s="21">
        <f>MAX((J5+J16),0)</f>
        <v>407.2254158394876</v>
      </c>
      <c r="K18" s="21"/>
      <c r="L18" s="21">
        <f>MAX((L5+L16),0)</f>
        <v>0</v>
      </c>
      <c r="M18" s="21"/>
      <c r="N18" s="21">
        <f>MAX((N5+N16),0)</f>
        <v>1113.9586816310975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0.21972581397260676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8276.7315270065137</v>
      </c>
      <c r="C22" s="23">
        <f ca="1">C18*C20</f>
        <v>0</v>
      </c>
      <c r="D22" s="23">
        <f>D18*D20</f>
        <v>5190.9629584064451</v>
      </c>
      <c r="E22" s="23">
        <f>E18*E20</f>
        <v>95.898416958464452</v>
      </c>
      <c r="F22" s="23">
        <f>F18*F20</f>
        <v>3537.1896260345156</v>
      </c>
      <c r="G22" s="23"/>
      <c r="H22" s="23"/>
      <c r="I22" s="23"/>
      <c r="J22" s="23">
        <f>J18*J20</f>
        <v>144.15779720717859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17679.514902148803</v>
      </c>
      <c r="C30" s="39">
        <f>IF(ISERROR(B30*3.6/1000000/'E Balans VL '!Z18*100),0,B30*3.6/1000000/'E Balans VL '!Z18*100)</f>
        <v>1.1769361030525323</v>
      </c>
      <c r="D30" s="238" t="s">
        <v>720</v>
      </c>
    </row>
    <row r="31" spans="1:18">
      <c r="A31" s="6" t="s">
        <v>33</v>
      </c>
      <c r="B31" s="37">
        <f>IF( ISERROR(IND_ander_ele_kWh/1000),0,IND_ander_ele_kWh/1000)</f>
        <v>12610.719916599301</v>
      </c>
      <c r="C31" s="39">
        <f>IF(ISERROR(B31*3.6/1000000/'E Balans VL '!Z19*100),0,B31*3.6/1000000/'E Balans VL '!Z19*100)</f>
        <v>0.55898323829005481</v>
      </c>
      <c r="D31" s="238" t="s">
        <v>720</v>
      </c>
    </row>
    <row r="32" spans="1:18">
      <c r="A32" s="172" t="s">
        <v>41</v>
      </c>
      <c r="B32" s="37">
        <f>IF( ISERROR(IND_voed_ele_kWh/1000),0,IND_voed_ele_kWh/1000)</f>
        <v>627.064517719945</v>
      </c>
      <c r="C32" s="39">
        <f>IF(ISERROR(B32*3.6/1000000/'E Balans VL '!Z20*100),0,B32*3.6/1000000/'E Balans VL '!Z20*100)</f>
        <v>2.0945753707135306E-2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927.46325115693003</v>
      </c>
      <c r="C35" s="39">
        <f>IF(ISERROR(B35*3.6/1000000/'E Balans VL '!Z22*100),0,B35*3.6/1000000/'E Balans VL '!Z22*100)</f>
        <v>0.18038141474530739</v>
      </c>
      <c r="D35" s="238" t="s">
        <v>720</v>
      </c>
    </row>
    <row r="36" spans="1:5">
      <c r="A36" s="172" t="s">
        <v>34</v>
      </c>
      <c r="B36" s="37">
        <f>IF( ISERROR(IND_chemie_ele_kWh/1000),0,IND_chemie_ele_kWh/1000)</f>
        <v>70.407874016945797</v>
      </c>
      <c r="C36" s="39">
        <f>IF(ISERROR(B36*3.6/1000000/'E Balans VL '!Z24*100),0,B36*3.6/1000000/'E Balans VL '!Z24*100)</f>
        <v>1.6533665183726997E-3</v>
      </c>
      <c r="D36" s="238" t="s">
        <v>720</v>
      </c>
    </row>
    <row r="37" spans="1:5">
      <c r="A37" s="172" t="s">
        <v>271</v>
      </c>
      <c r="B37" s="37">
        <f>IF( ISERROR(IND_rest_ele_kWh/1000),0,IND_rest_ele_kWh/1000)</f>
        <v>5753.2826771339105</v>
      </c>
      <c r="C37" s="39">
        <f>IF(ISERROR(B37*3.6/1000000/'E Balans VL '!Z15*100),0,B37*3.6/1000000/'E Balans VL '!Z15*100)</f>
        <v>4.2795050218644527E-2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706.40181698439528</v>
      </c>
      <c r="C5" s="17">
        <f>'Eigen informatie GS &amp; warmtenet'!B60</f>
        <v>0</v>
      </c>
      <c r="D5" s="30">
        <f>IF(ISERROR(SUM(LB_lb_gas_kWh,LB_rest_gas_kWh,onbekend_gas_kWh)/1000),0,SUM(LB_lb_gas_kWh,LB_rest_gas_kWh,onbekend_gas_kWh)/1000)*0.902</f>
        <v>11530.83160325083</v>
      </c>
      <c r="E5" s="17">
        <f>B17*'E Balans VL '!I25/3.6*1000000/100</f>
        <v>7.3975927572175246</v>
      </c>
      <c r="F5" s="17">
        <f>B17*('E Balans VL '!L25/3.6*1000000+'E Balans VL '!N25/3.6*1000000)/100</f>
        <v>3628.1922083437262</v>
      </c>
      <c r="G5" s="18"/>
      <c r="H5" s="17"/>
      <c r="I5" s="17"/>
      <c r="J5" s="17">
        <f>('E Balans VL '!D25+'E Balans VL '!E25)/3.6*1000000*landbouw!B17/100</f>
        <v>63.088013844206863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706.40181698439528</v>
      </c>
      <c r="C8" s="21">
        <f>C5+C6</f>
        <v>0</v>
      </c>
      <c r="D8" s="21">
        <f>MAX((D5+D6),0)</f>
        <v>11530.83160325083</v>
      </c>
      <c r="E8" s="21">
        <f>MAX((E5+E6),0)</f>
        <v>7.3975927572175246</v>
      </c>
      <c r="F8" s="21">
        <f>MAX((F5+F6),0)</f>
        <v>3628.1922083437262</v>
      </c>
      <c r="G8" s="21"/>
      <c r="H8" s="21"/>
      <c r="I8" s="21"/>
      <c r="J8" s="21">
        <f>MAX((J5+J6),0)</f>
        <v>63.088013844206863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0.21972581397260676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155.21471422862464</v>
      </c>
      <c r="C12" s="23">
        <f ca="1">C8*C10</f>
        <v>0</v>
      </c>
      <c r="D12" s="23">
        <f>D8*D10</f>
        <v>2329.2279838566678</v>
      </c>
      <c r="E12" s="23">
        <f>E8*E10</f>
        <v>1.6792535558883781</v>
      </c>
      <c r="F12" s="23">
        <f>F8*F10</f>
        <v>968.72731962777493</v>
      </c>
      <c r="G12" s="23"/>
      <c r="H12" s="23"/>
      <c r="I12" s="23"/>
      <c r="J12" s="23">
        <f>J8*J10</f>
        <v>22.333156900849229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0.10872887570889159</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0.86021648808053675</v>
      </c>
      <c r="C26" s="248">
        <f>B26*'GWP N2O_CH4'!B5</f>
        <v>18.064546249691272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7.7255967093103659E-2</v>
      </c>
      <c r="C27" s="248">
        <f>B27*'GWP N2O_CH4'!B5</f>
        <v>1.6223753089551769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1.5488263149591551E-2</v>
      </c>
      <c r="C28" s="248">
        <f>B28*'GWP N2O_CH4'!B4</f>
        <v>4.801361576373381</v>
      </c>
      <c r="D28" s="50"/>
    </row>
    <row r="29" spans="1:4">
      <c r="A29" s="41" t="s">
        <v>278</v>
      </c>
      <c r="B29" s="248">
        <f>B34*'ha_N2O bodem landbouw'!B4</f>
        <v>6.5408643399430222</v>
      </c>
      <c r="C29" s="248">
        <f>B29*'GWP N2O_CH4'!B4</f>
        <v>2027.6679453823369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1.080963737904209E-3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1.6376565520196522E-5</v>
      </c>
      <c r="C5" s="446" t="s">
        <v>212</v>
      </c>
      <c r="D5" s="431">
        <f>SUM(D6:D11)</f>
        <v>7.5600657829250011E-5</v>
      </c>
      <c r="E5" s="431">
        <f>SUM(E6:E11)</f>
        <v>9.3275637720593631E-3</v>
      </c>
      <c r="F5" s="444" t="s">
        <v>212</v>
      </c>
      <c r="G5" s="431">
        <f>SUM(G6:G11)</f>
        <v>1.4378788689628883</v>
      </c>
      <c r="H5" s="431">
        <f>SUM(H6:H11)</f>
        <v>0.26462904586994762</v>
      </c>
      <c r="I5" s="446" t="s">
        <v>212</v>
      </c>
      <c r="J5" s="446" t="s">
        <v>212</v>
      </c>
      <c r="K5" s="446" t="s">
        <v>212</v>
      </c>
      <c r="L5" s="446" t="s">
        <v>212</v>
      </c>
      <c r="M5" s="431">
        <f>SUM(M6:M11)</f>
        <v>7.4334002063281751E-2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2.4997378369258333E-6</v>
      </c>
      <c r="C6" s="432"/>
      <c r="D6" s="432">
        <f>vkm_2011_GW_PW*SUMIFS(TableVerdeelsleutelVkm[CNG],TableVerdeelsleutelVkm[Voertuigtype],"Lichte voertuigen")*SUMIFS(TableECFTransport[EnergieConsumptieFactor (PJ per km)],TableECFTransport[Index],CONCATENATE($A6,"_CNG_CNG"))</f>
        <v>1.0776079245781922E-5</v>
      </c>
      <c r="E6" s="434">
        <f>vkm_2011_GW_PW*SUMIFS(TableVerdeelsleutelVkm[LPG],TableVerdeelsleutelVkm[Voertuigtype],"Lichte voertuigen")*SUMIFS(TableECFTransport[EnergieConsumptieFactor (PJ per km)],TableECFTransport[Index],CONCATENATE($A6,"_LPG_LPG"))</f>
        <v>1.1211849248891047E-3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0.13790882372666211</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3.6308535399907929E-2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7.6350399069537739E-3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1.7435969956037987E-2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5.9785524764041192E-6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7.5320123275835643E-4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8.7078097054344204E-7</v>
      </c>
      <c r="C8" s="432"/>
      <c r="D8" s="434">
        <f>vkm_2011_NGW_PW*SUMIFS(TableVerdeelsleutelVkm[CNG],TableVerdeelsleutelVkm[Voertuigtype],"Lichte voertuigen")*SUMIFS(TableECFTransport[EnergieConsumptieFactor (PJ per km)],TableECFTransport[Index],CONCATENATE($A8,"_CNG_CNG"))</f>
        <v>6.7344723990814736E-6</v>
      </c>
      <c r="E8" s="434">
        <f>vkm_2011_NGW_PW*SUMIFS(TableVerdeelsleutelVkm[LPG],TableVerdeelsleutelVkm[Voertuigtype],"Lichte voertuigen")*SUMIFS(TableECFTransport[EnergieConsumptieFactor (PJ per km)],TableECFTransport[Index],CONCATENATE($A8,"_LPG_LPG"))</f>
        <v>6.3977329420509882E-4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7.4639345332890655E-2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2.1660002190114679E-2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4.2252020610873001E-3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1.0524281516020527E-3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3.1349069793922843E-7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4.5460732546237735E-5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1.3006046712727245E-5</v>
      </c>
      <c r="C10" s="432"/>
      <c r="D10" s="434">
        <f>vkm_2011_SW_PW*SUMIFS(TableVerdeelsleutelVkm[CNG],TableVerdeelsleutelVkm[Voertuigtype],"Lichte voertuigen")*SUMIFS(TableECFTransport[EnergieConsumptieFactor (PJ per km)],TableECFTransport[Index],CONCATENATE($A10,"_CNG_CNG"))</f>
        <v>5.8090106184386616E-5</v>
      </c>
      <c r="E10" s="434">
        <f>vkm_2011_SW_PW*SUMIFS(TableVerdeelsleutelVkm[LPG],TableVerdeelsleutelVkm[Voertuigtype],"Lichte voertuigen")*SUMIFS(TableECFTransport[EnergieConsumptieFactor (PJ per km)],TableECFTransport[Index],CONCATENATE($A10,"_LPG_LPG"))</f>
        <v>7.5666055529651595E-3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0.85564235250101861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0.20652573128533547</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4.6503545301527158E-2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0.35119994929467691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1.2848495141523135E-4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1.5171552828408917E-2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4.5490459778323675</v>
      </c>
      <c r="C14" s="21"/>
      <c r="D14" s="21">
        <f t="shared" ref="D14:M14" si="0">((D5)*10^9/3600)+D12</f>
        <v>21.000182730347223</v>
      </c>
      <c r="E14" s="21">
        <f t="shared" si="0"/>
        <v>2590.9899366831564</v>
      </c>
      <c r="F14" s="21"/>
      <c r="G14" s="21">
        <f t="shared" si="0"/>
        <v>399410.79693413561</v>
      </c>
      <c r="H14" s="21">
        <f t="shared" si="0"/>
        <v>73508.068297207676</v>
      </c>
      <c r="I14" s="21"/>
      <c r="J14" s="21"/>
      <c r="K14" s="21"/>
      <c r="L14" s="21"/>
      <c r="M14" s="21">
        <f t="shared" si="0"/>
        <v>20648.333906467153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0.21972581397260676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0.99954283027802981</v>
      </c>
      <c r="C18" s="23"/>
      <c r="D18" s="23">
        <f t="shared" ref="D18:M18" si="1">D14*D16</f>
        <v>4.2420369115301391</v>
      </c>
      <c r="E18" s="23">
        <f t="shared" si="1"/>
        <v>588.15471562707648</v>
      </c>
      <c r="F18" s="23"/>
      <c r="G18" s="23">
        <f t="shared" si="1"/>
        <v>106642.68278141422</v>
      </c>
      <c r="H18" s="23">
        <f t="shared" si="1"/>
        <v>18303.509006004711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3.6857915107769208E-2</v>
      </c>
      <c r="H50" s="322">
        <f t="shared" si="2"/>
        <v>0</v>
      </c>
      <c r="I50" s="322">
        <f t="shared" si="2"/>
        <v>0</v>
      </c>
      <c r="J50" s="322">
        <f t="shared" si="2"/>
        <v>0</v>
      </c>
      <c r="K50" s="322">
        <f t="shared" si="2"/>
        <v>0</v>
      </c>
      <c r="L50" s="322">
        <f t="shared" si="2"/>
        <v>0</v>
      </c>
      <c r="M50" s="322">
        <f t="shared" si="2"/>
        <v>1.5710927926957149E-3</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3.6857915107769208E-2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1.5710927926957149E-3</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10238.309752158113</v>
      </c>
      <c r="H54" s="21">
        <f t="shared" si="3"/>
        <v>0</v>
      </c>
      <c r="I54" s="21">
        <f t="shared" si="3"/>
        <v>0</v>
      </c>
      <c r="J54" s="21">
        <f t="shared" si="3"/>
        <v>0</v>
      </c>
      <c r="K54" s="21">
        <f t="shared" si="3"/>
        <v>0</v>
      </c>
      <c r="L54" s="21">
        <f t="shared" si="3"/>
        <v>0</v>
      </c>
      <c r="M54" s="21">
        <f t="shared" si="3"/>
        <v>436.41466463769859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0.21972581397260676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2733.6287038262162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1843.5041287250128</v>
      </c>
      <c r="C6" s="1124"/>
      <c r="D6" s="1127"/>
      <c r="E6" s="1127"/>
      <c r="F6" s="1130"/>
      <c r="G6" s="1133"/>
      <c r="H6" s="1121"/>
      <c r="I6" s="1127"/>
      <c r="J6" s="1127"/>
      <c r="K6" s="1127"/>
      <c r="L6" s="1157"/>
      <c r="M6" s="559"/>
      <c r="N6" s="1169"/>
      <c r="O6" s="1170"/>
      <c r="Q6" s="557"/>
      <c r="R6" s="1154"/>
      <c r="S6" s="1154"/>
    </row>
    <row r="7" spans="1:19" s="547" customFormat="1">
      <c r="A7" s="560" t="s">
        <v>253</v>
      </c>
      <c r="B7" s="561">
        <f>N57</f>
        <v>267</v>
      </c>
      <c r="C7" s="562">
        <f>B100</f>
        <v>314.11764705882354</v>
      </c>
      <c r="D7" s="563"/>
      <c r="E7" s="563">
        <f>E100</f>
        <v>0</v>
      </c>
      <c r="F7" s="564"/>
      <c r="G7" s="565"/>
      <c r="H7" s="563">
        <f>I100</f>
        <v>0</v>
      </c>
      <c r="I7" s="563">
        <f>G100+F100</f>
        <v>0</v>
      </c>
      <c r="J7" s="563">
        <f>H100+D100+C100</f>
        <v>0</v>
      </c>
      <c r="K7" s="563"/>
      <c r="L7" s="566"/>
      <c r="M7" s="567">
        <f>C7*$C$11+D7*$D$11+E7*$E$11+F7*$F$11+G7*$G$11+H7*$H$11+I7*$I$11+J7*$J$11</f>
        <v>63.451764705882361</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2110.5041287250128</v>
      </c>
      <c r="C9" s="578">
        <f t="shared" ref="C9:L9" si="0">SUM(C7:C8)</f>
        <v>314.11764705882354</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63.451764705882361</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381.42857142857144</v>
      </c>
      <c r="C16" s="594">
        <f>B101</f>
        <v>448.73949579831935</v>
      </c>
      <c r="D16" s="595"/>
      <c r="E16" s="595">
        <f>E101</f>
        <v>0</v>
      </c>
      <c r="F16" s="596"/>
      <c r="G16" s="597"/>
      <c r="H16" s="594">
        <f>I101</f>
        <v>0</v>
      </c>
      <c r="I16" s="595">
        <f>G101+F101</f>
        <v>0</v>
      </c>
      <c r="J16" s="595">
        <f>H101+D101+C101</f>
        <v>0</v>
      </c>
      <c r="K16" s="595"/>
      <c r="L16" s="598"/>
      <c r="M16" s="599">
        <f>C16*$C$21+E16*$E$21+H16*$H$21+I16*$I$21+J16*$J$21+D16*$D$21+F16*$F$21+G16*$G$21+K16*$K$21+L16*$L$21</f>
        <v>90.645378151260516</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381.42857142857144</v>
      </c>
      <c r="C19" s="577">
        <f>SUM(C16:C18)</f>
        <v>448.73949579831935</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90.645378151260516</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23094</v>
      </c>
      <c r="C27" s="839">
        <v>1932</v>
      </c>
      <c r="D27" s="656" t="s">
        <v>894</v>
      </c>
      <c r="E27" s="655" t="s">
        <v>895</v>
      </c>
      <c r="F27" s="655" t="s">
        <v>896</v>
      </c>
      <c r="G27" s="655" t="s">
        <v>897</v>
      </c>
      <c r="H27" s="655" t="s">
        <v>898</v>
      </c>
      <c r="I27" s="655" t="s">
        <v>899</v>
      </c>
      <c r="J27" s="838">
        <v>40584</v>
      </c>
      <c r="K27" s="838">
        <v>40756</v>
      </c>
      <c r="L27" s="655" t="s">
        <v>900</v>
      </c>
      <c r="M27" s="655">
        <v>178</v>
      </c>
      <c r="N27" s="655">
        <v>267</v>
      </c>
      <c r="O27" s="655">
        <v>381.42857142857144</v>
      </c>
      <c r="P27" s="655">
        <v>762.85714285714289</v>
      </c>
      <c r="Q27" s="655">
        <v>0</v>
      </c>
      <c r="R27" s="655">
        <v>0</v>
      </c>
      <c r="S27" s="655">
        <v>0</v>
      </c>
      <c r="T27" s="655">
        <v>0</v>
      </c>
      <c r="U27" s="655">
        <v>0</v>
      </c>
      <c r="V27" s="655">
        <v>0</v>
      </c>
      <c r="W27" s="655">
        <v>0</v>
      </c>
      <c r="X27" s="655">
        <v>1100</v>
      </c>
      <c r="Y27" s="655" t="s">
        <v>52</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178</v>
      </c>
      <c r="N57" s="613">
        <f>SUM(N27:N56)</f>
        <v>267</v>
      </c>
      <c r="O57" s="613">
        <f t="shared" ref="O57:W57" si="2">SUM(O27:O56)</f>
        <v>381.42857142857144</v>
      </c>
      <c r="P57" s="613">
        <f t="shared" si="2"/>
        <v>762.85714285714289</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178</v>
      </c>
      <c r="N59" s="613">
        <f ca="1">SUMIF($Z$27:AB56,"tertiair",N27:N56)</f>
        <v>267</v>
      </c>
      <c r="O59" s="613">
        <f ca="1">SUMIF($Z$27:AC56,"tertiair",O27:O56)</f>
        <v>381.42857142857144</v>
      </c>
      <c r="P59" s="613">
        <f ca="1">SUMIF($Z$27:AD56,"tertiair",P27:P56)</f>
        <v>762.85714285714289</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314.11764705882354</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448.73949579831935</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226586.01856752462</v>
      </c>
      <c r="D10" s="702">
        <f ca="1">tertiair!C16</f>
        <v>381.42857142857144</v>
      </c>
      <c r="E10" s="702">
        <f ca="1">tertiair!D16</f>
        <v>112841.07559485598</v>
      </c>
      <c r="F10" s="702">
        <f>tertiair!E16</f>
        <v>6010.0141562398912</v>
      </c>
      <c r="G10" s="702">
        <f ca="1">tertiair!F16</f>
        <v>36283.690518885385</v>
      </c>
      <c r="H10" s="702">
        <f>tertiair!G16</f>
        <v>0</v>
      </c>
      <c r="I10" s="702">
        <f>tertiair!H16</f>
        <v>0</v>
      </c>
      <c r="J10" s="702">
        <f>tertiair!I16</f>
        <v>0</v>
      </c>
      <c r="K10" s="702">
        <f>tertiair!J16</f>
        <v>0</v>
      </c>
      <c r="L10" s="702">
        <f>tertiair!K16</f>
        <v>0</v>
      </c>
      <c r="M10" s="702">
        <f ca="1">tertiair!L16</f>
        <v>0</v>
      </c>
      <c r="N10" s="702">
        <f>tertiair!M16</f>
        <v>0</v>
      </c>
      <c r="O10" s="702">
        <f ca="1">tertiair!N16</f>
        <v>2572.307889233638</v>
      </c>
      <c r="P10" s="702">
        <f>tertiair!O16</f>
        <v>1.5633333333333335</v>
      </c>
      <c r="Q10" s="703">
        <f>tertiair!P16</f>
        <v>38.133333333333333</v>
      </c>
      <c r="R10" s="705">
        <f ca="1">SUM(C10:Q10)</f>
        <v>384714.23196483479</v>
      </c>
      <c r="S10" s="67"/>
    </row>
    <row r="11" spans="1:19" s="457" customFormat="1">
      <c r="A11" s="858" t="s">
        <v>226</v>
      </c>
      <c r="B11" s="863"/>
      <c r="C11" s="702">
        <f>huishoudens!B8</f>
        <v>51291.10440487312</v>
      </c>
      <c r="D11" s="702">
        <f>huishoudens!C8</f>
        <v>0</v>
      </c>
      <c r="E11" s="702">
        <f>huishoudens!D8</f>
        <v>159498.10675120057</v>
      </c>
      <c r="F11" s="702">
        <f>huishoudens!E8</f>
        <v>2914.5695946102778</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7323.2637234641088</v>
      </c>
      <c r="P11" s="702">
        <f>huishoudens!O8</f>
        <v>54.716666666666669</v>
      </c>
      <c r="Q11" s="703">
        <f>huishoudens!P8</f>
        <v>133.46666666666667</v>
      </c>
      <c r="R11" s="705">
        <f>SUM(C11:Q11)</f>
        <v>221215.22780748142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37668.453138775832</v>
      </c>
      <c r="D13" s="702">
        <f>industrie!C18</f>
        <v>0</v>
      </c>
      <c r="E13" s="702">
        <f>industrie!D18</f>
        <v>25697.836427754679</v>
      </c>
      <c r="F13" s="702">
        <f>industrie!E18</f>
        <v>422.45998660116499</v>
      </c>
      <c r="G13" s="702">
        <f>industrie!F18</f>
        <v>13247.901221103055</v>
      </c>
      <c r="H13" s="702">
        <f>industrie!G18</f>
        <v>0</v>
      </c>
      <c r="I13" s="702">
        <f>industrie!H18</f>
        <v>0</v>
      </c>
      <c r="J13" s="702">
        <f>industrie!I18</f>
        <v>0</v>
      </c>
      <c r="K13" s="702">
        <f>industrie!J18</f>
        <v>407.2254158394876</v>
      </c>
      <c r="L13" s="702">
        <f>industrie!K18</f>
        <v>0</v>
      </c>
      <c r="M13" s="702">
        <f>industrie!L18</f>
        <v>0</v>
      </c>
      <c r="N13" s="702">
        <f>industrie!M18</f>
        <v>0</v>
      </c>
      <c r="O13" s="702">
        <f>industrie!N18</f>
        <v>1113.9586816310975</v>
      </c>
      <c r="P13" s="702">
        <f>industrie!O18</f>
        <v>0</v>
      </c>
      <c r="Q13" s="703">
        <f>industrie!P18</f>
        <v>0</v>
      </c>
      <c r="R13" s="705">
        <f>SUM(C13:Q13)</f>
        <v>78557.834871705316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315545.57611117355</v>
      </c>
      <c r="D15" s="707">
        <f t="shared" ref="D15:Q15" ca="1" si="0">SUM(D9:D14)</f>
        <v>381.42857142857144</v>
      </c>
      <c r="E15" s="707">
        <f t="shared" ca="1" si="0"/>
        <v>298037.01877381123</v>
      </c>
      <c r="F15" s="707">
        <f t="shared" si="0"/>
        <v>9347.0437374513331</v>
      </c>
      <c r="G15" s="707">
        <f t="shared" ca="1" si="0"/>
        <v>49531.591739988442</v>
      </c>
      <c r="H15" s="707">
        <f t="shared" si="0"/>
        <v>0</v>
      </c>
      <c r="I15" s="707">
        <f t="shared" si="0"/>
        <v>0</v>
      </c>
      <c r="J15" s="707">
        <f t="shared" si="0"/>
        <v>0</v>
      </c>
      <c r="K15" s="707">
        <f t="shared" si="0"/>
        <v>407.2254158394876</v>
      </c>
      <c r="L15" s="707">
        <f t="shared" si="0"/>
        <v>0</v>
      </c>
      <c r="M15" s="707">
        <f t="shared" ca="1" si="0"/>
        <v>0</v>
      </c>
      <c r="N15" s="707">
        <f t="shared" si="0"/>
        <v>0</v>
      </c>
      <c r="O15" s="707">
        <f t="shared" ca="1" si="0"/>
        <v>11009.530294328844</v>
      </c>
      <c r="P15" s="707">
        <f t="shared" si="0"/>
        <v>56.28</v>
      </c>
      <c r="Q15" s="708">
        <f t="shared" si="0"/>
        <v>171.6</v>
      </c>
      <c r="R15" s="709">
        <f ca="1">SUM(R9:R14)</f>
        <v>684487.29464402155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10238.309752158113</v>
      </c>
      <c r="I18" s="702">
        <f>transport!H54</f>
        <v>0</v>
      </c>
      <c r="J18" s="702">
        <f>transport!I54</f>
        <v>0</v>
      </c>
      <c r="K18" s="702">
        <f>transport!J54</f>
        <v>0</v>
      </c>
      <c r="L18" s="702">
        <f>transport!K54</f>
        <v>0</v>
      </c>
      <c r="M18" s="702">
        <f>transport!L54</f>
        <v>0</v>
      </c>
      <c r="N18" s="702">
        <f>transport!M54</f>
        <v>436.41466463769859</v>
      </c>
      <c r="O18" s="702">
        <f>transport!N54</f>
        <v>0</v>
      </c>
      <c r="P18" s="702">
        <f>transport!O54</f>
        <v>0</v>
      </c>
      <c r="Q18" s="703">
        <f>transport!P54</f>
        <v>0</v>
      </c>
      <c r="R18" s="705">
        <f>SUM(C18:Q18)</f>
        <v>10674.724416795812</v>
      </c>
      <c r="S18" s="67"/>
    </row>
    <row r="19" spans="1:19" s="457" customFormat="1" ht="15" thickBot="1">
      <c r="A19" s="858" t="s">
        <v>308</v>
      </c>
      <c r="B19" s="863"/>
      <c r="C19" s="711">
        <f>transport!B14</f>
        <v>4.5490459778323675</v>
      </c>
      <c r="D19" s="711">
        <f>transport!C14</f>
        <v>0</v>
      </c>
      <c r="E19" s="711">
        <f>transport!D14</f>
        <v>21.000182730347223</v>
      </c>
      <c r="F19" s="711">
        <f>transport!E14</f>
        <v>2590.9899366831564</v>
      </c>
      <c r="G19" s="711">
        <f>transport!F14</f>
        <v>0</v>
      </c>
      <c r="H19" s="711">
        <f>transport!G14</f>
        <v>399410.79693413561</v>
      </c>
      <c r="I19" s="711">
        <f>transport!H14</f>
        <v>73508.068297207676</v>
      </c>
      <c r="J19" s="711">
        <f>transport!I14</f>
        <v>0</v>
      </c>
      <c r="K19" s="711">
        <f>transport!J14</f>
        <v>0</v>
      </c>
      <c r="L19" s="711">
        <f>transport!K14</f>
        <v>0</v>
      </c>
      <c r="M19" s="711">
        <f>transport!L14</f>
        <v>0</v>
      </c>
      <c r="N19" s="711">
        <f>transport!M14</f>
        <v>20648.333906467153</v>
      </c>
      <c r="O19" s="711">
        <f>transport!N14</f>
        <v>0</v>
      </c>
      <c r="P19" s="711">
        <f>transport!O14</f>
        <v>0</v>
      </c>
      <c r="Q19" s="712">
        <f>transport!P14</f>
        <v>0</v>
      </c>
      <c r="R19" s="713">
        <f>SUM(C19:Q19)</f>
        <v>496183.7383032018</v>
      </c>
      <c r="S19" s="67"/>
    </row>
    <row r="20" spans="1:19" s="457" customFormat="1" ht="15.75" thickBot="1">
      <c r="A20" s="714" t="s">
        <v>231</v>
      </c>
      <c r="B20" s="866"/>
      <c r="C20" s="861">
        <f>SUM(C17:C19)</f>
        <v>4.5490459778323675</v>
      </c>
      <c r="D20" s="715">
        <f t="shared" ref="D20:R20" si="1">SUM(D17:D19)</f>
        <v>0</v>
      </c>
      <c r="E20" s="715">
        <f t="shared" si="1"/>
        <v>21.000182730347223</v>
      </c>
      <c r="F20" s="715">
        <f t="shared" si="1"/>
        <v>2590.9899366831564</v>
      </c>
      <c r="G20" s="715">
        <f t="shared" si="1"/>
        <v>0</v>
      </c>
      <c r="H20" s="715">
        <f t="shared" si="1"/>
        <v>409649.10668629373</v>
      </c>
      <c r="I20" s="715">
        <f t="shared" si="1"/>
        <v>73508.068297207676</v>
      </c>
      <c r="J20" s="715">
        <f t="shared" si="1"/>
        <v>0</v>
      </c>
      <c r="K20" s="715">
        <f t="shared" si="1"/>
        <v>0</v>
      </c>
      <c r="L20" s="715">
        <f t="shared" si="1"/>
        <v>0</v>
      </c>
      <c r="M20" s="715">
        <f t="shared" si="1"/>
        <v>0</v>
      </c>
      <c r="N20" s="715">
        <f t="shared" si="1"/>
        <v>21084.74857110485</v>
      </c>
      <c r="O20" s="715">
        <f t="shared" si="1"/>
        <v>0</v>
      </c>
      <c r="P20" s="715">
        <f t="shared" si="1"/>
        <v>0</v>
      </c>
      <c r="Q20" s="716">
        <f t="shared" si="1"/>
        <v>0</v>
      </c>
      <c r="R20" s="717">
        <f t="shared" si="1"/>
        <v>506858.46271999762</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706.40181698439528</v>
      </c>
      <c r="D22" s="711">
        <f>+landbouw!C8</f>
        <v>0</v>
      </c>
      <c r="E22" s="711">
        <f>+landbouw!D8</f>
        <v>11530.83160325083</v>
      </c>
      <c r="F22" s="711">
        <f>+landbouw!E8</f>
        <v>7.3975927572175246</v>
      </c>
      <c r="G22" s="711">
        <f>+landbouw!F8</f>
        <v>3628.1922083437262</v>
      </c>
      <c r="H22" s="711">
        <f>+landbouw!G8</f>
        <v>0</v>
      </c>
      <c r="I22" s="711">
        <f>+landbouw!H8</f>
        <v>0</v>
      </c>
      <c r="J22" s="711">
        <f>+landbouw!I8</f>
        <v>0</v>
      </c>
      <c r="K22" s="711">
        <f>+landbouw!J8</f>
        <v>63.088013844206863</v>
      </c>
      <c r="L22" s="711">
        <f>+landbouw!K8</f>
        <v>0</v>
      </c>
      <c r="M22" s="711">
        <f>+landbouw!L8</f>
        <v>0</v>
      </c>
      <c r="N22" s="711">
        <f>+landbouw!M8</f>
        <v>0</v>
      </c>
      <c r="O22" s="711">
        <f>+landbouw!N8</f>
        <v>0</v>
      </c>
      <c r="P22" s="711">
        <f>+landbouw!O8</f>
        <v>0</v>
      </c>
      <c r="Q22" s="712">
        <f>+landbouw!P8</f>
        <v>0</v>
      </c>
      <c r="R22" s="713">
        <f>SUM(C22:Q22)</f>
        <v>15935.911235180374</v>
      </c>
      <c r="S22" s="67"/>
    </row>
    <row r="23" spans="1:19" s="457" customFormat="1" ht="17.25" thickTop="1" thickBot="1">
      <c r="A23" s="718" t="s">
        <v>116</v>
      </c>
      <c r="B23" s="852"/>
      <c r="C23" s="719">
        <f ca="1">C20+C15+C22</f>
        <v>316256.52697413578</v>
      </c>
      <c r="D23" s="719">
        <f t="shared" ref="D23:Q23" ca="1" si="2">D20+D15+D22</f>
        <v>381.42857142857144</v>
      </c>
      <c r="E23" s="719">
        <f t="shared" ca="1" si="2"/>
        <v>309588.85055979236</v>
      </c>
      <c r="F23" s="719">
        <f t="shared" si="2"/>
        <v>11945.431266891706</v>
      </c>
      <c r="G23" s="719">
        <f t="shared" ca="1" si="2"/>
        <v>53159.783948332166</v>
      </c>
      <c r="H23" s="719">
        <f t="shared" si="2"/>
        <v>409649.10668629373</v>
      </c>
      <c r="I23" s="719">
        <f t="shared" si="2"/>
        <v>73508.068297207676</v>
      </c>
      <c r="J23" s="719">
        <f t="shared" si="2"/>
        <v>0</v>
      </c>
      <c r="K23" s="719">
        <f t="shared" si="2"/>
        <v>470.31342968369444</v>
      </c>
      <c r="L23" s="719">
        <f t="shared" si="2"/>
        <v>0</v>
      </c>
      <c r="M23" s="719">
        <f t="shared" ca="1" si="2"/>
        <v>0</v>
      </c>
      <c r="N23" s="719">
        <f t="shared" si="2"/>
        <v>21084.74857110485</v>
      </c>
      <c r="O23" s="719">
        <f t="shared" ca="1" si="2"/>
        <v>11009.530294328844</v>
      </c>
      <c r="P23" s="719">
        <f t="shared" si="2"/>
        <v>56.28</v>
      </c>
      <c r="Q23" s="720">
        <f t="shared" si="2"/>
        <v>171.6</v>
      </c>
      <c r="R23" s="721">
        <f ca="1">R20+R15+R22</f>
        <v>1207281.6685991997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49786.797364561535</v>
      </c>
      <c r="D36" s="702">
        <f ca="1">tertiair!C20</f>
        <v>90.645378151260516</v>
      </c>
      <c r="E36" s="702">
        <f ca="1">tertiair!D20</f>
        <v>22793.897270160909</v>
      </c>
      <c r="F36" s="702">
        <f>tertiair!E20</f>
        <v>1364.2732134664554</v>
      </c>
      <c r="G36" s="702">
        <f ca="1">tertiair!F20</f>
        <v>9687.7453685423989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83723.358594882549</v>
      </c>
    </row>
    <row r="37" spans="1:18">
      <c r="A37" s="873" t="s">
        <v>226</v>
      </c>
      <c r="B37" s="880"/>
      <c r="C37" s="702">
        <f ca="1">huishoudens!B12</f>
        <v>11269.979664914703</v>
      </c>
      <c r="D37" s="702">
        <f ca="1">huishoudens!C12</f>
        <v>0</v>
      </c>
      <c r="E37" s="702">
        <f>huishoudens!D12</f>
        <v>32218.617563742519</v>
      </c>
      <c r="F37" s="702">
        <f>huishoudens!E12</f>
        <v>661.60729797653312</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44150.204526633752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8276.7315270065137</v>
      </c>
      <c r="D39" s="702">
        <f ca="1">industrie!C22</f>
        <v>0</v>
      </c>
      <c r="E39" s="702">
        <f>industrie!D22</f>
        <v>5190.9629584064451</v>
      </c>
      <c r="F39" s="702">
        <f>industrie!E22</f>
        <v>95.898416958464452</v>
      </c>
      <c r="G39" s="702">
        <f>industrie!F22</f>
        <v>3537.1896260345156</v>
      </c>
      <c r="H39" s="702">
        <f>industrie!G22</f>
        <v>0</v>
      </c>
      <c r="I39" s="702">
        <f>industrie!H22</f>
        <v>0</v>
      </c>
      <c r="J39" s="702">
        <f>industrie!I22</f>
        <v>0</v>
      </c>
      <c r="K39" s="702">
        <f>industrie!J22</f>
        <v>144.15779720717859</v>
      </c>
      <c r="L39" s="702">
        <f>industrie!K22</f>
        <v>0</v>
      </c>
      <c r="M39" s="702">
        <f>industrie!L22</f>
        <v>0</v>
      </c>
      <c r="N39" s="702">
        <f>industrie!M22</f>
        <v>0</v>
      </c>
      <c r="O39" s="702">
        <f>industrie!N22</f>
        <v>0</v>
      </c>
      <c r="P39" s="702">
        <f>industrie!O22</f>
        <v>0</v>
      </c>
      <c r="Q39" s="812">
        <f>industrie!P22</f>
        <v>0</v>
      </c>
      <c r="R39" s="906">
        <f ca="1">SUM(C39:Q39)</f>
        <v>17244.940325613115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69333.508556482746</v>
      </c>
      <c r="D41" s="747">
        <f t="shared" ref="D41:R41" ca="1" si="4">SUM(D35:D40)</f>
        <v>90.645378151260516</v>
      </c>
      <c r="E41" s="747">
        <f t="shared" ca="1" si="4"/>
        <v>60203.477792309874</v>
      </c>
      <c r="F41" s="747">
        <f t="shared" si="4"/>
        <v>2121.778928401453</v>
      </c>
      <c r="G41" s="747">
        <f t="shared" ca="1" si="4"/>
        <v>13224.934994576914</v>
      </c>
      <c r="H41" s="747">
        <f t="shared" si="4"/>
        <v>0</v>
      </c>
      <c r="I41" s="747">
        <f t="shared" si="4"/>
        <v>0</v>
      </c>
      <c r="J41" s="747">
        <f t="shared" si="4"/>
        <v>0</v>
      </c>
      <c r="K41" s="747">
        <f t="shared" si="4"/>
        <v>144.15779720717859</v>
      </c>
      <c r="L41" s="747">
        <f t="shared" si="4"/>
        <v>0</v>
      </c>
      <c r="M41" s="747">
        <f t="shared" ca="1" si="4"/>
        <v>0</v>
      </c>
      <c r="N41" s="747">
        <f t="shared" si="4"/>
        <v>0</v>
      </c>
      <c r="O41" s="747">
        <f t="shared" ca="1" si="4"/>
        <v>0</v>
      </c>
      <c r="P41" s="747">
        <f t="shared" si="4"/>
        <v>0</v>
      </c>
      <c r="Q41" s="748">
        <f t="shared" si="4"/>
        <v>0</v>
      </c>
      <c r="R41" s="749">
        <f t="shared" ca="1" si="4"/>
        <v>145118.50344712942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2733.6287038262162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2733.6287038262162</v>
      </c>
    </row>
    <row r="45" spans="1:18" ht="15" thickBot="1">
      <c r="A45" s="876" t="s">
        <v>308</v>
      </c>
      <c r="B45" s="886"/>
      <c r="C45" s="711">
        <f ca="1">transport!B18</f>
        <v>0.99954283027802981</v>
      </c>
      <c r="D45" s="711">
        <f>transport!C18</f>
        <v>0</v>
      </c>
      <c r="E45" s="711">
        <f>transport!D18</f>
        <v>4.2420369115301391</v>
      </c>
      <c r="F45" s="711">
        <f>transport!E18</f>
        <v>588.15471562707648</v>
      </c>
      <c r="G45" s="711">
        <f>transport!F18</f>
        <v>0</v>
      </c>
      <c r="H45" s="711">
        <f>transport!G18</f>
        <v>106642.68278141422</v>
      </c>
      <c r="I45" s="711">
        <f>transport!H18</f>
        <v>18303.509006004711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125539.58808278781</v>
      </c>
    </row>
    <row r="46" spans="1:18" ht="15.75" thickBot="1">
      <c r="A46" s="874" t="s">
        <v>231</v>
      </c>
      <c r="B46" s="887"/>
      <c r="C46" s="747">
        <f t="shared" ref="C46:R46" ca="1" si="5">SUM(C43:C45)</f>
        <v>0.99954283027802981</v>
      </c>
      <c r="D46" s="747">
        <f t="shared" ca="1" si="5"/>
        <v>0</v>
      </c>
      <c r="E46" s="747">
        <f t="shared" si="5"/>
        <v>4.2420369115301391</v>
      </c>
      <c r="F46" s="747">
        <f t="shared" si="5"/>
        <v>588.15471562707648</v>
      </c>
      <c r="G46" s="747">
        <f t="shared" si="5"/>
        <v>0</v>
      </c>
      <c r="H46" s="747">
        <f t="shared" si="5"/>
        <v>109376.31148524044</v>
      </c>
      <c r="I46" s="747">
        <f t="shared" si="5"/>
        <v>18303.509006004711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128273.21678661404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155.21471422862464</v>
      </c>
      <c r="D48" s="702">
        <f ca="1">+landbouw!C12</f>
        <v>0</v>
      </c>
      <c r="E48" s="702">
        <f>+landbouw!D12</f>
        <v>2329.2279838566678</v>
      </c>
      <c r="F48" s="702">
        <f>+landbouw!E12</f>
        <v>1.6792535558883781</v>
      </c>
      <c r="G48" s="702">
        <f>+landbouw!F12</f>
        <v>968.72731962777493</v>
      </c>
      <c r="H48" s="702">
        <f>+landbouw!G12</f>
        <v>0</v>
      </c>
      <c r="I48" s="702">
        <f>+landbouw!H12</f>
        <v>0</v>
      </c>
      <c r="J48" s="702">
        <f>+landbouw!I12</f>
        <v>0</v>
      </c>
      <c r="K48" s="702">
        <f>+landbouw!J12</f>
        <v>22.333156900849229</v>
      </c>
      <c r="L48" s="702">
        <f>+landbouw!K12</f>
        <v>0</v>
      </c>
      <c r="M48" s="702">
        <f>+landbouw!L12</f>
        <v>0</v>
      </c>
      <c r="N48" s="702">
        <f>+landbouw!M12</f>
        <v>0</v>
      </c>
      <c r="O48" s="702">
        <f>+landbouw!N12</f>
        <v>0</v>
      </c>
      <c r="P48" s="702">
        <f>+landbouw!O12</f>
        <v>0</v>
      </c>
      <c r="Q48" s="703">
        <f>+landbouw!P12</f>
        <v>0</v>
      </c>
      <c r="R48" s="745">
        <f ca="1">SUM(C48:Q48)</f>
        <v>3477.182428169805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69489.722813541652</v>
      </c>
      <c r="D53" s="757">
        <f t="shared" ref="D53:Q53" ca="1" si="6">D41+D46+D48</f>
        <v>90.645378151260516</v>
      </c>
      <c r="E53" s="757">
        <f t="shared" ca="1" si="6"/>
        <v>62536.94781307807</v>
      </c>
      <c r="F53" s="757">
        <f t="shared" si="6"/>
        <v>2711.6128975844181</v>
      </c>
      <c r="G53" s="757">
        <f t="shared" ca="1" si="6"/>
        <v>14193.662314204688</v>
      </c>
      <c r="H53" s="757">
        <f t="shared" si="6"/>
        <v>109376.31148524044</v>
      </c>
      <c r="I53" s="757">
        <f t="shared" si="6"/>
        <v>18303.509006004711</v>
      </c>
      <c r="J53" s="757">
        <f t="shared" si="6"/>
        <v>0</v>
      </c>
      <c r="K53" s="757">
        <f t="shared" si="6"/>
        <v>166.49095410802781</v>
      </c>
      <c r="L53" s="757">
        <f t="shared" si="6"/>
        <v>0</v>
      </c>
      <c r="M53" s="757">
        <f t="shared" ca="1" si="6"/>
        <v>0</v>
      </c>
      <c r="N53" s="757">
        <f t="shared" si="6"/>
        <v>0</v>
      </c>
      <c r="O53" s="757">
        <f t="shared" ca="1" si="6"/>
        <v>0</v>
      </c>
      <c r="P53" s="757">
        <f>P41+P46+P48</f>
        <v>0</v>
      </c>
      <c r="Q53" s="758">
        <f t="shared" si="6"/>
        <v>0</v>
      </c>
      <c r="R53" s="759">
        <f ca="1">R41+R46+R48</f>
        <v>276868.90266191325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0.21972581397260676</v>
      </c>
      <c r="D55" s="823">
        <f t="shared" ca="1" si="7"/>
        <v>0.23764705882352943</v>
      </c>
      <c r="E55" s="823">
        <f t="shared" ca="1" si="7"/>
        <v>0.20200000000000004</v>
      </c>
      <c r="F55" s="823">
        <f t="shared" si="7"/>
        <v>0.22700000000000006</v>
      </c>
      <c r="G55" s="823">
        <f t="shared" ca="1" si="7"/>
        <v>0.26700000000000002</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1843.5041287250128</v>
      </c>
      <c r="C66" s="779">
        <f>'lokale energieproductie'!B6</f>
        <v>1843.5041287250128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267</v>
      </c>
      <c r="C67" s="778">
        <f>B67*IFERROR(SUM(J67:L67)/SUM(D67:M67),0)</f>
        <v>0</v>
      </c>
      <c r="D67" s="810">
        <f>'lokale energieproductie'!C7</f>
        <v>314.11764705882354</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63.451764705882361</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2110.5041287250128</v>
      </c>
      <c r="C69" s="787">
        <f>SUM(C64:C68)</f>
        <v>1843.5041287250128</v>
      </c>
      <c r="D69" s="788">
        <f t="shared" ref="D69:M69" si="8">SUM(D67:D68)</f>
        <v>314.11764705882354</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63.451764705882361</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381.42857142857144</v>
      </c>
      <c r="C78" s="801">
        <f>B78*IFERROR(SUM(I78:L78)/SUM(D78:M78),0)</f>
        <v>0</v>
      </c>
      <c r="D78" s="816">
        <f>'lokale energieproductie'!C16</f>
        <v>448.73949579831935</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90.645378151260516</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381.42857142857144</v>
      </c>
      <c r="C81" s="787">
        <f>SUM(C78:C80)</f>
        <v>0</v>
      </c>
      <c r="D81" s="787">
        <f t="shared" ref="D81:P81" si="9">SUM(D78:D80)</f>
        <v>448.73949579831935</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90.645378151260516</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51291.10440487312</v>
      </c>
      <c r="C4" s="461">
        <f>huishoudens!C8</f>
        <v>0</v>
      </c>
      <c r="D4" s="461">
        <f>huishoudens!D8</f>
        <v>159498.10675120057</v>
      </c>
      <c r="E4" s="461">
        <f>huishoudens!E8</f>
        <v>2914.5695946102778</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7323.2637234641088</v>
      </c>
      <c r="O4" s="461">
        <f>huishoudens!O8</f>
        <v>54.716666666666669</v>
      </c>
      <c r="P4" s="462">
        <f>huishoudens!P8</f>
        <v>133.46666666666667</v>
      </c>
      <c r="Q4" s="463">
        <f>SUM(B4:P4)</f>
        <v>221215.22780748142</v>
      </c>
    </row>
    <row r="5" spans="1:17">
      <c r="A5" s="460" t="s">
        <v>156</v>
      </c>
      <c r="B5" s="461">
        <f ca="1">tertiair!B16</f>
        <v>223708.64156752461</v>
      </c>
      <c r="C5" s="461">
        <f ca="1">tertiair!C16</f>
        <v>381.42857142857144</v>
      </c>
      <c r="D5" s="461">
        <f ca="1">tertiair!D16</f>
        <v>112841.07559485598</v>
      </c>
      <c r="E5" s="461">
        <f>tertiair!E16</f>
        <v>6010.0141562398912</v>
      </c>
      <c r="F5" s="461">
        <f ca="1">tertiair!F16</f>
        <v>36283.690518885385</v>
      </c>
      <c r="G5" s="461">
        <f>tertiair!G16</f>
        <v>0</v>
      </c>
      <c r="H5" s="461">
        <f>tertiair!H16</f>
        <v>0</v>
      </c>
      <c r="I5" s="461">
        <f>tertiair!I16</f>
        <v>0</v>
      </c>
      <c r="J5" s="461">
        <f>tertiair!J16</f>
        <v>0</v>
      </c>
      <c r="K5" s="461">
        <f>tertiair!K16</f>
        <v>0</v>
      </c>
      <c r="L5" s="461">
        <f ca="1">tertiair!L16</f>
        <v>0</v>
      </c>
      <c r="M5" s="461">
        <f>tertiair!M16</f>
        <v>0</v>
      </c>
      <c r="N5" s="461">
        <f ca="1">tertiair!N16</f>
        <v>2572.307889233638</v>
      </c>
      <c r="O5" s="461">
        <f>tertiair!O16</f>
        <v>1.5633333333333335</v>
      </c>
      <c r="P5" s="462">
        <f>tertiair!P16</f>
        <v>38.133333333333333</v>
      </c>
      <c r="Q5" s="460">
        <f t="shared" ref="Q5:Q13" ca="1" si="0">SUM(B5:P5)</f>
        <v>381836.85496483475</v>
      </c>
    </row>
    <row r="6" spans="1:17">
      <c r="A6" s="460" t="s">
        <v>195</v>
      </c>
      <c r="B6" s="461">
        <f>'openbare verlichting'!B8</f>
        <v>2877.377</v>
      </c>
      <c r="C6" s="461"/>
      <c r="D6" s="461"/>
      <c r="E6" s="461"/>
      <c r="F6" s="461"/>
      <c r="G6" s="461"/>
      <c r="H6" s="461"/>
      <c r="I6" s="461"/>
      <c r="J6" s="461"/>
      <c r="K6" s="461"/>
      <c r="L6" s="461"/>
      <c r="M6" s="461"/>
      <c r="N6" s="461"/>
      <c r="O6" s="461"/>
      <c r="P6" s="462"/>
      <c r="Q6" s="460">
        <f t="shared" si="0"/>
        <v>2877.377</v>
      </c>
    </row>
    <row r="7" spans="1:17">
      <c r="A7" s="460" t="s">
        <v>112</v>
      </c>
      <c r="B7" s="461">
        <f>landbouw!B8</f>
        <v>706.40181698439528</v>
      </c>
      <c r="C7" s="461">
        <f>landbouw!C8</f>
        <v>0</v>
      </c>
      <c r="D7" s="461">
        <f>landbouw!D8</f>
        <v>11530.83160325083</v>
      </c>
      <c r="E7" s="461">
        <f>landbouw!E8</f>
        <v>7.3975927572175246</v>
      </c>
      <c r="F7" s="461">
        <f>landbouw!F8</f>
        <v>3628.1922083437262</v>
      </c>
      <c r="G7" s="461">
        <f>landbouw!G8</f>
        <v>0</v>
      </c>
      <c r="H7" s="461">
        <f>landbouw!H8</f>
        <v>0</v>
      </c>
      <c r="I7" s="461">
        <f>landbouw!I8</f>
        <v>0</v>
      </c>
      <c r="J7" s="461">
        <f>landbouw!J8</f>
        <v>63.088013844206863</v>
      </c>
      <c r="K7" s="461">
        <f>landbouw!K8</f>
        <v>0</v>
      </c>
      <c r="L7" s="461">
        <f>landbouw!L8</f>
        <v>0</v>
      </c>
      <c r="M7" s="461">
        <f>landbouw!M8</f>
        <v>0</v>
      </c>
      <c r="N7" s="461">
        <f>landbouw!N8</f>
        <v>0</v>
      </c>
      <c r="O7" s="461">
        <f>landbouw!O8</f>
        <v>0</v>
      </c>
      <c r="P7" s="462">
        <f>landbouw!P8</f>
        <v>0</v>
      </c>
      <c r="Q7" s="460">
        <f t="shared" si="0"/>
        <v>15935.911235180374</v>
      </c>
    </row>
    <row r="8" spans="1:17">
      <c r="A8" s="460" t="s">
        <v>656</v>
      </c>
      <c r="B8" s="461">
        <f>industrie!B18</f>
        <v>37668.453138775832</v>
      </c>
      <c r="C8" s="461">
        <f>industrie!C18</f>
        <v>0</v>
      </c>
      <c r="D8" s="461">
        <f>industrie!D18</f>
        <v>25697.836427754679</v>
      </c>
      <c r="E8" s="461">
        <f>industrie!E18</f>
        <v>422.45998660116499</v>
      </c>
      <c r="F8" s="461">
        <f>industrie!F18</f>
        <v>13247.901221103055</v>
      </c>
      <c r="G8" s="461">
        <f>industrie!G18</f>
        <v>0</v>
      </c>
      <c r="H8" s="461">
        <f>industrie!H18</f>
        <v>0</v>
      </c>
      <c r="I8" s="461">
        <f>industrie!I18</f>
        <v>0</v>
      </c>
      <c r="J8" s="461">
        <f>industrie!J18</f>
        <v>407.2254158394876</v>
      </c>
      <c r="K8" s="461">
        <f>industrie!K18</f>
        <v>0</v>
      </c>
      <c r="L8" s="461">
        <f>industrie!L18</f>
        <v>0</v>
      </c>
      <c r="M8" s="461">
        <f>industrie!M18</f>
        <v>0</v>
      </c>
      <c r="N8" s="461">
        <f>industrie!N18</f>
        <v>1113.9586816310975</v>
      </c>
      <c r="O8" s="461">
        <f>industrie!O18</f>
        <v>0</v>
      </c>
      <c r="P8" s="462">
        <f>industrie!P18</f>
        <v>0</v>
      </c>
      <c r="Q8" s="460">
        <f t="shared" si="0"/>
        <v>78557.834871705316</v>
      </c>
    </row>
    <row r="9" spans="1:17" s="466" customFormat="1">
      <c r="A9" s="464" t="s">
        <v>574</v>
      </c>
      <c r="B9" s="465">
        <f>transport!B14</f>
        <v>4.5490459778323675</v>
      </c>
      <c r="C9" s="465">
        <f>transport!C14</f>
        <v>0</v>
      </c>
      <c r="D9" s="465">
        <f>transport!D14</f>
        <v>21.000182730347223</v>
      </c>
      <c r="E9" s="465">
        <f>transport!E14</f>
        <v>2590.9899366831564</v>
      </c>
      <c r="F9" s="465">
        <f>transport!F14</f>
        <v>0</v>
      </c>
      <c r="G9" s="465">
        <f>transport!G14</f>
        <v>399410.79693413561</v>
      </c>
      <c r="H9" s="465">
        <f>transport!H14</f>
        <v>73508.068297207676</v>
      </c>
      <c r="I9" s="465">
        <f>transport!I14</f>
        <v>0</v>
      </c>
      <c r="J9" s="465">
        <f>transport!J14</f>
        <v>0</v>
      </c>
      <c r="K9" s="465">
        <f>transport!K14</f>
        <v>0</v>
      </c>
      <c r="L9" s="465">
        <f>transport!L14</f>
        <v>0</v>
      </c>
      <c r="M9" s="465">
        <f>transport!M14</f>
        <v>20648.333906467153</v>
      </c>
      <c r="N9" s="465">
        <f>transport!N14</f>
        <v>0</v>
      </c>
      <c r="O9" s="465">
        <f>transport!O14</f>
        <v>0</v>
      </c>
      <c r="P9" s="465">
        <f>transport!P14</f>
        <v>0</v>
      </c>
      <c r="Q9" s="464">
        <f>SUM(B9:P9)</f>
        <v>496183.7383032018</v>
      </c>
    </row>
    <row r="10" spans="1:17">
      <c r="A10" s="460" t="s">
        <v>564</v>
      </c>
      <c r="B10" s="461">
        <f>transport!B54</f>
        <v>0</v>
      </c>
      <c r="C10" s="461">
        <f>transport!C54</f>
        <v>0</v>
      </c>
      <c r="D10" s="461">
        <f>transport!D54</f>
        <v>0</v>
      </c>
      <c r="E10" s="461">
        <f>transport!E54</f>
        <v>0</v>
      </c>
      <c r="F10" s="461">
        <f>transport!F54</f>
        <v>0</v>
      </c>
      <c r="G10" s="461">
        <f>transport!G54</f>
        <v>10238.309752158113</v>
      </c>
      <c r="H10" s="461">
        <f>transport!H54</f>
        <v>0</v>
      </c>
      <c r="I10" s="461">
        <f>transport!I54</f>
        <v>0</v>
      </c>
      <c r="J10" s="461">
        <f>transport!J54</f>
        <v>0</v>
      </c>
      <c r="K10" s="461">
        <f>transport!K54</f>
        <v>0</v>
      </c>
      <c r="L10" s="461">
        <f>transport!L54</f>
        <v>0</v>
      </c>
      <c r="M10" s="461">
        <f>transport!M54</f>
        <v>436.41466463769859</v>
      </c>
      <c r="N10" s="461">
        <f>transport!N54</f>
        <v>0</v>
      </c>
      <c r="O10" s="461">
        <f>transport!O54</f>
        <v>0</v>
      </c>
      <c r="P10" s="462">
        <f>transport!P54</f>
        <v>0</v>
      </c>
      <c r="Q10" s="460">
        <f t="shared" si="0"/>
        <v>10674.724416795812</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316256.52697413578</v>
      </c>
      <c r="C14" s="471">
        <f t="shared" ref="C14:Q14" ca="1" si="1">SUM(C4:C13)</f>
        <v>381.42857142857144</v>
      </c>
      <c r="D14" s="471">
        <f t="shared" ca="1" si="1"/>
        <v>309588.85055979236</v>
      </c>
      <c r="E14" s="471">
        <f t="shared" si="1"/>
        <v>11945.431266891706</v>
      </c>
      <c r="F14" s="471">
        <f t="shared" ca="1" si="1"/>
        <v>53159.783948332166</v>
      </c>
      <c r="G14" s="471">
        <f t="shared" si="1"/>
        <v>409649.10668629373</v>
      </c>
      <c r="H14" s="471">
        <f t="shared" si="1"/>
        <v>73508.068297207676</v>
      </c>
      <c r="I14" s="471">
        <f t="shared" si="1"/>
        <v>0</v>
      </c>
      <c r="J14" s="471">
        <f t="shared" si="1"/>
        <v>470.31342968369444</v>
      </c>
      <c r="K14" s="471">
        <f t="shared" si="1"/>
        <v>0</v>
      </c>
      <c r="L14" s="471">
        <f t="shared" ca="1" si="1"/>
        <v>0</v>
      </c>
      <c r="M14" s="471">
        <f t="shared" si="1"/>
        <v>21084.74857110485</v>
      </c>
      <c r="N14" s="471">
        <f t="shared" ca="1" si="1"/>
        <v>11009.530294328844</v>
      </c>
      <c r="O14" s="471">
        <f t="shared" si="1"/>
        <v>56.28</v>
      </c>
      <c r="P14" s="472">
        <f t="shared" si="1"/>
        <v>171.6</v>
      </c>
      <c r="Q14" s="472">
        <f t="shared" ca="1" si="1"/>
        <v>1207281.6685991995</v>
      </c>
    </row>
    <row r="16" spans="1:17">
      <c r="A16" s="474" t="s">
        <v>569</v>
      </c>
      <c r="B16" s="828">
        <f ca="1">huishoudens!B10</f>
        <v>0.21972581397260676</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11269.979664914703</v>
      </c>
      <c r="C21" s="461">
        <f t="shared" ref="C21:C30" ca="1" si="3">C4*$C$16</f>
        <v>0</v>
      </c>
      <c r="D21" s="461">
        <f t="shared" ref="D21:D30" si="4">D4*$D$16</f>
        <v>32218.617563742519</v>
      </c>
      <c r="E21" s="461">
        <f t="shared" ref="E21:E30" si="5">E4*$E$16</f>
        <v>661.60729797653312</v>
      </c>
      <c r="F21" s="461">
        <f t="shared" ref="F21:F30" si="6">F4*$F$16</f>
        <v>0</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44150.204526633752</v>
      </c>
    </row>
    <row r="22" spans="1:17">
      <c r="A22" s="460" t="s">
        <v>156</v>
      </c>
      <c r="B22" s="461">
        <f t="shared" ca="1" si="2"/>
        <v>49154.56336113048</v>
      </c>
      <c r="C22" s="461">
        <f t="shared" ca="1" si="3"/>
        <v>90.645378151260516</v>
      </c>
      <c r="D22" s="461">
        <f t="shared" ca="1" si="4"/>
        <v>22793.897270160909</v>
      </c>
      <c r="E22" s="461">
        <f t="shared" si="5"/>
        <v>1364.2732134664554</v>
      </c>
      <c r="F22" s="461">
        <f t="shared" ca="1" si="6"/>
        <v>9687.7453685423989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83091.124591451502</v>
      </c>
    </row>
    <row r="23" spans="1:17">
      <c r="A23" s="460" t="s">
        <v>195</v>
      </c>
      <c r="B23" s="461">
        <f t="shared" ca="1" si="2"/>
        <v>632.23400343105732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632.23400343105732</v>
      </c>
    </row>
    <row r="24" spans="1:17">
      <c r="A24" s="460" t="s">
        <v>112</v>
      </c>
      <c r="B24" s="461">
        <f t="shared" ca="1" si="2"/>
        <v>155.21471422862464</v>
      </c>
      <c r="C24" s="461">
        <f t="shared" ca="1" si="3"/>
        <v>0</v>
      </c>
      <c r="D24" s="461">
        <f t="shared" si="4"/>
        <v>2329.2279838566678</v>
      </c>
      <c r="E24" s="461">
        <f t="shared" si="5"/>
        <v>1.6792535558883781</v>
      </c>
      <c r="F24" s="461">
        <f t="shared" si="6"/>
        <v>968.72731962777493</v>
      </c>
      <c r="G24" s="461">
        <f t="shared" si="7"/>
        <v>0</v>
      </c>
      <c r="H24" s="461">
        <f t="shared" si="8"/>
        <v>0</v>
      </c>
      <c r="I24" s="461">
        <f t="shared" si="9"/>
        <v>0</v>
      </c>
      <c r="J24" s="461">
        <f t="shared" si="10"/>
        <v>22.333156900849229</v>
      </c>
      <c r="K24" s="461">
        <f t="shared" si="11"/>
        <v>0</v>
      </c>
      <c r="L24" s="461">
        <f t="shared" si="12"/>
        <v>0</v>
      </c>
      <c r="M24" s="461">
        <f t="shared" si="13"/>
        <v>0</v>
      </c>
      <c r="N24" s="461">
        <f t="shared" si="14"/>
        <v>0</v>
      </c>
      <c r="O24" s="461">
        <f t="shared" si="15"/>
        <v>0</v>
      </c>
      <c r="P24" s="462">
        <f t="shared" si="16"/>
        <v>0</v>
      </c>
      <c r="Q24" s="460">
        <f t="shared" ca="1" si="17"/>
        <v>3477.182428169805</v>
      </c>
    </row>
    <row r="25" spans="1:17">
      <c r="A25" s="460" t="s">
        <v>656</v>
      </c>
      <c r="B25" s="461">
        <f t="shared" ca="1" si="2"/>
        <v>8276.7315270065137</v>
      </c>
      <c r="C25" s="461">
        <f t="shared" ca="1" si="3"/>
        <v>0</v>
      </c>
      <c r="D25" s="461">
        <f t="shared" si="4"/>
        <v>5190.9629584064451</v>
      </c>
      <c r="E25" s="461">
        <f t="shared" si="5"/>
        <v>95.898416958464452</v>
      </c>
      <c r="F25" s="461">
        <f t="shared" si="6"/>
        <v>3537.1896260345156</v>
      </c>
      <c r="G25" s="461">
        <f t="shared" si="7"/>
        <v>0</v>
      </c>
      <c r="H25" s="461">
        <f t="shared" si="8"/>
        <v>0</v>
      </c>
      <c r="I25" s="461">
        <f t="shared" si="9"/>
        <v>0</v>
      </c>
      <c r="J25" s="461">
        <f t="shared" si="10"/>
        <v>144.15779720717859</v>
      </c>
      <c r="K25" s="461">
        <f t="shared" si="11"/>
        <v>0</v>
      </c>
      <c r="L25" s="461">
        <f t="shared" si="12"/>
        <v>0</v>
      </c>
      <c r="M25" s="461">
        <f t="shared" si="13"/>
        <v>0</v>
      </c>
      <c r="N25" s="461">
        <f t="shared" si="14"/>
        <v>0</v>
      </c>
      <c r="O25" s="461">
        <f t="shared" si="15"/>
        <v>0</v>
      </c>
      <c r="P25" s="462">
        <f t="shared" si="16"/>
        <v>0</v>
      </c>
      <c r="Q25" s="460">
        <f t="shared" ca="1" si="17"/>
        <v>17244.940325613115</v>
      </c>
    </row>
    <row r="26" spans="1:17" s="466" customFormat="1">
      <c r="A26" s="464" t="s">
        <v>574</v>
      </c>
      <c r="B26" s="822">
        <f t="shared" ca="1" si="2"/>
        <v>0.99954283027802981</v>
      </c>
      <c r="C26" s="465">
        <f t="shared" ca="1" si="3"/>
        <v>0</v>
      </c>
      <c r="D26" s="465">
        <f t="shared" si="4"/>
        <v>4.2420369115301391</v>
      </c>
      <c r="E26" s="465">
        <f t="shared" si="5"/>
        <v>588.15471562707648</v>
      </c>
      <c r="F26" s="465">
        <f t="shared" si="6"/>
        <v>0</v>
      </c>
      <c r="G26" s="465">
        <f t="shared" si="7"/>
        <v>106642.68278141422</v>
      </c>
      <c r="H26" s="465">
        <f t="shared" si="8"/>
        <v>18303.509006004711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125539.58808278781</v>
      </c>
    </row>
    <row r="27" spans="1:17">
      <c r="A27" s="460" t="s">
        <v>564</v>
      </c>
      <c r="B27" s="461">
        <f t="shared" ca="1" si="2"/>
        <v>0</v>
      </c>
      <c r="C27" s="461">
        <f t="shared" ca="1" si="3"/>
        <v>0</v>
      </c>
      <c r="D27" s="461">
        <f t="shared" si="4"/>
        <v>0</v>
      </c>
      <c r="E27" s="461">
        <f t="shared" si="5"/>
        <v>0</v>
      </c>
      <c r="F27" s="461">
        <f t="shared" si="6"/>
        <v>0</v>
      </c>
      <c r="G27" s="461">
        <f t="shared" si="7"/>
        <v>2733.6287038262162</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2733.6287038262162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69489.722813541652</v>
      </c>
      <c r="C31" s="471">
        <f t="shared" ca="1" si="18"/>
        <v>90.645378151260516</v>
      </c>
      <c r="D31" s="471">
        <f t="shared" ca="1" si="18"/>
        <v>62536.94781307807</v>
      </c>
      <c r="E31" s="471">
        <f t="shared" si="18"/>
        <v>2711.6128975844176</v>
      </c>
      <c r="F31" s="471">
        <f t="shared" ca="1" si="18"/>
        <v>14193.662314204688</v>
      </c>
      <c r="G31" s="471">
        <f t="shared" si="18"/>
        <v>109376.31148524044</v>
      </c>
      <c r="H31" s="471">
        <f t="shared" si="18"/>
        <v>18303.509006004711</v>
      </c>
      <c r="I31" s="471">
        <f t="shared" si="18"/>
        <v>0</v>
      </c>
      <c r="J31" s="471">
        <f t="shared" si="18"/>
        <v>166.49095410802781</v>
      </c>
      <c r="K31" s="471">
        <f t="shared" si="18"/>
        <v>0</v>
      </c>
      <c r="L31" s="471">
        <f t="shared" ca="1" si="18"/>
        <v>0</v>
      </c>
      <c r="M31" s="471">
        <f t="shared" si="18"/>
        <v>0</v>
      </c>
      <c r="N31" s="471">
        <f t="shared" ca="1" si="18"/>
        <v>0</v>
      </c>
      <c r="O31" s="471">
        <f t="shared" si="18"/>
        <v>0</v>
      </c>
      <c r="P31" s="472">
        <f t="shared" si="18"/>
        <v>0</v>
      </c>
      <c r="Q31" s="472">
        <f t="shared" ca="1" si="18"/>
        <v>276868.90266191325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0.21972581397260676</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0.21972581397260676</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0.21972581397260676</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2018-06-27T09:00:22Z</dcterms:modified>
</cp:coreProperties>
</file>