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E8" i="16"/>
  <c r="H68" i="14"/>
  <c r="H69" s="1"/>
  <c r="D8" i="17"/>
  <c r="D12" s="1"/>
  <c r="E48" i="14" s="1"/>
  <c r="C97" i="18"/>
  <c r="I100" s="1"/>
  <c r="H7" s="1"/>
  <c r="I67" i="14" s="1"/>
  <c r="F16" i="16"/>
  <c r="D13" i="15"/>
  <c r="L68" i="14"/>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E31" i="20"/>
  <c r="F43" i="14" s="1"/>
  <c r="H14" i="22"/>
  <c r="F8" i="17"/>
  <c r="G22" i="14" s="1"/>
  <c r="D100" i="18"/>
  <c r="E9" i="14"/>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L8"/>
  <c r="L7" i="48" s="1"/>
  <c r="L24" s="1"/>
  <c r="L5" i="17"/>
  <c r="L29" i="48"/>
  <c r="E22" i="14"/>
  <c r="G31" i="20"/>
  <c r="H43" i="14" s="1"/>
  <c r="B100" i="18"/>
  <c r="C7" s="1"/>
  <c r="B35" i="13"/>
  <c r="B47" s="1"/>
  <c r="B19" i="18"/>
  <c r="I16"/>
  <c r="D16" i="15"/>
  <c r="E100" i="18"/>
  <c r="E7" s="1"/>
  <c r="H100"/>
  <c r="K14" i="48"/>
  <c r="F7"/>
  <c r="F24" s="1"/>
  <c r="L30"/>
  <c r="I69" i="14"/>
  <c r="F12" i="17"/>
  <c r="G48" i="14" s="1"/>
  <c r="F100"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C14" s="1"/>
  <c r="M19" i="18"/>
  <c r="J78" i="14" l="1"/>
  <c r="I19" i="18"/>
  <c r="F67" i="14"/>
  <c r="F69" s="1"/>
  <c r="E9" i="18"/>
  <c r="E13" i="14"/>
  <c r="L12" i="17"/>
  <c r="M48" i="14" s="1"/>
  <c r="O22"/>
  <c r="N7" i="48"/>
  <c r="N24" s="1"/>
  <c r="N12" i="17"/>
  <c r="O48" i="14" s="1"/>
  <c r="D67"/>
  <c r="C9" i="18"/>
  <c r="M22" i="14"/>
  <c r="R22" s="1"/>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M9" i="48" l="1"/>
  <c r="N19" i="14"/>
  <c r="N20" s="1"/>
  <c r="N23" s="1"/>
  <c r="C78"/>
  <c r="C81" s="1"/>
  <c r="J81"/>
  <c r="D69"/>
  <c r="O67"/>
  <c r="Q7" i="48"/>
  <c r="P55" i="14"/>
  <c r="O31" i="48"/>
  <c r="J18" i="16"/>
  <c r="J8" i="48" s="1"/>
  <c r="J25" s="1"/>
  <c r="N18" i="16"/>
  <c r="N8" i="48" s="1"/>
  <c r="E18" i="16"/>
  <c r="E22" s="1"/>
  <c r="F39" i="14" s="1"/>
  <c r="F41" s="1"/>
  <c r="F53" s="1"/>
  <c r="O14" i="48"/>
  <c r="F18" i="16"/>
  <c r="G13" i="14" s="1"/>
  <c r="G15" s="1"/>
  <c r="G23" s="1"/>
  <c r="J69"/>
  <c r="C67"/>
  <c r="C69" s="1"/>
  <c r="B14" i="48"/>
  <c r="H46" i="14"/>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F13"/>
  <c r="F15" s="1"/>
  <c r="F23" s="1"/>
  <c r="F55" s="1"/>
  <c r="K13"/>
  <c r="K15" s="1"/>
  <c r="K23" s="1"/>
  <c r="R19"/>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<sst xmlns="http://schemas.openxmlformats.org/spreadsheetml/2006/main" count="2029" uniqueCount="894">
  <si>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</si>
  <si>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</si>
  <si>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</si>
  <si>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</si>
  <si>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</si>
  <si>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</si>
  <si>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</si>
  <si>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</si>
  <si>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</si>
  <si>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</si>
  <si>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</si>
  <si>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</si>
  <si>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</si>
  <si>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</si>
  <si>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</si>
  <si>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</si>
  <si>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</si>
  <si>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</si>
  <si>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</si>
  <si>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</si>
  <si>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</si>
  <si>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</si>
  <si>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</si>
  <si>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</si>
  <si>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</si>
  <si>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</si>
  <si>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</si>
  <si>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</si>
  <si>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</si>
  <si>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</si>
  <si>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</si>
  <si>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</si>
  <si>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</si>
  <si>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</si>
  <si>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</si>
  <si>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</si>
  <si>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</si>
  <si>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</si>
  <si>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</si>
  <si>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</si>
  <si>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</si>
  <si>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</si>
  <si>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</si>
  <si>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</si>
  <si>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</si>
  <si>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</si>
  <si>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</si>
  <si>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</si>
  <si>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</si>
  <si>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</si>
  <si>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</si>
  <si>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</si>
  <si>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</si>
  <si>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</si>
  <si>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</si>
  <si>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</si>
  <si>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</si>
  <si>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</si>
  <si>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</si>
  <si>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</si>
  <si>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</si>
  <si>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</si>
  <si>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</si>
  <si>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</si>
  <si>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</si>
  <si>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</si>
  <si>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</si>
  <si>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</si>
  <si>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</si>
  <si>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</si>
  <si>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</si>
  <si>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</si>
  <si>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</si>
  <si>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</si>
  <si>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</si>
  <si>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</si>
  <si>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</si>
  <si>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</si>
  <si>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</si>
  <si>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</si>
  <si>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</si>
  <si>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</si>
  <si>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</si>
  <si>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</si>
  <si>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</si>
  <si>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</si>
  <si>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</si>
  <si>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</si>
  <si>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</si>
  <si>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</si>
  <si>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</si>
  <si>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</si>
  <si>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</si>
  <si>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</si>
  <si>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</si>
  <si>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</si>
  <si>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</si>
  <si>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</si>
  <si>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</si>
  <si>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</si>
  <si>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</si>
  <si>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</si>
  <si>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</si>
  <si>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</si>
  <si>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</si>
  <si>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</si>
  <si>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</si>
  <si>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</si>
  <si>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</si>
  <si>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</si>
  <si>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</si>
  <si>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</si>
  <si>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</si>
  <si>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</si>
  <si>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</si>
  <si>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</si>
  <si>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</si>
  <si>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</si>
  <si>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</si>
  <si>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</si>
  <si>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</si>
  <si>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</si>
  <si>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</si>
  <si>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</si>
  <si>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</si>
  <si>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</si>
  <si>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</si>
  <si>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</si>
  <si>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</si>
  <si>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</si>
  <si>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</si>
  <si>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</si>
  <si>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</si>
  <si>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</si>
  <si>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</si>
  <si>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</si>
  <si>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</si>
  <si>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</si>
  <si>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</si>
  <si>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</si>
  <si>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</si>
  <si>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</si>
  <si>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</si>
  <si>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</si>
  <si>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</si>
  <si>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</si>
  <si>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</si>
  <si>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</si>
  <si>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</si>
  <si>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</si>
  <si>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</si>
  <si>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</si>
  <si>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</si>
  <si>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</si>
  <si>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</si>
  <si>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</si>
  <si>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</si>
  <si>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</si>
  <si>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</si>
  <si>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</si>
  <si>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</si>
  <si>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</si>
  <si>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</si>
  <si>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</si>
  <si>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</si>
  <si>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</si>
  <si>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</si>
  <si>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</si>
  <si>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</si>
  <si>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</si>
  <si>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</si>
  <si>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</si>
  <si>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</si>
  <si>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</si>
  <si>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</si>
  <si>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</si>
  <si>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</si>
  <si>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</si>
  <si>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</si>
  <si>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</si>
  <si>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</si>
  <si>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</si>
  <si>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</si>
  <si>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</si>
  <si>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</si>
  <si>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</si>
  <si>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</si>
  <si>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</si>
  <si>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</si>
  <si>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</si>
  <si>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</si>
  <si>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</si>
  <si>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</si>
  <si>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</si>
  <si>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</si>
  <si>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</si>
  <si>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</si>
  <si>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</si>
  <si>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</si>
  <si>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</si>
  <si>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</si>
  <si>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</si>
  <si>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</si>
  <si>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</si>
  <si>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</si>
  <si>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</si>
  <si>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</si>
  <si>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</si>
  <si>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</si>
  <si>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</si>
  <si>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</si>
  <si>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</si>
  <si>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</si>
  <si>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</si>
  <si>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</si>
  <si>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</si>
  <si>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</si>
  <si>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</si>
  <si>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</si>
  <si>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</si>
  <si>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</si>
  <si>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</si>
  <si>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</si>
  <si>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</si>
  <si>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</si>
  <si>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</si>
  <si>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</si>
  <si>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</si>
  <si>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</si>
  <si>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</si>
  <si>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</si>
  <si>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</si>
  <si>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</si>
  <si>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</si>
  <si>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</si>
  <si>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</si>
  <si>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</si>
  <si>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</si>
  <si>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</si>
  <si>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</si>
  <si>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</si>
  <si>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</si>
  <si>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</si>
  <si>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</si>
  <si>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</si>
  <si>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</si>
  <si>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</si>
  <si>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</si>
  <si>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</si>
  <si>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</si>
  <si>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</si>
  <si>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</si>
  <si>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</si>
  <si>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</si>
  <si>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</si>
  <si>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</si>
  <si>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</si>
  <si>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</si>
  <si>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</si>
  <si>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</si>
  <si>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</si>
  <si>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</si>
  <si>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</si>
  <si>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</si>
  <si>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</si>
  <si>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</si>
  <si>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</si>
  <si>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</si>
  <si>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</si>
  <si>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</si>
  <si>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</si>
  <si>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</si>
  <si>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</si>
  <si>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</si>
  <si>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</si>
  <si>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</si>
  <si>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</si>
  <si>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</si>
  <si>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</si>
  <si>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</si>
  <si>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</si>
  <si>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</si>
  <si>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</si>
  <si>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</si>
  <si>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</si>
  <si>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</si>
  <si>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</si>
  <si>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</si>
  <si>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</si>
  <si>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</si>
  <si>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</si>
  <si>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</si>
  <si>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</si>
  <si>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</si>
  <si>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</si>
  <si>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</si>
  <si>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</si>
  <si>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</si>
  <si>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</si>
  <si>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</si>
  <si>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</si>
  <si>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</si>
  <si>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</si>
  <si>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</si>
  <si>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</si>
  <si>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</si>
  <si>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</si>
  <si>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</si>
  <si>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</si>
  <si>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</si>
  <si>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</si>
  <si>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</si>
  <si>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</si>
  <si>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</si>
  <si>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</si>
  <si>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</si>
  <si>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</si>
  <si>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</si>
  <si>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</si>
  <si>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</si>
  <si>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</si>
  <si>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</si>
  <si>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</si>
  <si>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</si>
  <si>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</si>
  <si>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</si>
  <si>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</si>
  <si>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</si>
  <si>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</si>
  <si>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</si>
  <si>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</si>
  <si>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</si>
  <si>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</si>
  <si>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</si>
  <si>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</si>
  <si>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</si>
  <si>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</si>
  <si>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</si>
  <si>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</si>
  <si>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</si>
  <si>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</si>
  <si>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</si>
  <si>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</si>
  <si>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</si>
  <si>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</si>
  <si>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</si>
  <si>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</si>
  <si>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</si>
  <si>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</si>
  <si>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</si>
  <si>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</si>
  <si>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</si>
  <si>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</si>
  <si>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</si>
  <si>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</si>
  <si>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</si>
  <si>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</si>
  <si>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</si>
  <si>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</si>
  <si>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</si>
  <si>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</si>
  <si>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</si>
  <si>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</si>
  <si>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</si>
  <si>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</si>
  <si>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</si>
  <si>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</si>
  <si>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</si>
  <si>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</si>
  <si>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</si>
  <si>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</si>
  <si>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</si>
  <si>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</si>
  <si>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</si>
  <si>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</si>
  <si>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</si>
  <si>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</si>
  <si>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</si>
  <si>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</si>
  <si>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</si>
  <si>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</si>
  <si>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</si>
  <si>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</si>
  <si>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</si>
  <si>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</si>
  <si>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</si>
  <si>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</si>
  <si>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</si>
  <si>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</si>
  <si>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</si>
  <si>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</si>
  <si>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</si>
  <si>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</si>
  <si>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</si>
  <si>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</si>
  <si>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</si>
  <si>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</si>
  <si>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</si>
  <si>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</si>
  <si>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</si>
  <si>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</si>
  <si>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</si>
  <si>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</si>
  <si>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</si>
  <si>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</si>
  <si>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</si>
  <si>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</si>
  <si>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</si>
  <si>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</si>
  <si>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</si>
  <si>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</si>
  <si>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</si>
  <si>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</si>
  <si>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</si>
  <si>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</si>
  <si>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</si>
  <si>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</si>
  <si>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</si>
  <si>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</si>
  <si>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</si>
  <si>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</si>
  <si>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</si>
  <si>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</si>
  <si>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</si>
  <si>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</si>
  <si>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</si>
  <si>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</si>
  <si>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</si>
  <si>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</si>
  <si>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</si>
  <si>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</si>
  <si>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</si>
  <si>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</si>
  <si>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</si>
  <si>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</si>
  <si>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</si>
  <si>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</si>
  <si>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</si>
  <si>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</si>
  <si>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</si>
  <si>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</si>
  <si>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</si>
  <si>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</si>
  <si>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</si>
  <si>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</si>
  <si>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</si>
  <si>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</si>
  <si>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</si>
  <si>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</si>
  <si>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</si>
  <si>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</si>
  <si>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</si>
  <si>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</si>
  <si>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</si>
  <si>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</si>
  <si>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</si>
  <si>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</si>
  <si>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</si>
  <si>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</si>
  <si>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</si>
  <si>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</si>
  <si>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</si>
  <si>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</si>
  <si>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</si>
  <si>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</si>
  <si>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</si>
  <si>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</si>
  <si>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</si>
  <si>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</si>
  <si>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</si>
  <si>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</si>
  <si>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</si>
  <si>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</si>
  <si>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</si>
  <si>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</si>
  <si>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</si>
  <si>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</si>
  <si>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</si>
  <si>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</si>
  <si>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</si>
  <si>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</si>
  <si>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</si>
  <si>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</si>
  <si>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</si>
  <si>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</si>
  <si>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</si>
  <si>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</si>
  <si>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</si>
  <si>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</si>
  <si>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</si>
  <si>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</si>
  <si>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</si>
  <si>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</si>
  <si>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</si>
  <si>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</si>
  <si>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</si>
  <si>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</si>
  <si>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</si>
  <si>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</si>
  <si>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</si>
  <si>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</si>
  <si>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</si>
  <si>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</si>
  <si>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</si>
  <si>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</si>
  <si>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</si>
  <si>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</si>
  <si>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</si>
  <si>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</si>
  <si>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</si>
  <si>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</si>
  <si>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</si>
  <si>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</si>
  <si>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</si>
  <si>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</si>
  <si>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</si>
  <si>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</si>
  <si>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</si>
  <si>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</si>
  <si>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</si>
  <si>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</si>
  <si>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</si>
  <si>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</si>
  <si>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</si>
  <si>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</si>
  <si>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</si>
  <si>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</si>
  <si>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</si>
  <si>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</si>
  <si>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</si>
  <si>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</si>
  <si>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</si>
  <si>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</si>
  <si>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</si>
  <si>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</si>
  <si>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</si>
  <si>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</si>
  <si>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</si>
  <si>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</si>
  <si>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</si>
  <si>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</si>
  <si>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</si>
  <si>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</si>
  <si>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</si>
  <si>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</si>
  <si>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</si>
  <si>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</si>
  <si>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</si>
  <si>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</si>
  <si>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</si>
  <si>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</si>
  <si>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</si>
  <si>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</si>
  <si>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</si>
  <si>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</si>
  <si>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</si>
  <si>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</si>
  <si>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</si>
  <si>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</si>
  <si>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</si>
  <si>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</si>
  <si>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</si>
  <si>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</si>
  <si>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</si>
  <si>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</si>
  <si>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</si>
  <si>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</si>
  <si>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</si>
  <si>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</si>
  <si>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</si>
  <si>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</si>
  <si>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</si>
  <si>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</si>
  <si>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</si>
  <si>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</si>
  <si>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</si>
  <si>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</si>
  <si>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</si>
  <si>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</si>
  <si>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</si>
  <si>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</si>
  <si>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</si>
  <si>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</si>
  <si>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</si>
  <si>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</si>
  <si>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</si>
  <si>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</si>
  <si>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</si>
  <si>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</si>
  <si>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</si>
  <si>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</si>
  <si>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</si>
  <si>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</si>
  <si>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</si>
  <si>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</si>
  <si>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</si>
  <si>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</si>
  <si>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</si>
  <si>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</si>
  <si>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</si>
  <si>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</si>
  <si>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</si>
  <si>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</si>
  <si>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</si>
  <si>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</si>
  <si>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</si>
  <si>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</si>
  <si>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</si>
  <si>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</si>
  <si>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</si>
  <si>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</si>
  <si>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</si>
  <si>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</si>
  <si>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</si>
  <si>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</si>
  <si>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</si>
  <si>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</si>
  <si>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</si>
  <si>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</si>
  <si>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</si>
  <si>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</si>
  <si>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</si>
  <si>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</si>
  <si>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</si>
  <si>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</si>
  <si>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</si>
  <si>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</si>
  <si>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</si>
  <si>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</si>
  <si>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</si>
  <si>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</si>
  <si>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</si>
  <si>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</si>
  <si>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</si>
  <si>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</si>
  <si>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</si>
  <si>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</si>
  <si>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</si>
  <si>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</si>
  <si>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</si>
  <si>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</si>
  <si>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</si>
  <si>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</si>
  <si>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</si>
  <si>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</si>
  <si>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</si>
  <si>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</si>
  <si>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</si>
  <si>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</si>
  <si>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</si>
  <si>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</si>
  <si>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</si>
  <si>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</si>
  <si>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</si>
  <si>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</si>
  <si>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</si>
  <si>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</si>
  <si>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</si>
  <si>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</si>
  <si>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</si>
  <si>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</si>
  <si>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</si>
  <si>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</si>
  <si>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</si>
  <si>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</si>
  <si>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</si>
  <si>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</si>
  <si>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</si>
  <si>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</si>
  <si>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</si>
  <si>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</si>
  <si>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</si>
  <si>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</si>
  <si>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</si>
  <si>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</si>
  <si>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</si>
  <si>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</si>
  <si>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</si>
  <si>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</si>
  <si>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</si>
  <si>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</si>
  <si>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</si>
  <si>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</si>
  <si>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</si>
  <si>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</si>
  <si>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</si>
  <si>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</si>
  <si>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</si>
  <si>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</si>
  <si>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</si>
  <si>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</si>
  <si>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</si>
  <si>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</si>
  <si>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</si>
  <si>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</si>
  <si>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</si>
  <si>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</si>
  <si>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</si>
  <si>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</si>
  <si>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</si>
  <si>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</si>
  <si>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</si>
  <si>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</si>
  <si>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</si>
  <si>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</si>
  <si>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</si>
  <si>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</si>
  <si>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</si>
  <si>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</si>
  <si>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</si>
  <si>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</si>
  <si>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</si>
  <si>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</si>
  <si>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</si>
  <si>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</si>
  <si>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</si>
  <si>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</si>
  <si>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</si>
  <si>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</si>
  <si>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</si>
  <si>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</si>
  <si>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</si>
  <si>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</si>
  <si>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</si>
  <si>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</si>
  <si>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</si>
  <si>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</si>
  <si>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</si>
  <si>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</si>
  <si>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</si>
  <si>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</si>
  <si>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</si>
  <si>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</si>
  <si>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</si>
  <si>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</si>
  <si>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</si>
  <si>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</si>
  <si>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</si>
  <si>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</si>
  <si>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</si>
  <si>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</si>
  <si>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</si>
  <si>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</si>
  <si>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</si>
  <si>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</si>
  <si>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</si>
  <si>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</si>
  <si>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</si>
  <si>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</si>
  <si>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</si>
  <si>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</si>
  <si>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</si>
  <si>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</si>
  <si>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</si>
  <si>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</si>
  <si>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</si>
  <si>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</si>
  <si>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</si>
  <si>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</si>
  <si>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</si>
  <si>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</si>
  <si>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</si>
  <si>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</si>
  <si>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</si>
  <si>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</si>
  <si>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</si>
  <si>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</si>
  <si>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</si>
  <si>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</si>
  <si>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</si>
  <si>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</si>
  <si>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</si>
  <si>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</si>
  <si>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</si>
  <si>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</si>
  <si>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</si>
  <si>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</si>
  <si>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</si>
  <si>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</si>
  <si>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</si>
  <si>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</si>
  <si>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</si>
  <si>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</si>
  <si>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</si>
  <si>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</si>
  <si>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</si>
  <si>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</si>
  <si>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</si>
  <si>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</si>
  <si>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</si>
  <si>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</si>
  <si>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</si>
  <si>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</si>
  <si>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</si>
  <si>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</si>
  <si>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</si>
  <si>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</si>
  <si>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</si>
  <si>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</si>
  <si>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</si>
  <si>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</si>
  <si>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</si>
  <si>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</si>
  <si>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</si>
  <si>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</si>
  <si>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</si>
  <si>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</si>
  <si>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</si>
  <si>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</si>
  <si>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</si>
  <si>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</si>
  <si>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</si>
  <si>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</si>
  <si>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</si>
  <si>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</si>
  <si>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</si>
  <si>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</si>
  <si>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</si>
  <si>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</si>
  <si>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</si>
  <si>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</si>
  <si>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</si>
  <si>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</si>
  <si>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</si>
  <si>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</si>
  <si>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</si>
  <si>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</si>
  <si>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</si>
  <si>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</si>
  <si>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</si>
  <si>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</si>
  <si>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</si>
  <si>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</si>
  <si>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</si>
  <si>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</si>
  <si>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</si>
  <si>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</si>
  <si>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</si>
  <si>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</si>
  <si>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</si>
  <si>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</si>
  <si>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</si>
  <si>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</si>
  <si>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</si>
  <si>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</si>
  <si>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</si>
  <si>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</si>
  <si>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</si>
  <si>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</si>
  <si>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</si>
  <si>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</si>
  <si>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</si>
  <si>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</si>
  <si>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</si>
  <si>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</si>
  <si>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</si>
  <si>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</si>
  <si>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</si>
  <si>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</si>
  <si>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</si>
  <si>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</si>
  <si>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</si>
  <si>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</si>
  <si>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</si>
  <si>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</si>
  <si>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</si>
  <si>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</si>
  <si>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</si>
  <si>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</si>
  <si>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</si>
  <si>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</si>
  <si>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</si>
  <si>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</si>
  <si>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</si>
  <si>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</si>
  <si>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</si>
  <si>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</si>
  <si>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</si>
  <si>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</si>
  <si>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</si>
  <si>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</si>
  <si>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</si>
  <si>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</si>
  <si>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</si>
  <si>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</si>
  <si>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23062</t>
  </si>
  <si>
    <t>OVERIJSE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</si>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</sst>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23062</v>
      </c>
      <c r="B6" s="396"/>
      <c r="C6" s="397"/>
    </row>
    <row r="7" spans="1:7" s="394" customFormat="1" ht="15.75" customHeight="1">
      <c r="A7" s="398" t="str">
        <f>txtMunicipality</f>
        <v>OVERIJSE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23062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9551</v>
      </c>
      <c r="C9" s="336">
        <v>10641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1500</v>
      </c>
    </row>
    <row r="15" spans="1:6">
      <c r="A15" s="1194" t="s">
        <v>185</v>
      </c>
      <c r="B15" s="333">
        <v>3</v>
      </c>
    </row>
    <row r="16" spans="1:6">
      <c r="A16" s="1194" t="s">
        <v>6</v>
      </c>
      <c r="B16" s="333">
        <v>134</v>
      </c>
    </row>
    <row r="17" spans="1:6">
      <c r="A17" s="1194" t="s">
        <v>7</v>
      </c>
      <c r="B17" s="333">
        <v>105</v>
      </c>
    </row>
    <row r="18" spans="1:6">
      <c r="A18" s="1194" t="s">
        <v>8</v>
      </c>
      <c r="B18" s="333">
        <v>155</v>
      </c>
    </row>
    <row r="19" spans="1:6">
      <c r="A19" s="1194" t="s">
        <v>9</v>
      </c>
      <c r="B19" s="333">
        <v>177</v>
      </c>
    </row>
    <row r="20" spans="1:6">
      <c r="A20" s="1194" t="s">
        <v>10</v>
      </c>
      <c r="B20" s="333">
        <v>194</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68</v>
      </c>
    </row>
    <row r="27" spans="1:6">
      <c r="A27" s="1194" t="s">
        <v>17</v>
      </c>
      <c r="B27" s="333">
        <v>0</v>
      </c>
    </row>
    <row r="28" spans="1:6">
      <c r="A28" s="1194" t="s">
        <v>18</v>
      </c>
      <c r="B28" s="333">
        <v>10</v>
      </c>
    </row>
    <row r="29" spans="1:6">
      <c r="A29" s="1194" t="s">
        <v>888</v>
      </c>
      <c r="B29" s="333">
        <v>102</v>
      </c>
    </row>
    <row r="30" spans="1:6">
      <c r="A30" s="1190" t="s">
        <v>889</v>
      </c>
      <c r="B30" s="1190">
        <v>46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9</v>
      </c>
      <c r="F36" s="333">
        <v>27566</v>
      </c>
    </row>
    <row r="37" spans="1:6">
      <c r="A37" s="1194" t="s">
        <v>25</v>
      </c>
      <c r="B37" s="1194" t="s">
        <v>28</v>
      </c>
      <c r="C37" s="333">
        <v>0</v>
      </c>
      <c r="D37" s="333">
        <v>0</v>
      </c>
      <c r="E37" s="333">
        <v>0</v>
      </c>
      <c r="F37" s="333">
        <v>0</v>
      </c>
    </row>
    <row r="38" spans="1:6">
      <c r="A38" s="1194" t="s">
        <v>25</v>
      </c>
      <c r="B38" s="1194" t="s">
        <v>29</v>
      </c>
      <c r="C38" s="333">
        <v>0</v>
      </c>
      <c r="D38" s="333">
        <v>0</v>
      </c>
      <c r="E38" s="333">
        <v>3</v>
      </c>
      <c r="F38" s="333">
        <v>41464.447505845499</v>
      </c>
    </row>
    <row r="39" spans="1:6">
      <c r="A39" s="1194" t="s">
        <v>30</v>
      </c>
      <c r="B39" s="1194" t="s">
        <v>31</v>
      </c>
      <c r="C39" s="333">
        <v>5567</v>
      </c>
      <c r="D39" s="333">
        <v>137017816.892492</v>
      </c>
      <c r="E39" s="333">
        <v>9387</v>
      </c>
      <c r="F39" s="333">
        <v>45805528.399750598</v>
      </c>
    </row>
    <row r="40" spans="1:6">
      <c r="A40" s="1194" t="s">
        <v>30</v>
      </c>
      <c r="B40" s="1194" t="s">
        <v>29</v>
      </c>
      <c r="C40" s="333">
        <v>0</v>
      </c>
      <c r="D40" s="333">
        <v>0</v>
      </c>
      <c r="E40" s="333">
        <v>0</v>
      </c>
      <c r="F40" s="333">
        <v>0</v>
      </c>
    </row>
    <row r="41" spans="1:6">
      <c r="A41" s="1194" t="s">
        <v>32</v>
      </c>
      <c r="B41" s="1194" t="s">
        <v>33</v>
      </c>
      <c r="C41" s="333">
        <v>40</v>
      </c>
      <c r="D41" s="333">
        <v>1047024.1526205899</v>
      </c>
      <c r="E41" s="333">
        <v>112</v>
      </c>
      <c r="F41" s="333">
        <v>1076722.7811275199</v>
      </c>
    </row>
    <row r="42" spans="1:6">
      <c r="A42" s="1194" t="s">
        <v>32</v>
      </c>
      <c r="B42" s="1194" t="s">
        <v>34</v>
      </c>
      <c r="C42" s="333">
        <v>0</v>
      </c>
      <c r="D42" s="333">
        <v>0</v>
      </c>
      <c r="E42" s="333">
        <v>4</v>
      </c>
      <c r="F42" s="333">
        <v>432304.74941498099</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5</v>
      </c>
      <c r="D47" s="333">
        <v>80378.815622040696</v>
      </c>
      <c r="E47" s="333">
        <v>8</v>
      </c>
      <c r="F47" s="333">
        <v>127658.833776507</v>
      </c>
    </row>
    <row r="48" spans="1:6">
      <c r="A48" s="1194" t="s">
        <v>32</v>
      </c>
      <c r="B48" s="1194" t="s">
        <v>29</v>
      </c>
      <c r="C48" s="333">
        <v>27</v>
      </c>
      <c r="D48" s="333">
        <v>1919492.2654329799</v>
      </c>
      <c r="E48" s="333">
        <v>34</v>
      </c>
      <c r="F48" s="333">
        <v>1288166.03629637</v>
      </c>
    </row>
    <row r="49" spans="1:6">
      <c r="A49" s="1194" t="s">
        <v>32</v>
      </c>
      <c r="B49" s="1194" t="s">
        <v>40</v>
      </c>
      <c r="C49" s="333">
        <v>0</v>
      </c>
      <c r="D49" s="333">
        <v>0</v>
      </c>
      <c r="E49" s="333">
        <v>0</v>
      </c>
      <c r="F49" s="333">
        <v>0</v>
      </c>
    </row>
    <row r="50" spans="1:6">
      <c r="A50" s="1194" t="s">
        <v>32</v>
      </c>
      <c r="B50" s="1194" t="s">
        <v>41</v>
      </c>
      <c r="C50" s="333">
        <v>3</v>
      </c>
      <c r="D50" s="333">
        <v>180150.173401265</v>
      </c>
      <c r="E50" s="333">
        <v>8</v>
      </c>
      <c r="F50" s="333">
        <v>242911.25501238799</v>
      </c>
    </row>
    <row r="51" spans="1:6">
      <c r="A51" s="1194" t="s">
        <v>42</v>
      </c>
      <c r="B51" s="1194" t="s">
        <v>43</v>
      </c>
      <c r="C51" s="333">
        <v>28</v>
      </c>
      <c r="D51" s="333">
        <v>1785603.54405124</v>
      </c>
      <c r="E51" s="333">
        <v>143</v>
      </c>
      <c r="F51" s="333">
        <v>730119.99188851402</v>
      </c>
    </row>
    <row r="52" spans="1:6">
      <c r="A52" s="1194" t="s">
        <v>42</v>
      </c>
      <c r="B52" s="1194" t="s">
        <v>29</v>
      </c>
      <c r="C52" s="333">
        <v>4</v>
      </c>
      <c r="D52" s="333">
        <v>115230.616501789</v>
      </c>
      <c r="E52" s="333">
        <v>6</v>
      </c>
      <c r="F52" s="333">
        <v>82951.675134467907</v>
      </c>
    </row>
    <row r="53" spans="1:6">
      <c r="A53" s="1194" t="s">
        <v>44</v>
      </c>
      <c r="B53" s="1194" t="s">
        <v>45</v>
      </c>
      <c r="C53" s="333">
        <v>216</v>
      </c>
      <c r="D53" s="333">
        <v>6461912.2425011396</v>
      </c>
      <c r="E53" s="333">
        <v>356</v>
      </c>
      <c r="F53" s="333">
        <v>2210346.0934643801</v>
      </c>
    </row>
    <row r="54" spans="1:6">
      <c r="A54" s="1194" t="s">
        <v>46</v>
      </c>
      <c r="B54" s="1194" t="s">
        <v>47</v>
      </c>
      <c r="C54" s="333">
        <v>0</v>
      </c>
      <c r="D54" s="333">
        <v>0</v>
      </c>
      <c r="E54" s="333">
        <v>2</v>
      </c>
      <c r="F54" s="333">
        <v>2037313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31</v>
      </c>
      <c r="D57" s="333">
        <v>703664.70429343602</v>
      </c>
      <c r="E57" s="333">
        <v>179</v>
      </c>
      <c r="F57" s="333">
        <v>5716651.8237891998</v>
      </c>
    </row>
    <row r="58" spans="1:6">
      <c r="A58" s="1194" t="s">
        <v>49</v>
      </c>
      <c r="B58" s="1194" t="s">
        <v>51</v>
      </c>
      <c r="C58" s="333">
        <v>21</v>
      </c>
      <c r="D58" s="333">
        <v>1409686.7442228601</v>
      </c>
      <c r="E58" s="333">
        <v>27</v>
      </c>
      <c r="F58" s="333">
        <v>417120.37860513298</v>
      </c>
    </row>
    <row r="59" spans="1:6">
      <c r="A59" s="1194" t="s">
        <v>49</v>
      </c>
      <c r="B59" s="1194" t="s">
        <v>52</v>
      </c>
      <c r="C59" s="333">
        <v>123</v>
      </c>
      <c r="D59" s="333">
        <v>5735776.7840555804</v>
      </c>
      <c r="E59" s="333">
        <v>279</v>
      </c>
      <c r="F59" s="333">
        <v>7945232.5155404797</v>
      </c>
    </row>
    <row r="60" spans="1:6">
      <c r="A60" s="1194" t="s">
        <v>49</v>
      </c>
      <c r="B60" s="1194" t="s">
        <v>53</v>
      </c>
      <c r="C60" s="333">
        <v>63</v>
      </c>
      <c r="D60" s="333">
        <v>3645169.3037562901</v>
      </c>
      <c r="E60" s="333">
        <v>77</v>
      </c>
      <c r="F60" s="333">
        <v>2986671.2382781501</v>
      </c>
    </row>
    <row r="61" spans="1:6">
      <c r="A61" s="1194" t="s">
        <v>49</v>
      </c>
      <c r="B61" s="1194" t="s">
        <v>54</v>
      </c>
      <c r="C61" s="333">
        <v>242</v>
      </c>
      <c r="D61" s="333">
        <v>17681201.206408601</v>
      </c>
      <c r="E61" s="333">
        <v>505</v>
      </c>
      <c r="F61" s="333">
        <v>7008153.2255421598</v>
      </c>
    </row>
    <row r="62" spans="1:6">
      <c r="A62" s="1194" t="s">
        <v>49</v>
      </c>
      <c r="B62" s="1194" t="s">
        <v>55</v>
      </c>
      <c r="C62" s="333">
        <v>8</v>
      </c>
      <c r="D62" s="333">
        <v>1628181.55556374</v>
      </c>
      <c r="E62" s="333">
        <v>9</v>
      </c>
      <c r="F62" s="333">
        <v>328799.86021371902</v>
      </c>
    </row>
    <row r="63" spans="1:6">
      <c r="A63" s="1194" t="s">
        <v>49</v>
      </c>
      <c r="B63" s="1194" t="s">
        <v>29</v>
      </c>
      <c r="C63" s="333">
        <v>111</v>
      </c>
      <c r="D63" s="333">
        <v>6861440.5960915703</v>
      </c>
      <c r="E63" s="333">
        <v>103</v>
      </c>
      <c r="F63" s="333">
        <v>4226504.6753603304</v>
      </c>
    </row>
    <row r="64" spans="1:6">
      <c r="A64" s="1194" t="s">
        <v>56</v>
      </c>
      <c r="B64" s="1194" t="s">
        <v>57</v>
      </c>
      <c r="C64" s="333">
        <v>0</v>
      </c>
      <c r="D64" s="333">
        <v>0</v>
      </c>
      <c r="E64" s="333">
        <v>0</v>
      </c>
      <c r="F64" s="333">
        <v>0</v>
      </c>
    </row>
    <row r="65" spans="1:6">
      <c r="A65" s="1194" t="s">
        <v>56</v>
      </c>
      <c r="B65" s="1194" t="s">
        <v>29</v>
      </c>
      <c r="C65" s="333">
        <v>2</v>
      </c>
      <c r="D65" s="333">
        <v>14036.513947515101</v>
      </c>
      <c r="E65" s="333">
        <v>3</v>
      </c>
      <c r="F65" s="333">
        <v>64892.720126420601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9</v>
      </c>
      <c r="D68" s="333">
        <v>434737.54734795302</v>
      </c>
      <c r="E68" s="333">
        <v>15</v>
      </c>
      <c r="F68" s="333">
        <v>108046.26027309601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87126575</v>
      </c>
      <c r="E73" s="333">
        <v>89594118.576800898</v>
      </c>
      <c r="F73" s="333">
        <v>87137289</v>
      </c>
    </row>
    <row r="74" spans="1:6">
      <c r="A74" s="1194" t="s">
        <v>64</v>
      </c>
      <c r="B74" s="1194" t="s">
        <v>775</v>
      </c>
      <c r="C74" s="1205" t="s">
        <v>776</v>
      </c>
      <c r="D74" s="333">
        <v>2968051.2555085588</v>
      </c>
      <c r="E74" s="333">
        <v>3198864.6171060428</v>
      </c>
      <c r="F74" s="333">
        <v>3076099.2113472763</v>
      </c>
    </row>
    <row r="75" spans="1:6">
      <c r="A75" s="1194" t="s">
        <v>65</v>
      </c>
      <c r="B75" s="1194" t="s">
        <v>773</v>
      </c>
      <c r="C75" s="1205" t="s">
        <v>777</v>
      </c>
      <c r="D75" s="333">
        <v>48753945</v>
      </c>
      <c r="E75" s="333">
        <v>50167539.529720239</v>
      </c>
      <c r="F75" s="333">
        <v>48771938</v>
      </c>
    </row>
    <row r="76" spans="1:6">
      <c r="A76" s="1194" t="s">
        <v>65</v>
      </c>
      <c r="B76" s="1194" t="s">
        <v>775</v>
      </c>
      <c r="C76" s="1205" t="s">
        <v>778</v>
      </c>
      <c r="D76" s="333">
        <v>880917.25550855859</v>
      </c>
      <c r="E76" s="333">
        <v>1000360.0221467065</v>
      </c>
      <c r="F76" s="333">
        <v>950656.21134727634</v>
      </c>
    </row>
    <row r="77" spans="1:6">
      <c r="A77" s="1194" t="s">
        <v>66</v>
      </c>
      <c r="B77" s="1194" t="s">
        <v>773</v>
      </c>
      <c r="C77" s="1205" t="s">
        <v>779</v>
      </c>
      <c r="D77" s="333">
        <v>216275525</v>
      </c>
      <c r="E77" s="333">
        <v>224393560.67721808</v>
      </c>
      <c r="F77" s="333">
        <v>217056183</v>
      </c>
    </row>
    <row r="78" spans="1:6">
      <c r="A78" s="1190" t="s">
        <v>66</v>
      </c>
      <c r="B78" s="1190" t="s">
        <v>775</v>
      </c>
      <c r="C78" s="1190" t="s">
        <v>780</v>
      </c>
      <c r="D78" s="1190">
        <v>16521439</v>
      </c>
      <c r="E78" s="1190">
        <v>16936603.480130993</v>
      </c>
      <c r="F78" s="336">
        <v>16702289</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1241745.4889828828</v>
      </c>
      <c r="C83" s="333">
        <v>1142873.1020199861</v>
      </c>
      <c r="D83" s="333">
        <v>1149745.5773054473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9</v>
      </c>
    </row>
    <row r="90" spans="1:6">
      <c r="A90" s="1194" t="s">
        <v>562</v>
      </c>
      <c r="B90" s="949">
        <v>0</v>
      </c>
    </row>
    <row r="91" spans="1:6">
      <c r="A91" s="1194" t="s">
        <v>68</v>
      </c>
      <c r="B91" s="333">
        <v>1343.9784659917595</v>
      </c>
    </row>
    <row r="92" spans="1:6">
      <c r="A92" s="1190" t="s">
        <v>69</v>
      </c>
      <c r="B92" s="336">
        <v>65.237753883553751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3706</v>
      </c>
    </row>
    <row r="98" spans="1:6">
      <c r="A98" s="1194" t="s">
        <v>72</v>
      </c>
      <c r="B98" s="333">
        <v>4</v>
      </c>
    </row>
    <row r="99" spans="1:6">
      <c r="A99" s="1194" t="s">
        <v>73</v>
      </c>
      <c r="B99" s="333">
        <v>74</v>
      </c>
    </row>
    <row r="100" spans="1:6">
      <c r="A100" s="1194" t="s">
        <v>74</v>
      </c>
      <c r="B100" s="333">
        <v>477</v>
      </c>
    </row>
    <row r="101" spans="1:6">
      <c r="A101" s="1194" t="s">
        <v>75</v>
      </c>
      <c r="B101" s="333">
        <v>44</v>
      </c>
    </row>
    <row r="102" spans="1:6">
      <c r="A102" s="1194" t="s">
        <v>76</v>
      </c>
      <c r="B102" s="333">
        <v>114</v>
      </c>
    </row>
    <row r="103" spans="1:6">
      <c r="A103" s="1194" t="s">
        <v>77</v>
      </c>
      <c r="B103" s="333">
        <v>138</v>
      </c>
    </row>
    <row r="104" spans="1:6">
      <c r="A104" s="1194" t="s">
        <v>78</v>
      </c>
      <c r="B104" s="333">
        <v>3945</v>
      </c>
    </row>
    <row r="105" spans="1:6">
      <c r="A105" s="1190" t="s">
        <v>79</v>
      </c>
      <c r="B105" s="1190">
        <v>13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9</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84</v>
      </c>
    </row>
    <row r="130" spans="1:6">
      <c r="A130" s="1194" t="s">
        <v>296</v>
      </c>
      <c r="B130" s="333">
        <v>0</v>
      </c>
    </row>
    <row r="131" spans="1:6">
      <c r="A131" s="1194" t="s">
        <v>297</v>
      </c>
      <c r="B131" s="333">
        <v>0</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81799.60052955756</v>
      </c>
      <c r="C3" s="43" t="s">
        <v>171</v>
      </c>
      <c r="D3" s="43"/>
      <c r="E3" s="156"/>
      <c r="F3" s="43"/>
      <c r="G3" s="43"/>
      <c r="H3" s="43"/>
      <c r="I3" s="43"/>
      <c r="J3" s="43"/>
      <c r="K3" s="96"/>
    </row>
    <row r="4" spans="1:11">
      <c r="A4" s="364" t="s">
        <v>172</v>
      </c>
      <c r="B4" s="49">
        <f>IF(ISERROR('SEAP template'!B69),0,'SEAP template'!B69)</f>
        <v>1418.2162198753133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0.21716837022964205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2037.3130000000001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2037.3130000000001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0.21716837022964205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442.43994385766274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45805.528399750598</v>
      </c>
      <c r="C5" s="17">
        <f>IF(ISERROR('Eigen informatie GS &amp; warmtenet'!B57),0,'Eigen informatie GS &amp; warmtenet'!B57)</f>
        <v>0</v>
      </c>
      <c r="D5" s="30">
        <f>(SUM(HH_hh_gas_kWh,HH_rest_gas_kWh)/1000)*0.902</f>
        <v>123590.07083702779</v>
      </c>
      <c r="E5" s="17">
        <f>B46*B57</f>
        <v>4351.3207937946345</v>
      </c>
      <c r="F5" s="17">
        <f>B51*B62</f>
        <v>51763.060514229444</v>
      </c>
      <c r="G5" s="18"/>
      <c r="H5" s="17"/>
      <c r="I5" s="17"/>
      <c r="J5" s="17">
        <f>B50*B61+C50*C61</f>
        <v>0</v>
      </c>
      <c r="K5" s="17"/>
      <c r="L5" s="17"/>
      <c r="M5" s="17"/>
      <c r="N5" s="17">
        <f>B48*B59+C48*C59</f>
        <v>7485.8644654289019</v>
      </c>
      <c r="O5" s="17">
        <f>B69*B70*B71</f>
        <v>145.39000000000001</v>
      </c>
      <c r="P5" s="17">
        <f>B77*B78*B79/1000-B77*B78*B79/1000/B80</f>
        <v>247.86666666666667</v>
      </c>
    </row>
    <row r="6" spans="1:16">
      <c r="A6" s="16" t="s">
        <v>633</v>
      </c>
      <c r="B6" s="830">
        <f>kWh_PV_kleiner_dan_10kW</f>
        <v>1343.9784659917595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47149.506865742354</v>
      </c>
      <c r="C8" s="21">
        <f>C5</f>
        <v>0</v>
      </c>
      <c r="D8" s="21">
        <f>D5</f>
        <v>123590.07083702779</v>
      </c>
      <c r="E8" s="21">
        <f>E5</f>
        <v>4351.3207937946345</v>
      </c>
      <c r="F8" s="21">
        <f>F5</f>
        <v>51763.060514229444</v>
      </c>
      <c r="G8" s="21"/>
      <c r="H8" s="21"/>
      <c r="I8" s="21"/>
      <c r="J8" s="21">
        <f>J5</f>
        <v>0</v>
      </c>
      <c r="K8" s="21"/>
      <c r="L8" s="21">
        <f>L5</f>
        <v>0</v>
      </c>
      <c r="M8" s="21">
        <f>M5</f>
        <v>0</v>
      </c>
      <c r="N8" s="21">
        <f>N5</f>
        <v>7485.8644654289019</v>
      </c>
      <c r="O8" s="21">
        <f>O5</f>
        <v>145.39000000000001</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0.21716837022964205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10239.381563164585</v>
      </c>
      <c r="C12" s="23">
        <f ca="1">C10*C8</f>
        <v>0</v>
      </c>
      <c r="D12" s="23">
        <f>D8*D10</f>
        <v>24965.194309079616</v>
      </c>
      <c r="E12" s="23">
        <f>E10*E8</f>
        <v>987.74982019138201</v>
      </c>
      <c r="F12" s="23">
        <f>F10*F8</f>
        <v>13820.737157299262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3706</v>
      </c>
      <c r="C18" s="167" t="s">
        <v>111</v>
      </c>
      <c r="D18" s="229"/>
      <c r="E18" s="15"/>
    </row>
    <row r="19" spans="1:7">
      <c r="A19" s="172" t="s">
        <v>72</v>
      </c>
      <c r="B19" s="37">
        <f>aantalw2001_ander</f>
        <v>4</v>
      </c>
      <c r="C19" s="167" t="s">
        <v>111</v>
      </c>
      <c r="D19" s="230"/>
      <c r="E19" s="15"/>
    </row>
    <row r="20" spans="1:7">
      <c r="A20" s="172" t="s">
        <v>73</v>
      </c>
      <c r="B20" s="37">
        <f>aantalw2001_propaan</f>
        <v>74</v>
      </c>
      <c r="C20" s="168">
        <f>IF(ISERROR(B20/SUM($B$20,$B$21,$B$22)*100),0,B20/SUM($B$20,$B$21,$B$22)*100)</f>
        <v>12.436974789915967</v>
      </c>
      <c r="D20" s="230"/>
      <c r="E20" s="15"/>
    </row>
    <row r="21" spans="1:7">
      <c r="A21" s="172" t="s">
        <v>74</v>
      </c>
      <c r="B21" s="37">
        <f>aantalw2001_elektriciteit</f>
        <v>477</v>
      </c>
      <c r="C21" s="168">
        <f>IF(ISERROR(B21/SUM($B$20,$B$21,$B$22)*100),0,B21/SUM($B$20,$B$21,$B$22)*100)</f>
        <v>80.168067226890756</v>
      </c>
      <c r="D21" s="230"/>
      <c r="E21" s="15"/>
    </row>
    <row r="22" spans="1:7">
      <c r="A22" s="172" t="s">
        <v>75</v>
      </c>
      <c r="B22" s="37">
        <f>aantalw2001_hout</f>
        <v>44</v>
      </c>
      <c r="C22" s="168">
        <f>IF(ISERROR(B22/SUM($B$20,$B$21,$B$22)*100),0,B22/SUM($B$20,$B$21,$B$22)*100)</f>
        <v>7.3949579831932777</v>
      </c>
      <c r="D22" s="230"/>
      <c r="E22" s="15"/>
    </row>
    <row r="23" spans="1:7">
      <c r="A23" s="172" t="s">
        <v>76</v>
      </c>
      <c r="B23" s="37">
        <f>aantalw2001_niet_gespec</f>
        <v>114</v>
      </c>
      <c r="C23" s="167" t="s">
        <v>111</v>
      </c>
      <c r="D23" s="229"/>
      <c r="E23" s="15"/>
    </row>
    <row r="24" spans="1:7">
      <c r="A24" s="172" t="s">
        <v>77</v>
      </c>
      <c r="B24" s="37">
        <f>aantalw2001_steenkool</f>
        <v>138</v>
      </c>
      <c r="C24" s="167" t="s">
        <v>111</v>
      </c>
      <c r="D24" s="230"/>
      <c r="E24" s="15"/>
    </row>
    <row r="25" spans="1:7">
      <c r="A25" s="172" t="s">
        <v>78</v>
      </c>
      <c r="B25" s="37">
        <f>aantalw2001_stookolie</f>
        <v>3945</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713</v>
      </c>
      <c r="B28" s="37">
        <f>aantalHuishoudens2011</f>
        <v>9551</v>
      </c>
      <c r="C28" s="36"/>
      <c r="D28" s="229"/>
    </row>
    <row r="29" spans="1:7" s="15" customFormat="1">
      <c r="A29" s="231" t="s">
        <v>714</v>
      </c>
      <c r="B29" s="37">
        <f>SUM(HH_hh_gas_aantal,HH_rest_gas_aantal)</f>
        <v>5567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5567</v>
      </c>
      <c r="C32" s="168">
        <f>IF(ISERROR(B32/SUM($B$32,$B$34,$B$35,$B$36,$B$38,$B$39)*100),0,B32/SUM($B$32,$B$34,$B$35,$B$36,$B$38,$B$39)*100)</f>
        <v>58.366533864541836</v>
      </c>
      <c r="D32" s="234"/>
      <c r="G32" s="15"/>
    </row>
    <row r="33" spans="1:7">
      <c r="A33" s="172" t="s">
        <v>72</v>
      </c>
      <c r="B33" s="34" t="s">
        <v>111</v>
      </c>
      <c r="C33" s="168"/>
      <c r="D33" s="234"/>
      <c r="G33" s="15"/>
    </row>
    <row r="34" spans="1:7">
      <c r="A34" s="172" t="s">
        <v>73</v>
      </c>
      <c r="B34" s="33">
        <f>IF((($B$28-$B$32-$B$39-$B$77-$B$38)*C20/100)&lt;0,0,($B$28-$B$32-$B$39-$B$77-$B$38)*C20/100)</f>
        <v>211.54050420168068</v>
      </c>
      <c r="C34" s="168">
        <f>IF(ISERROR(B34/SUM($B$32,$B$34,$B$35,$B$36,$B$38,$B$39)*100),0,B34/SUM($B$32,$B$34,$B$35,$B$36,$B$38,$B$39)*100)</f>
        <v>2.2178706668240791</v>
      </c>
      <c r="D34" s="234"/>
      <c r="G34" s="15"/>
    </row>
    <row r="35" spans="1:7">
      <c r="A35" s="172" t="s">
        <v>74</v>
      </c>
      <c r="B35" s="33">
        <f>IF((($B$28-$B$32-$B$39-$B$77-$B$38)*C21/100)&lt;0,0,($B$28-$B$32-$B$39-$B$77-$B$38)*C21/100)</f>
        <v>1363.578655462185</v>
      </c>
      <c r="C35" s="168">
        <f>IF(ISERROR(B35/SUM($B$32,$B$34,$B$35,$B$36,$B$38,$B$39)*100),0,B35/SUM($B$32,$B$34,$B$35,$B$36,$B$38,$B$39)*100)</f>
        <v>14.296274433447106</v>
      </c>
      <c r="D35" s="234"/>
      <c r="G35" s="15"/>
    </row>
    <row r="36" spans="1:7">
      <c r="A36" s="172" t="s">
        <v>75</v>
      </c>
      <c r="B36" s="33">
        <f>IF((($B$28-$B$32-$B$39-$B$77-$B$38)*C22/100)&lt;0,0,($B$28-$B$32-$B$39-$B$77-$B$38)*C22/100)</f>
        <v>125.78084033613446</v>
      </c>
      <c r="C36" s="168">
        <f>IF(ISERROR(B36/SUM($B$32,$B$34,$B$35,$B$36,$B$38,$B$39)*100),0,B36/SUM($B$32,$B$34,$B$35,$B$36,$B$38,$B$39)*100)</f>
        <v>1.3187339100035067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2270.1</v>
      </c>
      <c r="C39" s="168">
        <f>IF(ISERROR(B39/SUM($B$32,$B$34,$B$35,$B$36,$B$38,$B$39)*100),0,B39/SUM($B$32,$B$34,$B$35,$B$36,$B$38,$B$39)*100)</f>
        <v>23.800587125183476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5567</v>
      </c>
      <c r="C44" s="34" t="s">
        <v>111</v>
      </c>
      <c r="D44" s="175"/>
    </row>
    <row r="45" spans="1:7">
      <c r="A45" s="172" t="s">
        <v>72</v>
      </c>
      <c r="B45" s="33" t="str">
        <f t="shared" si="0"/>
        <v>-</v>
      </c>
      <c r="C45" s="34" t="s">
        <v>111</v>
      </c>
      <c r="D45" s="175"/>
    </row>
    <row r="46" spans="1:7">
      <c r="A46" s="172" t="s">
        <v>73</v>
      </c>
      <c r="B46" s="33">
        <f t="shared" si="0"/>
        <v>211.54050420168068</v>
      </c>
      <c r="C46" s="34" t="s">
        <v>111</v>
      </c>
      <c r="D46" s="175"/>
    </row>
    <row r="47" spans="1:7">
      <c r="A47" s="172" t="s">
        <v>74</v>
      </c>
      <c r="B47" s="33">
        <f t="shared" si="0"/>
        <v>1363.578655462185</v>
      </c>
      <c r="C47" s="34" t="s">
        <v>111</v>
      </c>
      <c r="D47" s="175"/>
    </row>
    <row r="48" spans="1:7">
      <c r="A48" s="172" t="s">
        <v>75</v>
      </c>
      <c r="B48" s="33">
        <f t="shared" si="0"/>
        <v>125.78084033613446</v>
      </c>
      <c r="C48" s="33">
        <f>B48*10</f>
        <v>1257.8084033613445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2270.1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93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28629.133717329172</v>
      </c>
      <c r="C5" s="17">
        <f>IF(ISERROR('Eigen informatie GS &amp; warmtenet'!B58),0,'Eigen informatie GS &amp; warmtenet'!B58)</f>
        <v>0</v>
      </c>
      <c r="D5" s="30">
        <f>SUM(D6:D12)</f>
        <v>33973.93904674166</v>
      </c>
      <c r="E5" s="17">
        <f>SUM(E6:E12)</f>
        <v>580.50929785248672</v>
      </c>
      <c r="F5" s="17">
        <f>SUM(F6:F12)</f>
        <v>5498.1087219072369</v>
      </c>
      <c r="G5" s="18"/>
      <c r="H5" s="17"/>
      <c r="I5" s="17"/>
      <c r="J5" s="17">
        <f>SUM(J6:J12)</f>
        <v>0</v>
      </c>
      <c r="K5" s="17"/>
      <c r="L5" s="17"/>
      <c r="M5" s="17"/>
      <c r="N5" s="17">
        <f>SUM(N6:N12)</f>
        <v>1499.9008228362306</v>
      </c>
      <c r="O5" s="17">
        <f>B38*B39*B40</f>
        <v>0</v>
      </c>
      <c r="P5" s="17">
        <f>B46*B47*B48/1000-B46*B47*B48/1000/B49</f>
        <v>0</v>
      </c>
      <c r="R5" s="32"/>
    </row>
    <row r="6" spans="1:18">
      <c r="A6" s="32" t="s">
        <v>54</v>
      </c>
      <c r="B6" s="37">
        <f>B26</f>
        <v>7008.1532255421598</v>
      </c>
      <c r="C6" s="33"/>
      <c r="D6" s="37">
        <f>IF(ISERROR(TER_kantoor_gas_kWh/1000),0,TER_kantoor_gas_kWh/1000)*0.902</f>
        <v>15948.443488180559</v>
      </c>
      <c r="E6" s="33">
        <f>$C$26*'E Balans VL '!I12/100/3.6*1000000</f>
        <v>245.31293119314583</v>
      </c>
      <c r="F6" s="33">
        <f>$C$26*('E Balans VL '!L12+'E Balans VL '!N12)/100/3.6*1000000</f>
        <v>1062.5864925675362</v>
      </c>
      <c r="G6" s="34"/>
      <c r="H6" s="33"/>
      <c r="I6" s="33"/>
      <c r="J6" s="33">
        <f>$C$26*('E Balans VL '!D12+'E Balans VL '!E12)/100/3.6*1000000</f>
        <v>0</v>
      </c>
      <c r="K6" s="33"/>
      <c r="L6" s="33"/>
      <c r="M6" s="33"/>
      <c r="N6" s="33">
        <f>$C$26*'E Balans VL '!Y12/100/3.6*1000000</f>
        <v>54.170830941848919</v>
      </c>
      <c r="O6" s="33"/>
      <c r="P6" s="33"/>
      <c r="R6" s="32"/>
    </row>
    <row r="7" spans="1:18">
      <c r="A7" s="32" t="s">
        <v>53</v>
      </c>
      <c r="B7" s="37">
        <f t="shared" ref="B7:B12" si="0">B27</f>
        <v>2986.6712382781502</v>
      </c>
      <c r="C7" s="33"/>
      <c r="D7" s="37">
        <f>IF(ISERROR(TER_horeca_gas_kWh/1000),0,TER_horeca_gas_kWh/1000)*0.902</f>
        <v>3287.9427119881739</v>
      </c>
      <c r="E7" s="33">
        <f>$C$27*'E Balans VL '!I9/100/3.6*1000000</f>
        <v>168.48797089458893</v>
      </c>
      <c r="F7" s="33">
        <f>$C$27*('E Balans VL '!L9+'E Balans VL '!N9)/100/3.6*1000000</f>
        <v>520.29465815890171</v>
      </c>
      <c r="G7" s="34"/>
      <c r="H7" s="33"/>
      <c r="I7" s="33"/>
      <c r="J7" s="33">
        <f>$C$27*('E Balans VL '!D9+'E Balans VL '!E9)/100/3.6*1000000</f>
        <v>0</v>
      </c>
      <c r="K7" s="33"/>
      <c r="L7" s="33"/>
      <c r="M7" s="33"/>
      <c r="N7" s="33">
        <f>$C$27*'E Balans VL '!Y9/100/3.6*1000000</f>
        <v>0</v>
      </c>
      <c r="O7" s="33"/>
      <c r="P7" s="33"/>
      <c r="R7" s="32"/>
    </row>
    <row r="8" spans="1:18">
      <c r="A8" s="6" t="s">
        <v>52</v>
      </c>
      <c r="B8" s="37">
        <f t="shared" si="0"/>
        <v>7945.2325155404797</v>
      </c>
      <c r="C8" s="33"/>
      <c r="D8" s="37">
        <f>IF(ISERROR(TER_handel_gas_kWh/1000),0,TER_handel_gas_kWh/1000)*0.902</f>
        <v>5173.6706592181336</v>
      </c>
      <c r="E8" s="33">
        <f>$C$28*'E Balans VL '!I13/100/3.6*1000000</f>
        <v>40.79001651086871</v>
      </c>
      <c r="F8" s="33">
        <f>$C$28*('E Balans VL '!L13+'E Balans VL '!N13)/100/3.6*1000000</f>
        <v>1225.0320874514512</v>
      </c>
      <c r="G8" s="34"/>
      <c r="H8" s="33"/>
      <c r="I8" s="33"/>
      <c r="J8" s="33">
        <f>$C$28*('E Balans VL '!D13+'E Balans VL '!E13)/100/3.6*1000000</f>
        <v>0</v>
      </c>
      <c r="K8" s="33"/>
      <c r="L8" s="33"/>
      <c r="M8" s="33"/>
      <c r="N8" s="33">
        <f>$C$28*'E Balans VL '!Y13/100/3.6*1000000</f>
        <v>3.7160822321356277</v>
      </c>
      <c r="O8" s="33"/>
      <c r="P8" s="33"/>
      <c r="R8" s="32"/>
    </row>
    <row r="9" spans="1:18">
      <c r="A9" s="32" t="s">
        <v>51</v>
      </c>
      <c r="B9" s="37">
        <f t="shared" si="0"/>
        <v>417.120378605133</v>
      </c>
      <c r="C9" s="33"/>
      <c r="D9" s="37">
        <f>IF(ISERROR(TER_gezond_gas_kWh/1000),0,TER_gezond_gas_kWh/1000)*0.902</f>
        <v>1271.5374432890198</v>
      </c>
      <c r="E9" s="33">
        <f>$C$29*'E Balans VL '!I10/100/3.6*1000000</f>
        <v>0.17289342630695778</v>
      </c>
      <c r="F9" s="33">
        <f>$C$29*('E Balans VL '!L10+'E Balans VL '!N10)/100/3.6*1000000</f>
        <v>102.73076694622038</v>
      </c>
      <c r="G9" s="34"/>
      <c r="H9" s="33"/>
      <c r="I9" s="33"/>
      <c r="J9" s="33">
        <f>$C$29*('E Balans VL '!D10+'E Balans VL '!E10)/100/3.6*1000000</f>
        <v>0</v>
      </c>
      <c r="K9" s="33"/>
      <c r="L9" s="33"/>
      <c r="M9" s="33"/>
      <c r="N9" s="33">
        <f>$C$29*'E Balans VL '!Y10/100/3.6*1000000</f>
        <v>3.6049524962746</v>
      </c>
      <c r="O9" s="33"/>
      <c r="P9" s="33"/>
      <c r="R9" s="32"/>
    </row>
    <row r="10" spans="1:18">
      <c r="A10" s="32" t="s">
        <v>50</v>
      </c>
      <c r="B10" s="37">
        <f t="shared" si="0"/>
        <v>5716.6518237891996</v>
      </c>
      <c r="C10" s="33"/>
      <c r="D10" s="37">
        <f>IF(ISERROR(TER_ander_gas_kWh/1000),0,TER_ander_gas_kWh/1000)*0.902</f>
        <v>634.70556327267923</v>
      </c>
      <c r="E10" s="33">
        <f>$C$30*'E Balans VL '!I14/100/3.6*1000000</f>
        <v>34.848850563039846</v>
      </c>
      <c r="F10" s="33">
        <f>$C$30*('E Balans VL '!L14+'E Balans VL '!N14)/100/3.6*1000000</f>
        <v>1515.5627077334991</v>
      </c>
      <c r="G10" s="34"/>
      <c r="H10" s="33"/>
      <c r="I10" s="33"/>
      <c r="J10" s="33">
        <f>$C$30*('E Balans VL '!D14+'E Balans VL '!E14)/100/3.6*1000000</f>
        <v>0</v>
      </c>
      <c r="K10" s="33"/>
      <c r="L10" s="33"/>
      <c r="M10" s="33"/>
      <c r="N10" s="33">
        <f>$C$30*'E Balans VL '!Y14/100/3.6*1000000</f>
        <v>1317.564717629662</v>
      </c>
      <c r="O10" s="33"/>
      <c r="P10" s="33"/>
      <c r="R10" s="32"/>
    </row>
    <row r="11" spans="1:18">
      <c r="A11" s="32" t="s">
        <v>55</v>
      </c>
      <c r="B11" s="37">
        <f t="shared" si="0"/>
        <v>328.799860213719</v>
      </c>
      <c r="C11" s="33"/>
      <c r="D11" s="37">
        <f>IF(ISERROR(TER_onderwijs_gas_kWh/1000),0,TER_onderwijs_gas_kWh/1000)*0.902</f>
        <v>1468.6197631184934</v>
      </c>
      <c r="E11" s="33">
        <f>$C$31*'E Balans VL '!I11/100/3.6*1000000</f>
        <v>0.25056261427244492</v>
      </c>
      <c r="F11" s="33">
        <f>$C$31*('E Balans VL '!L11+'E Balans VL '!N11)/100/3.6*1000000</f>
        <v>237.93759783271744</v>
      </c>
      <c r="G11" s="34"/>
      <c r="H11" s="33"/>
      <c r="I11" s="33"/>
      <c r="J11" s="33">
        <f>$C$31*('E Balans VL '!D11+'E Balans VL '!E11)/100/3.6*1000000</f>
        <v>0</v>
      </c>
      <c r="K11" s="33"/>
      <c r="L11" s="33"/>
      <c r="M11" s="33"/>
      <c r="N11" s="33">
        <f>$C$31*'E Balans VL '!Y11/100/3.6*1000000</f>
        <v>0.96905176978450713</v>
      </c>
      <c r="O11" s="33"/>
      <c r="P11" s="33"/>
      <c r="R11" s="32"/>
    </row>
    <row r="12" spans="1:18">
      <c r="A12" s="32" t="s">
        <v>261</v>
      </c>
      <c r="B12" s="37">
        <f t="shared" si="0"/>
        <v>4226.5046753603301</v>
      </c>
      <c r="C12" s="33"/>
      <c r="D12" s="37">
        <f>IF(ISERROR(TER_rest_gas_kWh/1000),0,TER_rest_gas_kWh/1000)*0.902</f>
        <v>6189.0194176745963</v>
      </c>
      <c r="E12" s="33">
        <f>$C$32*'E Balans VL '!I8/100/3.6*1000000</f>
        <v>90.646072650264045</v>
      </c>
      <c r="F12" s="33">
        <f>$C$32*('E Balans VL '!L8+'E Balans VL '!N8)/100/3.6*1000000</f>
        <v>833.9644112169118</v>
      </c>
      <c r="G12" s="34"/>
      <c r="H12" s="33"/>
      <c r="I12" s="33"/>
      <c r="J12" s="33">
        <f>$C$32*('E Balans VL '!D8+'E Balans VL '!E8)/100/3.6*1000000</f>
        <v>0</v>
      </c>
      <c r="K12" s="33"/>
      <c r="L12" s="33"/>
      <c r="M12" s="33"/>
      <c r="N12" s="33">
        <f>$C$32*'E Balans VL '!Y8/100/3.6*1000000</f>
        <v>119.87518776652495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28629.133717329172</v>
      </c>
      <c r="C16" s="21">
        <f ca="1">C5+C13+C14</f>
        <v>0</v>
      </c>
      <c r="D16" s="21">
        <f t="shared" ref="D16:N16" ca="1" si="1">MAX((D5+D13+D14),0)</f>
        <v>33973.93904674166</v>
      </c>
      <c r="E16" s="21">
        <f t="shared" si="1"/>
        <v>580.50929785248672</v>
      </c>
      <c r="F16" s="21">
        <f t="shared" ca="1" si="1"/>
        <v>5498.1087219072369</v>
      </c>
      <c r="G16" s="21">
        <f t="shared" si="1"/>
        <v>0</v>
      </c>
      <c r="H16" s="21">
        <f t="shared" si="1"/>
        <v>0</v>
      </c>
      <c r="I16" s="21">
        <f t="shared" si="1"/>
        <v>0</v>
      </c>
      <c r="J16" s="21">
        <f t="shared" si="1"/>
        <v>0</v>
      </c>
      <c r="K16" s="21">
        <f t="shared" si="1"/>
        <v>0</v>
      </c>
      <c r="L16" s="21">
        <f t="shared" ca="1" si="1"/>
        <v>0</v>
      </c>
      <c r="M16" s="21">
        <f t="shared" si="1"/>
        <v>0</v>
      </c>
      <c r="N16" s="21">
        <f t="shared" ca="1" si="1"/>
        <v>1499.9008228362306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0.21716837022964205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6217.3423104788699</v>
      </c>
      <c r="C20" s="23">
        <f t="shared" ref="C20:P20" ca="1" si="2">C16*C18</f>
        <v>0</v>
      </c>
      <c r="D20" s="23">
        <f t="shared" ca="1" si="2"/>
        <v>6862.7356874418156</v>
      </c>
      <c r="E20" s="23">
        <f t="shared" si="2"/>
        <v>131.7756106125145</v>
      </c>
      <c r="F20" s="23">
        <f t="shared" ca="1" si="2"/>
        <v>1467.9950287492322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7008.1532255421598</v>
      </c>
      <c r="C26" s="39">
        <f>IF(ISERROR(B26*3.6/1000000/'E Balans VL '!Z12*100),0,B26*3.6/1000000/'E Balans VL '!Z12*100)</f>
        <v>0.1474749624842373</v>
      </c>
      <c r="D26" s="238" t="s">
        <v>720</v>
      </c>
      <c r="F26" s="6"/>
    </row>
    <row r="27" spans="1:18">
      <c r="A27" s="232" t="s">
        <v>53</v>
      </c>
      <c r="B27" s="33">
        <f>IF(ISERROR(TER_horeca_ele_kWh/1000),0,TER_horeca_ele_kWh/1000)</f>
        <v>2986.6712382781502</v>
      </c>
      <c r="C27" s="39">
        <f>IF(ISERROR(B27*3.6/1000000/'E Balans VL '!Z9*100),0,B27*3.6/1000000/'E Balans VL '!Z9*100)</f>
        <v>0.25287306127655096</v>
      </c>
      <c r="D27" s="238" t="s">
        <v>720</v>
      </c>
      <c r="F27" s="6"/>
    </row>
    <row r="28" spans="1:18">
      <c r="A28" s="172" t="s">
        <v>52</v>
      </c>
      <c r="B28" s="33">
        <f>IF(ISERROR(TER_handel_ele_kWh/1000),0,TER_handel_ele_kWh/1000)</f>
        <v>7945.2325155404797</v>
      </c>
      <c r="C28" s="39">
        <f>IF(ISERROR(B28*3.6/1000000/'E Balans VL '!Z13*100),0,B28*3.6/1000000/'E Balans VL '!Z13*100)</f>
        <v>0.219962663533568</v>
      </c>
      <c r="D28" s="238" t="s">
        <v>720</v>
      </c>
      <c r="F28" s="6"/>
    </row>
    <row r="29" spans="1:18">
      <c r="A29" s="232" t="s">
        <v>51</v>
      </c>
      <c r="B29" s="33">
        <f>IF(ISERROR(TER_gezond_ele_kWh/1000),0,TER_gezond_ele_kWh/1000)</f>
        <v>417.120378605133</v>
      </c>
      <c r="C29" s="39">
        <f>IF(ISERROR(B29*3.6/1000000/'E Balans VL '!Z10*100),0,B29*3.6/1000000/'E Balans VL '!Z10*100)</f>
        <v>5.4221024900122448E-2</v>
      </c>
      <c r="D29" s="238" t="s">
        <v>720</v>
      </c>
      <c r="F29" s="6"/>
    </row>
    <row r="30" spans="1:18">
      <c r="A30" s="232" t="s">
        <v>50</v>
      </c>
      <c r="B30" s="33">
        <f>IF(ISERROR(TER_ander_ele_kWh/1000),0,TER_ander_ele_kWh/1000)</f>
        <v>5716.6518237891996</v>
      </c>
      <c r="C30" s="39">
        <f>IF(ISERROR(B30*3.6/1000000/'E Balans VL '!Z14*100),0,B30*3.6/1000000/'E Balans VL '!Z14*100)</f>
        <v>0.4430929420457399</v>
      </c>
      <c r="D30" s="238" t="s">
        <v>720</v>
      </c>
      <c r="F30" s="6"/>
    </row>
    <row r="31" spans="1:18">
      <c r="A31" s="232" t="s">
        <v>55</v>
      </c>
      <c r="B31" s="33">
        <f>IF(ISERROR(TER_onderwijs_ele_kWh/1000),0,TER_onderwijs_ele_kWh/1000)</f>
        <v>328.799860213719</v>
      </c>
      <c r="C31" s="39">
        <f>IF(ISERROR(B31*3.6/1000000/'E Balans VL '!Z11*100),0,B31*3.6/1000000/'E Balans VL '!Z11*100)</f>
        <v>6.2905015889938798E-2</v>
      </c>
      <c r="D31" s="238" t="s">
        <v>720</v>
      </c>
    </row>
    <row r="32" spans="1:18">
      <c r="A32" s="232" t="s">
        <v>261</v>
      </c>
      <c r="B32" s="33">
        <f>IF(ISERROR(TER_rest_ele_kWh/1000),0,TER_rest_ele_kWh/1000)</f>
        <v>4226.5046753603301</v>
      </c>
      <c r="C32" s="39">
        <f>IF(ISERROR(B32*3.6/1000000/'E Balans VL '!Z8*100),0,B32*3.6/1000000/'E Balans VL '!Z8*100)</f>
        <v>3.4850776647064249E-2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3167.7636556277657</v>
      </c>
      <c r="C5" s="17">
        <f>IF(ISERROR('Eigen informatie GS &amp; warmtenet'!B59),0,'Eigen informatie GS &amp; warmtenet'!B59)</f>
        <v>0</v>
      </c>
      <c r="D5" s="30">
        <f>SUM(D6:D15)</f>
        <v>2910.7949571833415</v>
      </c>
      <c r="E5" s="17">
        <f>SUM(E6:E15)</f>
        <v>37.320033327666536</v>
      </c>
      <c r="F5" s="17">
        <f>SUM(F6:F15)</f>
        <v>1166.9182649296481</v>
      </c>
      <c r="G5" s="18"/>
      <c r="H5" s="17"/>
      <c r="I5" s="17"/>
      <c r="J5" s="17">
        <f>SUM(J6:J15)</f>
        <v>9.7712543426356451</v>
      </c>
      <c r="K5" s="17"/>
      <c r="L5" s="17"/>
      <c r="M5" s="17"/>
      <c r="N5" s="17">
        <f>SUM(N6:N15)</f>
        <v>108.5590242355803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1076.72278112752</v>
      </c>
      <c r="C9" s="33"/>
      <c r="D9" s="37">
        <f>IF( ISERROR(IND_andere_gas_kWh/1000),0,IND_andere_gas_kWh/1000)*0.902</f>
        <v>944.41578566377223</v>
      </c>
      <c r="E9" s="33">
        <f>C31*'E Balans VL '!I19/100/3.6*1000000</f>
        <v>18.084878136557784</v>
      </c>
      <c r="F9" s="33">
        <f>C31*'E Balans VL '!L19/100/3.6*1000000+C31*'E Balans VL '!N19/100/3.6*1000000</f>
        <v>841.72054473491232</v>
      </c>
      <c r="G9" s="34"/>
      <c r="H9" s="33"/>
      <c r="I9" s="33"/>
      <c r="J9" s="40">
        <f>C31*'E Balans VL '!D19/100/3.6*1000000+C31*'E Balans VL '!E19/100/3.6*1000000</f>
        <v>9.7110890211267939E-2</v>
      </c>
      <c r="K9" s="33"/>
      <c r="L9" s="33"/>
      <c r="M9" s="33"/>
      <c r="N9" s="33">
        <f>C31*'E Balans VL '!Y19/100/3.6*1000000</f>
        <v>79.802432577772976</v>
      </c>
      <c r="O9" s="33"/>
      <c r="P9" s="33"/>
      <c r="R9" s="32"/>
    </row>
    <row r="10" spans="1:18">
      <c r="A10" s="6" t="s">
        <v>41</v>
      </c>
      <c r="B10" s="37">
        <f t="shared" si="0"/>
        <v>242.91125501238798</v>
      </c>
      <c r="C10" s="33"/>
      <c r="D10" s="37">
        <f>IF( ISERROR(IND_voed_gas_kWh/1000),0,IND_voed_gas_kWh/1000)*0.902</f>
        <v>162.49545640794102</v>
      </c>
      <c r="E10" s="33">
        <f>C32*'E Balans VL '!I20/100/3.6*1000000</f>
        <v>2.2162213489658611</v>
      </c>
      <c r="F10" s="33">
        <f>C32*'E Balans VL '!L20/100/3.6*1000000+C32*'E Balans VL '!N20/100/3.6*1000000</f>
        <v>39.1891832529151</v>
      </c>
      <c r="G10" s="34"/>
      <c r="H10" s="33"/>
      <c r="I10" s="33"/>
      <c r="J10" s="40">
        <f>C32*'E Balans VL '!D20/100/3.6*1000000+C32*'E Balans VL '!E20/100/3.6*1000000</f>
        <v>1.0004678084688088</v>
      </c>
      <c r="K10" s="33"/>
      <c r="L10" s="33"/>
      <c r="M10" s="33"/>
      <c r="N10" s="33">
        <f>C32*'E Balans VL '!Y20/100/3.6*1000000</f>
        <v>3.5536001199308593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127.65883377650701</v>
      </c>
      <c r="C13" s="33"/>
      <c r="D13" s="37">
        <f>IF( ISERROR(IND_papier_gas_kWh/1000),0,IND_papier_gas_kWh/1000)*0.902</f>
        <v>72.501691691080708</v>
      </c>
      <c r="E13" s="33">
        <f>C35*'E Balans VL '!I23/100/3.6*1000000</f>
        <v>3.9277291554190175</v>
      </c>
      <c r="F13" s="33">
        <f>C35*'E Balans VL '!L23/100/3.6*1000000+C35*'E Balans VL '!N23/100/3.6*1000000</f>
        <v>27.106431823402019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432.30474941498102</v>
      </c>
      <c r="C14" s="33"/>
      <c r="D14" s="37">
        <f>IF( ISERROR(IND_chemie_gas_kWh/1000),0,IND_chemie_gas_kWh/1000)*0.902</f>
        <v>0</v>
      </c>
      <c r="E14" s="33">
        <f>C36*'E Balans VL '!I24/100/3.6*1000000</f>
        <v>1.4658108576302069</v>
      </c>
      <c r="F14" s="33">
        <f>C36*'E Balans VL '!L24/100/3.6*1000000+C36*'E Balans VL '!N24/100/3.6*1000000</f>
        <v>1.387370682299724</v>
      </c>
      <c r="G14" s="34"/>
      <c r="H14" s="33"/>
      <c r="I14" s="33"/>
      <c r="J14" s="40">
        <f>C36*'E Balans VL '!D24/100/3.6*1000000+C36*'E Balans VL '!E24/100/3.6*1000000</f>
        <v>0</v>
      </c>
      <c r="K14" s="33"/>
      <c r="L14" s="33"/>
      <c r="M14" s="33"/>
      <c r="N14" s="33">
        <f>C36*'E Balans VL '!Y24/100/3.6*1000000</f>
        <v>2.0213398515928263</v>
      </c>
      <c r="O14" s="33"/>
      <c r="P14" s="33"/>
      <c r="R14" s="32"/>
    </row>
    <row r="15" spans="1:18">
      <c r="A15" s="6" t="s">
        <v>271</v>
      </c>
      <c r="B15" s="37">
        <f t="shared" si="0"/>
        <v>1288.1660362963701</v>
      </c>
      <c r="C15" s="33"/>
      <c r="D15" s="37">
        <f>IF( ISERROR(IND_rest_gas_kWh/1000),0,IND_rest_gas_kWh/1000)*0.902</f>
        <v>1731.3820234205477</v>
      </c>
      <c r="E15" s="33">
        <f>C37*'E Balans VL '!I15/100/3.6*1000000</f>
        <v>11.625393829093671</v>
      </c>
      <c r="F15" s="33">
        <f>C37*'E Balans VL '!L15/100/3.6*1000000+C37*'E Balans VL '!N15/100/3.6*1000000</f>
        <v>257.51473443611889</v>
      </c>
      <c r="G15" s="34"/>
      <c r="H15" s="33"/>
      <c r="I15" s="33"/>
      <c r="J15" s="40">
        <f>C37*'E Balans VL '!D15/100/3.6*1000000+C37*'E Balans VL '!E15/100/3.6*1000000</f>
        <v>8.6736756439555691</v>
      </c>
      <c r="K15" s="33"/>
      <c r="L15" s="33"/>
      <c r="M15" s="33"/>
      <c r="N15" s="33">
        <f>C37*'E Balans VL '!Y15/100/3.6*1000000</f>
        <v>23.181651686283622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3167.7636556277657</v>
      </c>
      <c r="C18" s="21">
        <f>C5+C16</f>
        <v>0</v>
      </c>
      <c r="D18" s="21">
        <f>MAX((D5+D16),0)</f>
        <v>2910.7949571833415</v>
      </c>
      <c r="E18" s="21">
        <f>MAX((E5+E16),0)</f>
        <v>37.320033327666536</v>
      </c>
      <c r="F18" s="21">
        <f>MAX((F5+F16),0)</f>
        <v>1166.9182649296481</v>
      </c>
      <c r="G18" s="21"/>
      <c r="H18" s="21"/>
      <c r="I18" s="21"/>
      <c r="J18" s="21">
        <f>MAX((J5+J16),0)</f>
        <v>9.7712543426356451</v>
      </c>
      <c r="K18" s="21"/>
      <c r="L18" s="21">
        <f>MAX((L5+L16),0)</f>
        <v>0</v>
      </c>
      <c r="M18" s="21"/>
      <c r="N18" s="21">
        <f>MAX((N5+N16),0)</f>
        <v>108.5590242355803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0.21716837022964205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687.93807036537498</v>
      </c>
      <c r="C22" s="23">
        <f ca="1">C18*C20</f>
        <v>0</v>
      </c>
      <c r="D22" s="23">
        <f>D18*D20</f>
        <v>587.98058135103497</v>
      </c>
      <c r="E22" s="23">
        <f>E18*E20</f>
        <v>8.4716475653803034</v>
      </c>
      <c r="F22" s="23">
        <f>F18*F20</f>
        <v>311.56717673621608</v>
      </c>
      <c r="G22" s="23"/>
      <c r="H22" s="23"/>
      <c r="I22" s="23"/>
      <c r="J22" s="23">
        <f>J18*J20</f>
        <v>3.4590240372930183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1076.72278112752</v>
      </c>
      <c r="C31" s="39">
        <f>IF(ISERROR(B31*3.6/1000000/'E Balans VL '!Z19*100),0,B31*3.6/1000000/'E Balans VL '!Z19*100)</f>
        <v>4.7726853892227243E-2</v>
      </c>
      <c r="D31" s="238" t="s">
        <v>720</v>
      </c>
    </row>
    <row r="32" spans="1:18">
      <c r="A32" s="172" t="s">
        <v>41</v>
      </c>
      <c r="B32" s="37">
        <f>IF( ISERROR(IND_voed_ele_kWh/1000),0,IND_voed_ele_kWh/1000)</f>
        <v>242.91125501238798</v>
      </c>
      <c r="C32" s="39">
        <f>IF(ISERROR(B32*3.6/1000000/'E Balans VL '!Z20*100),0,B32*3.6/1000000/'E Balans VL '!Z20*100)</f>
        <v>8.1139327396179718E-3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127.65883377650701</v>
      </c>
      <c r="C35" s="39">
        <f>IF(ISERROR(B35*3.6/1000000/'E Balans VL '!Z22*100),0,B35*3.6/1000000/'E Balans VL '!Z22*100)</f>
        <v>2.4828240916950437E-2</v>
      </c>
      <c r="D35" s="238" t="s">
        <v>720</v>
      </c>
    </row>
    <row r="36" spans="1:5">
      <c r="A36" s="172" t="s">
        <v>34</v>
      </c>
      <c r="B36" s="37">
        <f>IF( ISERROR(IND_chemie_ele_kWh/1000),0,IND_chemie_ele_kWh/1000)</f>
        <v>432.30474941498102</v>
      </c>
      <c r="C36" s="39">
        <f>IF(ISERROR(B36*3.6/1000000/'E Balans VL '!Z24*100),0,B36*3.6/1000000/'E Balans VL '!Z24*100)</f>
        <v>1.0151679885181611E-2</v>
      </c>
      <c r="D36" s="238" t="s">
        <v>720</v>
      </c>
    </row>
    <row r="37" spans="1:5">
      <c r="A37" s="172" t="s">
        <v>271</v>
      </c>
      <c r="B37" s="37">
        <f>IF( ISERROR(IND_rest_ele_kWh/1000),0,IND_rest_ele_kWh/1000)</f>
        <v>1288.1660362963701</v>
      </c>
      <c r="C37" s="39">
        <f>IF(ISERROR(B37*3.6/1000000/'E Balans VL '!Z15*100),0,B37*3.6/1000000/'E Balans VL '!Z15*100)</f>
        <v>9.5818567080590382E-3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813.07166702298196</v>
      </c>
      <c r="C5" s="17">
        <f>'Eigen informatie GS &amp; warmtenet'!B60</f>
        <v>0</v>
      </c>
      <c r="D5" s="30">
        <f>IF(ISERROR(SUM(LB_lb_gas_kWh,LB_rest_gas_kWh,onbekend_gas_kWh)/1000),0,SUM(LB_lb_gas_kWh,LB_rest_gas_kWh,onbekend_gas_kWh)/1000)*0.902</f>
        <v>7543.19725555486</v>
      </c>
      <c r="E5" s="17">
        <f>B17*'E Balans VL '!I25/3.6*1000000/100</f>
        <v>8.5146625199024086</v>
      </c>
      <c r="F5" s="17">
        <f>B17*('E Balans VL '!L25/3.6*1000000+'E Balans VL '!N25/3.6*1000000)/100</f>
        <v>4176.0655425706445</v>
      </c>
      <c r="G5" s="18"/>
      <c r="H5" s="17"/>
      <c r="I5" s="17"/>
      <c r="J5" s="17">
        <f>('E Balans VL '!D25+'E Balans VL '!E25)/3.6*1000000*landbouw!B17/100</f>
        <v>72.61458755082927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813.07166702298196</v>
      </c>
      <c r="C8" s="21">
        <f>C5+C6</f>
        <v>0</v>
      </c>
      <c r="D8" s="21">
        <f>MAX((D5+D6),0)</f>
        <v>7543.19725555486</v>
      </c>
      <c r="E8" s="21">
        <f>MAX((E5+E6),0)</f>
        <v>8.5146625199024086</v>
      </c>
      <c r="F8" s="21">
        <f>MAX((F5+F6),0)</f>
        <v>4176.0655425706445</v>
      </c>
      <c r="G8" s="21"/>
      <c r="H8" s="21"/>
      <c r="I8" s="21"/>
      <c r="J8" s="21">
        <f>MAX((J5+J6),0)</f>
        <v>72.61458755082927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0.21716837022964205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176.57344880727919</v>
      </c>
      <c r="C12" s="23">
        <f ca="1">C8*C10</f>
        <v>0</v>
      </c>
      <c r="D12" s="23">
        <f>D8*D10</f>
        <v>1523.7258456220818</v>
      </c>
      <c r="E12" s="23">
        <f>E8*E10</f>
        <v>1.9328283920178468</v>
      </c>
      <c r="F12" s="23">
        <f>F8*F10</f>
        <v>1115.0094998663621</v>
      </c>
      <c r="G12" s="23"/>
      <c r="H12" s="23"/>
      <c r="I12" s="23"/>
      <c r="J12" s="23">
        <f>J8*J10</f>
        <v>25.705563992993561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0.12514742473845589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52.161059804670835</v>
      </c>
      <c r="C26" s="248">
        <f>B26*'GWP N2O_CH4'!B5</f>
        <v>1095.3822558980876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7.8469900503449646</v>
      </c>
      <c r="C27" s="248">
        <f>B27*'GWP N2O_CH4'!B5</f>
        <v>164.78679105724424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0.69996440825841055</v>
      </c>
      <c r="C28" s="248">
        <f>B28*'GWP N2O_CH4'!B4</f>
        <v>216.98896656010726</v>
      </c>
      <c r="D28" s="50"/>
    </row>
    <row r="29" spans="1:4">
      <c r="A29" s="41" t="s">
        <v>278</v>
      </c>
      <c r="B29" s="248">
        <f>B34*'ha_N2O bodem landbouw'!B4</f>
        <v>13.495593548713252</v>
      </c>
      <c r="C29" s="248">
        <f>B29*'GWP N2O_CH4'!B4</f>
        <v>4183.6340001011085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2.2303240809577905E-3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1.0121845806965194E-5</v>
      </c>
      <c r="C5" s="446" t="s">
        <v>212</v>
      </c>
      <c r="D5" s="431">
        <f>SUM(D6:D11)</f>
        <v>4.9397398739616203E-5</v>
      </c>
      <c r="E5" s="431">
        <f>SUM(E6:E11)</f>
        <v>5.7692558150902965E-3</v>
      </c>
      <c r="F5" s="444" t="s">
        <v>212</v>
      </c>
      <c r="G5" s="431">
        <f>SUM(G6:G11)</f>
        <v>0.85546579270569301</v>
      </c>
      <c r="H5" s="431">
        <f>SUM(H6:H11)</f>
        <v>0.17000774815342387</v>
      </c>
      <c r="I5" s="446" t="s">
        <v>212</v>
      </c>
      <c r="J5" s="446" t="s">
        <v>212</v>
      </c>
      <c r="K5" s="446" t="s">
        <v>212</v>
      </c>
      <c r="L5" s="446" t="s">
        <v>212</v>
      </c>
      <c r="M5" s="431">
        <f>SUM(M6:M11)</f>
        <v>4.480640602420561E-2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2.5042357510545886E-6</v>
      </c>
      <c r="C6" s="432"/>
      <c r="D6" s="432">
        <f>vkm_2011_GW_PW*SUMIFS(TableVerdeelsleutelVkm[CNG],TableVerdeelsleutelVkm[Voertuigtype],"Lichte voertuigen")*SUMIFS(TableECFTransport[EnergieConsumptieFactor (PJ per km)],TableECFTransport[Index],CONCATENATE($A6,"_CNG_CNG"))</f>
        <v>1.0795469230754023E-5</v>
      </c>
      <c r="E6" s="434">
        <f>vkm_2011_GW_PW*SUMIFS(TableVerdeelsleutelVkm[LPG],TableVerdeelsleutelVkm[Voertuigtype],"Lichte voertuigen")*SUMIFS(TableECFTransport[EnergieConsumptieFactor (PJ per km)],TableECFTransport[Index],CONCATENATE($A6,"_LPG_LPG"))</f>
        <v>1.1232023338510011E-3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0.13815697056732557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3.637386732070267E-2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7.6487780491556493E-3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2.775636724163992E-2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9.517273689211843E-6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1.1990230584251014E-3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1.4013103587963731E-6</v>
      </c>
      <c r="C8" s="432"/>
      <c r="D8" s="434">
        <f>vkm_2011_NGW_PW*SUMIFS(TableVerdeelsleutelVkm[CNG],TableVerdeelsleutelVkm[Voertuigtype],"Lichte voertuigen")*SUMIFS(TableECFTransport[EnergieConsumptieFactor (PJ per km)],TableECFTransport[Index],CONCATENATE($A8,"_CNG_CNG"))</f>
        <v>1.0837496744986949E-5</v>
      </c>
      <c r="E8" s="434">
        <f>vkm_2011_NGW_PW*SUMIFS(TableVerdeelsleutelVkm[LPG],TableVerdeelsleutelVkm[Voertuigtype],"Lichte voertuigen")*SUMIFS(TableECFTransport[EnergieConsumptieFactor (PJ per km)],TableECFTransport[Index],CONCATENATE($A8,"_LPG_LPG"))</f>
        <v>1.0295596421811774E-3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0.12011388779371743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3.4856509808221157E-2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6.7994359276297902E-3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1.1447090128549199E-2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3.4097874218866931E-6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4.9446900671982954E-4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6.2162996971142319E-6</v>
      </c>
      <c r="C10" s="432"/>
      <c r="D10" s="434">
        <f>vkm_2011_SW_PW*SUMIFS(TableVerdeelsleutelVkm[CNG],TableVerdeelsleutelVkm[Voertuigtype],"Lichte voertuigen")*SUMIFS(TableECFTransport[EnergieConsumptieFactor (PJ per km)],TableECFTransport[Index],CONCATENATE($A10,"_CNG_CNG"))</f>
        <v>2.7764432763875232E-5</v>
      </c>
      <c r="E10" s="434">
        <f>vkm_2011_SW_PW*SUMIFS(TableVerdeelsleutelVkm[LPG],TableVerdeelsleutelVkm[Voertuigtype],"Lichte voertuigen")*SUMIFS(TableECFTransport[EnergieConsumptieFactor (PJ per km)],TableECFTransport[Index],CONCATENATE($A10,"_LPG_LPG"))</f>
        <v>3.6164938390581187E-3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0.40895818800076122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9.8709920792381958E-2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2.2226582831640768E-2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0.14903328897369955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5.4523171006984384E-5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6.4381171506344686E-3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2.8116238352681093</v>
      </c>
      <c r="C14" s="21"/>
      <c r="D14" s="21">
        <f t="shared" ref="D14:M14" si="0">((D5)*10^9/3600)+D12</f>
        <v>13.72149964989339</v>
      </c>
      <c r="E14" s="21">
        <f t="shared" si="0"/>
        <v>1602.5710597473046</v>
      </c>
      <c r="F14" s="21"/>
      <c r="G14" s="21">
        <f t="shared" si="0"/>
        <v>237629.38686269251</v>
      </c>
      <c r="H14" s="21">
        <f t="shared" si="0"/>
        <v>47224.374487062189</v>
      </c>
      <c r="I14" s="21"/>
      <c r="J14" s="21"/>
      <c r="K14" s="21"/>
      <c r="L14" s="21"/>
      <c r="M14" s="21">
        <f t="shared" si="0"/>
        <v>12446.223895612669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0.21716837022964205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0.6105957660039909</v>
      </c>
      <c r="C18" s="23"/>
      <c r="D18" s="23">
        <f t="shared" ref="D18:M18" si="1">D14*D16</f>
        <v>2.771742929278465</v>
      </c>
      <c r="E18" s="23">
        <f t="shared" si="1"/>
        <v>363.78363056263817</v>
      </c>
      <c r="F18" s="23"/>
      <c r="G18" s="23">
        <f t="shared" si="1"/>
        <v>63447.046292338906</v>
      </c>
      <c r="H18" s="23">
        <f t="shared" si="1"/>
        <v>11758.869247278484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1.6304596169756935E-2</v>
      </c>
      <c r="H50" s="322">
        <f t="shared" si="2"/>
        <v>0</v>
      </c>
      <c r="I50" s="322">
        <f t="shared" si="2"/>
        <v>0</v>
      </c>
      <c r="J50" s="322">
        <f t="shared" si="2"/>
        <v>0</v>
      </c>
      <c r="K50" s="322">
        <f t="shared" si="2"/>
        <v>0</v>
      </c>
      <c r="L50" s="322">
        <f t="shared" si="2"/>
        <v>0</v>
      </c>
      <c r="M50" s="322">
        <f t="shared" si="2"/>
        <v>6.9499409978074757E-4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1.6304596169756935E-2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6.9499409978074757E-4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4529.0544915991486</v>
      </c>
      <c r="H54" s="21">
        <f t="shared" si="3"/>
        <v>0</v>
      </c>
      <c r="I54" s="21">
        <f t="shared" si="3"/>
        <v>0</v>
      </c>
      <c r="J54" s="21">
        <f t="shared" si="3"/>
        <v>0</v>
      </c>
      <c r="K54" s="21">
        <f t="shared" si="3"/>
        <v>0</v>
      </c>
      <c r="L54" s="21">
        <f t="shared" si="3"/>
        <v>0</v>
      </c>
      <c r="M54" s="21">
        <f t="shared" si="3"/>
        <v>193.05391660576322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0.21716837022964205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1209.2575492569727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9</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1409.2162198753133</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1418.2162198753133</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30666.44671732917</v>
      </c>
      <c r="D10" s="702">
        <f ca="1">tertiair!C16</f>
        <v>0</v>
      </c>
      <c r="E10" s="702">
        <f ca="1">tertiair!D16</f>
        <v>33973.93904674166</v>
      </c>
      <c r="F10" s="702">
        <f>tertiair!E16</f>
        <v>580.50929785248672</v>
      </c>
      <c r="G10" s="702">
        <f ca="1">tertiair!F16</f>
        <v>5498.1087219072369</v>
      </c>
      <c r="H10" s="702">
        <f>tertiair!G16</f>
        <v>0</v>
      </c>
      <c r="I10" s="702">
        <f>tertiair!H16</f>
        <v>0</v>
      </c>
      <c r="J10" s="702">
        <f>tertiair!I16</f>
        <v>0</v>
      </c>
      <c r="K10" s="702">
        <f>tertiair!J16</f>
        <v>0</v>
      </c>
      <c r="L10" s="702">
        <f>tertiair!K16</f>
        <v>0</v>
      </c>
      <c r="M10" s="702">
        <f ca="1">tertiair!L16</f>
        <v>0</v>
      </c>
      <c r="N10" s="702">
        <f>tertiair!M16</f>
        <v>0</v>
      </c>
      <c r="O10" s="702">
        <f ca="1">tertiair!N16</f>
        <v>1499.9008228362306</v>
      </c>
      <c r="P10" s="702">
        <f>tertiair!O16</f>
        <v>0</v>
      </c>
      <c r="Q10" s="703">
        <f>tertiair!P16</f>
        <v>0</v>
      </c>
      <c r="R10" s="705">
        <f ca="1">SUM(C10:Q10)</f>
        <v>72218.904606666794</v>
      </c>
      <c r="S10" s="67"/>
    </row>
    <row r="11" spans="1:19" s="457" customFormat="1">
      <c r="A11" s="858" t="s">
        <v>226</v>
      </c>
      <c r="B11" s="863"/>
      <c r="C11" s="702">
        <f>huishoudens!B8</f>
        <v>47149.506865742354</v>
      </c>
      <c r="D11" s="702">
        <f>huishoudens!C8</f>
        <v>0</v>
      </c>
      <c r="E11" s="702">
        <f>huishoudens!D8</f>
        <v>123590.07083702779</v>
      </c>
      <c r="F11" s="702">
        <f>huishoudens!E8</f>
        <v>4351.3207937946345</v>
      </c>
      <c r="G11" s="702">
        <f>huishoudens!F8</f>
        <v>51763.060514229444</v>
      </c>
      <c r="H11" s="702">
        <f>huishoudens!G8</f>
        <v>0</v>
      </c>
      <c r="I11" s="702">
        <f>huishoudens!H8</f>
        <v>0</v>
      </c>
      <c r="J11" s="702">
        <f>huishoudens!I8</f>
        <v>0</v>
      </c>
      <c r="K11" s="702">
        <f>huishoudens!J8</f>
        <v>0</v>
      </c>
      <c r="L11" s="702">
        <f>huishoudens!K8</f>
        <v>0</v>
      </c>
      <c r="M11" s="702">
        <f>huishoudens!L8</f>
        <v>0</v>
      </c>
      <c r="N11" s="702">
        <f>huishoudens!M8</f>
        <v>0</v>
      </c>
      <c r="O11" s="702">
        <f>huishoudens!N8</f>
        <v>7485.8644654289019</v>
      </c>
      <c r="P11" s="702">
        <f>huishoudens!O8</f>
        <v>145.39000000000001</v>
      </c>
      <c r="Q11" s="703">
        <f>huishoudens!P8</f>
        <v>247.86666666666667</v>
      </c>
      <c r="R11" s="705">
        <f>SUM(C11:Q11)</f>
        <v>234733.08014288978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3167.7636556277657</v>
      </c>
      <c r="D13" s="702">
        <f>industrie!C18</f>
        <v>0</v>
      </c>
      <c r="E13" s="702">
        <f>industrie!D18</f>
        <v>2910.7949571833415</v>
      </c>
      <c r="F13" s="702">
        <f>industrie!E18</f>
        <v>37.320033327666536</v>
      </c>
      <c r="G13" s="702">
        <f>industrie!F18</f>
        <v>1166.9182649296481</v>
      </c>
      <c r="H13" s="702">
        <f>industrie!G18</f>
        <v>0</v>
      </c>
      <c r="I13" s="702">
        <f>industrie!H18</f>
        <v>0</v>
      </c>
      <c r="J13" s="702">
        <f>industrie!I18</f>
        <v>0</v>
      </c>
      <c r="K13" s="702">
        <f>industrie!J18</f>
        <v>9.7712543426356451</v>
      </c>
      <c r="L13" s="702">
        <f>industrie!K18</f>
        <v>0</v>
      </c>
      <c r="M13" s="702">
        <f>industrie!L18</f>
        <v>0</v>
      </c>
      <c r="N13" s="702">
        <f>industrie!M18</f>
        <v>0</v>
      </c>
      <c r="O13" s="702">
        <f>industrie!N18</f>
        <v>108.5590242355803</v>
      </c>
      <c r="P13" s="702">
        <f>industrie!O18</f>
        <v>0</v>
      </c>
      <c r="Q13" s="703">
        <f>industrie!P18</f>
        <v>0</v>
      </c>
      <c r="R13" s="705">
        <f>SUM(C13:Q13)</f>
        <v>7401.1271896466378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80983.717238699304</v>
      </c>
      <c r="D15" s="707">
        <f t="shared" ref="D15:Q15" ca="1" si="0">SUM(D9:D14)</f>
        <v>0</v>
      </c>
      <c r="E15" s="707">
        <f t="shared" ca="1" si="0"/>
        <v>160474.80484095277</v>
      </c>
      <c r="F15" s="707">
        <f t="shared" si="0"/>
        <v>4969.150124974788</v>
      </c>
      <c r="G15" s="707">
        <f t="shared" ca="1" si="0"/>
        <v>58428.087501066329</v>
      </c>
      <c r="H15" s="707">
        <f t="shared" si="0"/>
        <v>0</v>
      </c>
      <c r="I15" s="707">
        <f t="shared" si="0"/>
        <v>0</v>
      </c>
      <c r="J15" s="707">
        <f t="shared" si="0"/>
        <v>0</v>
      </c>
      <c r="K15" s="707">
        <f t="shared" si="0"/>
        <v>9.7712543426356451</v>
      </c>
      <c r="L15" s="707">
        <f t="shared" si="0"/>
        <v>0</v>
      </c>
      <c r="M15" s="707">
        <f t="shared" ca="1" si="0"/>
        <v>0</v>
      </c>
      <c r="N15" s="707">
        <f t="shared" si="0"/>
        <v>0</v>
      </c>
      <c r="O15" s="707">
        <f t="shared" ca="1" si="0"/>
        <v>9094.3243125007139</v>
      </c>
      <c r="P15" s="707">
        <f t="shared" si="0"/>
        <v>145.39000000000001</v>
      </c>
      <c r="Q15" s="708">
        <f t="shared" si="0"/>
        <v>247.86666666666667</v>
      </c>
      <c r="R15" s="709">
        <f ca="1">SUM(R9:R14)</f>
        <v>314353.11193920323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4529.0544915991486</v>
      </c>
      <c r="I18" s="702">
        <f>transport!H54</f>
        <v>0</v>
      </c>
      <c r="J18" s="702">
        <f>transport!I54</f>
        <v>0</v>
      </c>
      <c r="K18" s="702">
        <f>transport!J54</f>
        <v>0</v>
      </c>
      <c r="L18" s="702">
        <f>transport!K54</f>
        <v>0</v>
      </c>
      <c r="M18" s="702">
        <f>transport!L54</f>
        <v>0</v>
      </c>
      <c r="N18" s="702">
        <f>transport!M54</f>
        <v>193.05391660576322</v>
      </c>
      <c r="O18" s="702">
        <f>transport!N54</f>
        <v>0</v>
      </c>
      <c r="P18" s="702">
        <f>transport!O54</f>
        <v>0</v>
      </c>
      <c r="Q18" s="703">
        <f>transport!P54</f>
        <v>0</v>
      </c>
      <c r="R18" s="705">
        <f>SUM(C18:Q18)</f>
        <v>4722.1084082049119</v>
      </c>
      <c r="S18" s="67"/>
    </row>
    <row r="19" spans="1:19" s="457" customFormat="1" ht="15" thickBot="1">
      <c r="A19" s="858" t="s">
        <v>308</v>
      </c>
      <c r="B19" s="863"/>
      <c r="C19" s="711">
        <f>transport!B14</f>
        <v>2.8116238352681093</v>
      </c>
      <c r="D19" s="711">
        <f>transport!C14</f>
        <v>0</v>
      </c>
      <c r="E19" s="711">
        <f>transport!D14</f>
        <v>13.72149964989339</v>
      </c>
      <c r="F19" s="711">
        <f>transport!E14</f>
        <v>1602.5710597473046</v>
      </c>
      <c r="G19" s="711">
        <f>transport!F14</f>
        <v>0</v>
      </c>
      <c r="H19" s="711">
        <f>transport!G14</f>
        <v>237629.38686269251</v>
      </c>
      <c r="I19" s="711">
        <f>transport!H14</f>
        <v>47224.374487062189</v>
      </c>
      <c r="J19" s="711">
        <f>transport!I14</f>
        <v>0</v>
      </c>
      <c r="K19" s="711">
        <f>transport!J14</f>
        <v>0</v>
      </c>
      <c r="L19" s="711">
        <f>transport!K14</f>
        <v>0</v>
      </c>
      <c r="M19" s="711">
        <f>transport!L14</f>
        <v>0</v>
      </c>
      <c r="N19" s="711">
        <f>transport!M14</f>
        <v>12446.223895612669</v>
      </c>
      <c r="O19" s="711">
        <f>transport!N14</f>
        <v>0</v>
      </c>
      <c r="P19" s="711">
        <f>transport!O14</f>
        <v>0</v>
      </c>
      <c r="Q19" s="712">
        <f>transport!P14</f>
        <v>0</v>
      </c>
      <c r="R19" s="713">
        <f>SUM(C19:Q19)</f>
        <v>298919.08942859987</v>
      </c>
      <c r="S19" s="67"/>
    </row>
    <row r="20" spans="1:19" s="457" customFormat="1" ht="15.75" thickBot="1">
      <c r="A20" s="714" t="s">
        <v>231</v>
      </c>
      <c r="B20" s="866"/>
      <c r="C20" s="861">
        <f>SUM(C17:C19)</f>
        <v>2.8116238352681093</v>
      </c>
      <c r="D20" s="715">
        <f t="shared" ref="D20:R20" si="1">SUM(D17:D19)</f>
        <v>0</v>
      </c>
      <c r="E20" s="715">
        <f t="shared" si="1"/>
        <v>13.72149964989339</v>
      </c>
      <c r="F20" s="715">
        <f t="shared" si="1"/>
        <v>1602.5710597473046</v>
      </c>
      <c r="G20" s="715">
        <f t="shared" si="1"/>
        <v>0</v>
      </c>
      <c r="H20" s="715">
        <f t="shared" si="1"/>
        <v>242158.44135429166</v>
      </c>
      <c r="I20" s="715">
        <f t="shared" si="1"/>
        <v>47224.374487062189</v>
      </c>
      <c r="J20" s="715">
        <f t="shared" si="1"/>
        <v>0</v>
      </c>
      <c r="K20" s="715">
        <f t="shared" si="1"/>
        <v>0</v>
      </c>
      <c r="L20" s="715">
        <f t="shared" si="1"/>
        <v>0</v>
      </c>
      <c r="M20" s="715">
        <f t="shared" si="1"/>
        <v>0</v>
      </c>
      <c r="N20" s="715">
        <f t="shared" si="1"/>
        <v>12639.277812218432</v>
      </c>
      <c r="O20" s="715">
        <f t="shared" si="1"/>
        <v>0</v>
      </c>
      <c r="P20" s="715">
        <f t="shared" si="1"/>
        <v>0</v>
      </c>
      <c r="Q20" s="716">
        <f t="shared" si="1"/>
        <v>0</v>
      </c>
      <c r="R20" s="717">
        <f t="shared" si="1"/>
        <v>303641.19783680479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813.07166702298196</v>
      </c>
      <c r="D22" s="711">
        <f>+landbouw!C8</f>
        <v>0</v>
      </c>
      <c r="E22" s="711">
        <f>+landbouw!D8</f>
        <v>7543.19725555486</v>
      </c>
      <c r="F22" s="711">
        <f>+landbouw!E8</f>
        <v>8.5146625199024086</v>
      </c>
      <c r="G22" s="711">
        <f>+landbouw!F8</f>
        <v>4176.0655425706445</v>
      </c>
      <c r="H22" s="711">
        <f>+landbouw!G8</f>
        <v>0</v>
      </c>
      <c r="I22" s="711">
        <f>+landbouw!H8</f>
        <v>0</v>
      </c>
      <c r="J22" s="711">
        <f>+landbouw!I8</f>
        <v>0</v>
      </c>
      <c r="K22" s="711">
        <f>+landbouw!J8</f>
        <v>72.61458755082927</v>
      </c>
      <c r="L22" s="711">
        <f>+landbouw!K8</f>
        <v>0</v>
      </c>
      <c r="M22" s="711">
        <f>+landbouw!L8</f>
        <v>0</v>
      </c>
      <c r="N22" s="711">
        <f>+landbouw!M8</f>
        <v>0</v>
      </c>
      <c r="O22" s="711">
        <f>+landbouw!N8</f>
        <v>0</v>
      </c>
      <c r="P22" s="711">
        <f>+landbouw!O8</f>
        <v>0</v>
      </c>
      <c r="Q22" s="712">
        <f>+landbouw!P8</f>
        <v>0</v>
      </c>
      <c r="R22" s="713">
        <f>SUM(C22:Q22)</f>
        <v>12613.463715219219</v>
      </c>
      <c r="S22" s="67"/>
    </row>
    <row r="23" spans="1:19" s="457" customFormat="1" ht="17.25" thickTop="1" thickBot="1">
      <c r="A23" s="718" t="s">
        <v>116</v>
      </c>
      <c r="B23" s="852"/>
      <c r="C23" s="719">
        <f ca="1">C20+C15+C22</f>
        <v>81799.60052955756</v>
      </c>
      <c r="D23" s="719">
        <f t="shared" ref="D23:Q23" ca="1" si="2">D20+D15+D22</f>
        <v>0</v>
      </c>
      <c r="E23" s="719">
        <f t="shared" ca="1" si="2"/>
        <v>168031.72359615754</v>
      </c>
      <c r="F23" s="719">
        <f t="shared" si="2"/>
        <v>6580.2358472419946</v>
      </c>
      <c r="G23" s="719">
        <f t="shared" ca="1" si="2"/>
        <v>62604.153043636972</v>
      </c>
      <c r="H23" s="719">
        <f t="shared" si="2"/>
        <v>242158.44135429166</v>
      </c>
      <c r="I23" s="719">
        <f t="shared" si="2"/>
        <v>47224.374487062189</v>
      </c>
      <c r="J23" s="719">
        <f t="shared" si="2"/>
        <v>0</v>
      </c>
      <c r="K23" s="719">
        <f t="shared" si="2"/>
        <v>82.385841893464914</v>
      </c>
      <c r="L23" s="719">
        <f t="shared" si="2"/>
        <v>0</v>
      </c>
      <c r="M23" s="719">
        <f t="shared" ca="1" si="2"/>
        <v>0</v>
      </c>
      <c r="N23" s="719">
        <f t="shared" si="2"/>
        <v>12639.277812218432</v>
      </c>
      <c r="O23" s="719">
        <f t="shared" ca="1" si="2"/>
        <v>9094.3243125007139</v>
      </c>
      <c r="P23" s="719">
        <f t="shared" si="2"/>
        <v>145.39000000000001</v>
      </c>
      <c r="Q23" s="720">
        <f t="shared" si="2"/>
        <v>247.86666666666667</v>
      </c>
      <c r="R23" s="721">
        <f ca="1">R20+R15+R22</f>
        <v>630607.77349122718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6659.7822543365328</v>
      </c>
      <c r="D36" s="702">
        <f ca="1">tertiair!C20</f>
        <v>0</v>
      </c>
      <c r="E36" s="702">
        <f ca="1">tertiair!D20</f>
        <v>6862.7356874418156</v>
      </c>
      <c r="F36" s="702">
        <f>tertiair!E20</f>
        <v>131.7756106125145</v>
      </c>
      <c r="G36" s="702">
        <f ca="1">tertiair!F20</f>
        <v>1467.9950287492322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15122.288581140094</v>
      </c>
    </row>
    <row r="37" spans="1:18">
      <c r="A37" s="873" t="s">
        <v>226</v>
      </c>
      <c r="B37" s="880"/>
      <c r="C37" s="702">
        <f ca="1">huishoudens!B12</f>
        <v>10239.381563164585</v>
      </c>
      <c r="D37" s="702">
        <f ca="1">huishoudens!C12</f>
        <v>0</v>
      </c>
      <c r="E37" s="702">
        <f>huishoudens!D12</f>
        <v>24965.194309079616</v>
      </c>
      <c r="F37" s="702">
        <f>huishoudens!E12</f>
        <v>987.74982019138201</v>
      </c>
      <c r="G37" s="702">
        <f>huishoudens!F12</f>
        <v>13820.737157299262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50013.062849734844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687.93807036537498</v>
      </c>
      <c r="D39" s="702">
        <f ca="1">industrie!C22</f>
        <v>0</v>
      </c>
      <c r="E39" s="702">
        <f>industrie!D22</f>
        <v>587.98058135103497</v>
      </c>
      <c r="F39" s="702">
        <f>industrie!E22</f>
        <v>8.4716475653803034</v>
      </c>
      <c r="G39" s="702">
        <f>industrie!F22</f>
        <v>311.56717673621608</v>
      </c>
      <c r="H39" s="702">
        <f>industrie!G22</f>
        <v>0</v>
      </c>
      <c r="I39" s="702">
        <f>industrie!H22</f>
        <v>0</v>
      </c>
      <c r="J39" s="702">
        <f>industrie!I22</f>
        <v>0</v>
      </c>
      <c r="K39" s="702">
        <f>industrie!J22</f>
        <v>3.4590240372930183</v>
      </c>
      <c r="L39" s="702">
        <f>industrie!K22</f>
        <v>0</v>
      </c>
      <c r="M39" s="702">
        <f>industrie!L22</f>
        <v>0</v>
      </c>
      <c r="N39" s="702">
        <f>industrie!M22</f>
        <v>0</v>
      </c>
      <c r="O39" s="702">
        <f>industrie!N22</f>
        <v>0</v>
      </c>
      <c r="P39" s="702">
        <f>industrie!O22</f>
        <v>0</v>
      </c>
      <c r="Q39" s="812">
        <f>industrie!P22</f>
        <v>0</v>
      </c>
      <c r="R39" s="906">
        <f ca="1">SUM(C39:Q39)</f>
        <v>1599.4165000552991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17587.101887866491</v>
      </c>
      <c r="D41" s="747">
        <f t="shared" ref="D41:R41" ca="1" si="4">SUM(D35:D40)</f>
        <v>0</v>
      </c>
      <c r="E41" s="747">
        <f t="shared" ca="1" si="4"/>
        <v>32415.910577872466</v>
      </c>
      <c r="F41" s="747">
        <f t="shared" si="4"/>
        <v>1127.997078369277</v>
      </c>
      <c r="G41" s="747">
        <f t="shared" ca="1" si="4"/>
        <v>15600.29936278471</v>
      </c>
      <c r="H41" s="747">
        <f t="shared" si="4"/>
        <v>0</v>
      </c>
      <c r="I41" s="747">
        <f t="shared" si="4"/>
        <v>0</v>
      </c>
      <c r="J41" s="747">
        <f t="shared" si="4"/>
        <v>0</v>
      </c>
      <c r="K41" s="747">
        <f t="shared" si="4"/>
        <v>3.4590240372930183</v>
      </c>
      <c r="L41" s="747">
        <f t="shared" si="4"/>
        <v>0</v>
      </c>
      <c r="M41" s="747">
        <f t="shared" ca="1" si="4"/>
        <v>0</v>
      </c>
      <c r="N41" s="747">
        <f t="shared" si="4"/>
        <v>0</v>
      </c>
      <c r="O41" s="747">
        <f t="shared" ca="1" si="4"/>
        <v>0</v>
      </c>
      <c r="P41" s="747">
        <f t="shared" si="4"/>
        <v>0</v>
      </c>
      <c r="Q41" s="748">
        <f t="shared" si="4"/>
        <v>0</v>
      </c>
      <c r="R41" s="749">
        <f t="shared" ca="1" si="4"/>
        <v>66734.767930930233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1209.2575492569727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1209.2575492569727</v>
      </c>
    </row>
    <row r="45" spans="1:18" ht="15" thickBot="1">
      <c r="A45" s="876" t="s">
        <v>308</v>
      </c>
      <c r="B45" s="886"/>
      <c r="C45" s="711">
        <f ca="1">transport!B18</f>
        <v>0.6105957660039909</v>
      </c>
      <c r="D45" s="711">
        <f>transport!C18</f>
        <v>0</v>
      </c>
      <c r="E45" s="711">
        <f>transport!D18</f>
        <v>2.771742929278465</v>
      </c>
      <c r="F45" s="711">
        <f>transport!E18</f>
        <v>363.78363056263817</v>
      </c>
      <c r="G45" s="711">
        <f>transport!F18</f>
        <v>0</v>
      </c>
      <c r="H45" s="711">
        <f>transport!G18</f>
        <v>63447.046292338906</v>
      </c>
      <c r="I45" s="711">
        <f>transport!H18</f>
        <v>11758.869247278484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75573.081508875315</v>
      </c>
    </row>
    <row r="46" spans="1:18" ht="15.75" thickBot="1">
      <c r="A46" s="874" t="s">
        <v>231</v>
      </c>
      <c r="B46" s="887"/>
      <c r="C46" s="747">
        <f t="shared" ref="C46:R46" ca="1" si="5">SUM(C43:C45)</f>
        <v>0.6105957660039909</v>
      </c>
      <c r="D46" s="747">
        <f t="shared" ca="1" si="5"/>
        <v>0</v>
      </c>
      <c r="E46" s="747">
        <f t="shared" si="5"/>
        <v>2.771742929278465</v>
      </c>
      <c r="F46" s="747">
        <f t="shared" si="5"/>
        <v>363.78363056263817</v>
      </c>
      <c r="G46" s="747">
        <f t="shared" si="5"/>
        <v>0</v>
      </c>
      <c r="H46" s="747">
        <f t="shared" si="5"/>
        <v>64656.30384159588</v>
      </c>
      <c r="I46" s="747">
        <f t="shared" si="5"/>
        <v>11758.869247278484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76782.339058132289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176.57344880727919</v>
      </c>
      <c r="D48" s="702">
        <f ca="1">+landbouw!C12</f>
        <v>0</v>
      </c>
      <c r="E48" s="702">
        <f>+landbouw!D12</f>
        <v>1523.7258456220818</v>
      </c>
      <c r="F48" s="702">
        <f>+landbouw!E12</f>
        <v>1.9328283920178468</v>
      </c>
      <c r="G48" s="702">
        <f>+landbouw!F12</f>
        <v>1115.0094998663621</v>
      </c>
      <c r="H48" s="702">
        <f>+landbouw!G12</f>
        <v>0</v>
      </c>
      <c r="I48" s="702">
        <f>+landbouw!H12</f>
        <v>0</v>
      </c>
      <c r="J48" s="702">
        <f>+landbouw!I12</f>
        <v>0</v>
      </c>
      <c r="K48" s="702">
        <f>+landbouw!J12</f>
        <v>25.705563992993561</v>
      </c>
      <c r="L48" s="702">
        <f>+landbouw!K12</f>
        <v>0</v>
      </c>
      <c r="M48" s="702">
        <f>+landbouw!L12</f>
        <v>0</v>
      </c>
      <c r="N48" s="702">
        <f>+landbouw!M12</f>
        <v>0</v>
      </c>
      <c r="O48" s="702">
        <f>+landbouw!N12</f>
        <v>0</v>
      </c>
      <c r="P48" s="702">
        <f>+landbouw!O12</f>
        <v>0</v>
      </c>
      <c r="Q48" s="703">
        <f>+landbouw!P12</f>
        <v>0</v>
      </c>
      <c r="R48" s="745">
        <f ca="1">SUM(C48:Q48)</f>
        <v>2842.9471866807348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17764.285932439772</v>
      </c>
      <c r="D53" s="757">
        <f t="shared" ref="D53:Q53" ca="1" si="6">D41+D46+D48</f>
        <v>0</v>
      </c>
      <c r="E53" s="757">
        <f t="shared" ca="1" si="6"/>
        <v>33942.408166423826</v>
      </c>
      <c r="F53" s="757">
        <f t="shared" si="6"/>
        <v>1493.713537323933</v>
      </c>
      <c r="G53" s="757">
        <f t="shared" ca="1" si="6"/>
        <v>16715.308862651073</v>
      </c>
      <c r="H53" s="757">
        <f t="shared" si="6"/>
        <v>64656.30384159588</v>
      </c>
      <c r="I53" s="757">
        <f t="shared" si="6"/>
        <v>11758.869247278484</v>
      </c>
      <c r="J53" s="757">
        <f t="shared" si="6"/>
        <v>0</v>
      </c>
      <c r="K53" s="757">
        <f t="shared" si="6"/>
        <v>29.164588030286581</v>
      </c>
      <c r="L53" s="757">
        <f t="shared" si="6"/>
        <v>0</v>
      </c>
      <c r="M53" s="757">
        <f t="shared" ca="1" si="6"/>
        <v>0</v>
      </c>
      <c r="N53" s="757">
        <f t="shared" si="6"/>
        <v>0</v>
      </c>
      <c r="O53" s="757">
        <f t="shared" ca="1" si="6"/>
        <v>0</v>
      </c>
      <c r="P53" s="757">
        <f>P41+P46+P48</f>
        <v>0</v>
      </c>
      <c r="Q53" s="758">
        <f t="shared" si="6"/>
        <v>0</v>
      </c>
      <c r="R53" s="759">
        <f ca="1">R41+R46+R48</f>
        <v>146360.05417574325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0.21716837022964194</v>
      </c>
      <c r="D55" s="823">
        <f t="shared" ca="1" si="7"/>
        <v>0</v>
      </c>
      <c r="E55" s="823">
        <f t="shared" ca="1" si="7"/>
        <v>0.20200000000000001</v>
      </c>
      <c r="F55" s="823">
        <f t="shared" si="7"/>
        <v>0.22700000000000004</v>
      </c>
      <c r="G55" s="823">
        <f t="shared" ca="1" si="7"/>
        <v>0.26700000000000002</v>
      </c>
      <c r="H55" s="823">
        <f t="shared" si="7"/>
        <v>0.26700000000000002</v>
      </c>
      <c r="I55" s="823">
        <f t="shared" si="7"/>
        <v>0.24899999999999997</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9</v>
      </c>
      <c r="C65" s="779">
        <f>'lokale energieproductie'!B5</f>
        <v>9</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1409.2162198753133</v>
      </c>
      <c r="C66" s="779">
        <f>'lokale energieproductie'!B6</f>
        <v>1409.2162198753133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1418.2162198753133</v>
      </c>
      <c r="C69" s="787">
        <f>SUM(C64:C68)</f>
        <v>1418.2162198753133</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47149.506865742354</v>
      </c>
      <c r="C4" s="461">
        <f>huishoudens!C8</f>
        <v>0</v>
      </c>
      <c r="D4" s="461">
        <f>huishoudens!D8</f>
        <v>123590.07083702779</v>
      </c>
      <c r="E4" s="461">
        <f>huishoudens!E8</f>
        <v>4351.3207937946345</v>
      </c>
      <c r="F4" s="461">
        <f>huishoudens!F8</f>
        <v>51763.060514229444</v>
      </c>
      <c r="G4" s="461">
        <f>huishoudens!G8</f>
        <v>0</v>
      </c>
      <c r="H4" s="461">
        <f>huishoudens!H8</f>
        <v>0</v>
      </c>
      <c r="I4" s="461">
        <f>huishoudens!I8</f>
        <v>0</v>
      </c>
      <c r="J4" s="461">
        <f>huishoudens!J8</f>
        <v>0</v>
      </c>
      <c r="K4" s="461">
        <f>huishoudens!K8</f>
        <v>0</v>
      </c>
      <c r="L4" s="461">
        <f>huishoudens!L8</f>
        <v>0</v>
      </c>
      <c r="M4" s="461">
        <f>huishoudens!M8</f>
        <v>0</v>
      </c>
      <c r="N4" s="461">
        <f>huishoudens!N8</f>
        <v>7485.8644654289019</v>
      </c>
      <c r="O4" s="461">
        <f>huishoudens!O8</f>
        <v>145.39000000000001</v>
      </c>
      <c r="P4" s="462">
        <f>huishoudens!P8</f>
        <v>247.86666666666667</v>
      </c>
      <c r="Q4" s="463">
        <f>SUM(B4:P4)</f>
        <v>234733.08014288978</v>
      </c>
    </row>
    <row r="5" spans="1:17">
      <c r="A5" s="460" t="s">
        <v>156</v>
      </c>
      <c r="B5" s="461">
        <f ca="1">tertiair!B16</f>
        <v>28629.133717329172</v>
      </c>
      <c r="C5" s="461">
        <f ca="1">tertiair!C16</f>
        <v>0</v>
      </c>
      <c r="D5" s="461">
        <f ca="1">tertiair!D16</f>
        <v>33973.93904674166</v>
      </c>
      <c r="E5" s="461">
        <f>tertiair!E16</f>
        <v>580.50929785248672</v>
      </c>
      <c r="F5" s="461">
        <f ca="1">tertiair!F16</f>
        <v>5498.1087219072369</v>
      </c>
      <c r="G5" s="461">
        <f>tertiair!G16</f>
        <v>0</v>
      </c>
      <c r="H5" s="461">
        <f>tertiair!H16</f>
        <v>0</v>
      </c>
      <c r="I5" s="461">
        <f>tertiair!I16</f>
        <v>0</v>
      </c>
      <c r="J5" s="461">
        <f>tertiair!J16</f>
        <v>0</v>
      </c>
      <c r="K5" s="461">
        <f>tertiair!K16</f>
        <v>0</v>
      </c>
      <c r="L5" s="461">
        <f ca="1">tertiair!L16</f>
        <v>0</v>
      </c>
      <c r="M5" s="461">
        <f>tertiair!M16</f>
        <v>0</v>
      </c>
      <c r="N5" s="461">
        <f ca="1">tertiair!N16</f>
        <v>1499.9008228362306</v>
      </c>
      <c r="O5" s="461">
        <f>tertiair!O16</f>
        <v>0</v>
      </c>
      <c r="P5" s="462">
        <f>tertiair!P16</f>
        <v>0</v>
      </c>
      <c r="Q5" s="460">
        <f t="shared" ref="Q5:Q13" ca="1" si="0">SUM(B5:P5)</f>
        <v>70181.5916066668</v>
      </c>
    </row>
    <row r="6" spans="1:17">
      <c r="A6" s="460" t="s">
        <v>195</v>
      </c>
      <c r="B6" s="461">
        <f>'openbare verlichting'!B8</f>
        <v>2037.3130000000001</v>
      </c>
      <c r="C6" s="461"/>
      <c r="D6" s="461"/>
      <c r="E6" s="461"/>
      <c r="F6" s="461"/>
      <c r="G6" s="461"/>
      <c r="H6" s="461"/>
      <c r="I6" s="461"/>
      <c r="J6" s="461"/>
      <c r="K6" s="461"/>
      <c r="L6" s="461"/>
      <c r="M6" s="461"/>
      <c r="N6" s="461"/>
      <c r="O6" s="461"/>
      <c r="P6" s="462"/>
      <c r="Q6" s="460">
        <f t="shared" si="0"/>
        <v>2037.3130000000001</v>
      </c>
    </row>
    <row r="7" spans="1:17">
      <c r="A7" s="460" t="s">
        <v>112</v>
      </c>
      <c r="B7" s="461">
        <f>landbouw!B8</f>
        <v>813.07166702298196</v>
      </c>
      <c r="C7" s="461">
        <f>landbouw!C8</f>
        <v>0</v>
      </c>
      <c r="D7" s="461">
        <f>landbouw!D8</f>
        <v>7543.19725555486</v>
      </c>
      <c r="E7" s="461">
        <f>landbouw!E8</f>
        <v>8.5146625199024086</v>
      </c>
      <c r="F7" s="461">
        <f>landbouw!F8</f>
        <v>4176.0655425706445</v>
      </c>
      <c r="G7" s="461">
        <f>landbouw!G8</f>
        <v>0</v>
      </c>
      <c r="H7" s="461">
        <f>landbouw!H8</f>
        <v>0</v>
      </c>
      <c r="I7" s="461">
        <f>landbouw!I8</f>
        <v>0</v>
      </c>
      <c r="J7" s="461">
        <f>landbouw!J8</f>
        <v>72.61458755082927</v>
      </c>
      <c r="K7" s="461">
        <f>landbouw!K8</f>
        <v>0</v>
      </c>
      <c r="L7" s="461">
        <f>landbouw!L8</f>
        <v>0</v>
      </c>
      <c r="M7" s="461">
        <f>landbouw!M8</f>
        <v>0</v>
      </c>
      <c r="N7" s="461">
        <f>landbouw!N8</f>
        <v>0</v>
      </c>
      <c r="O7" s="461">
        <f>landbouw!O8</f>
        <v>0</v>
      </c>
      <c r="P7" s="462">
        <f>landbouw!P8</f>
        <v>0</v>
      </c>
      <c r="Q7" s="460">
        <f t="shared" si="0"/>
        <v>12613.463715219219</v>
      </c>
    </row>
    <row r="8" spans="1:17">
      <c r="A8" s="460" t="s">
        <v>656</v>
      </c>
      <c r="B8" s="461">
        <f>industrie!B18</f>
        <v>3167.7636556277657</v>
      </c>
      <c r="C8" s="461">
        <f>industrie!C18</f>
        <v>0</v>
      </c>
      <c r="D8" s="461">
        <f>industrie!D18</f>
        <v>2910.7949571833415</v>
      </c>
      <c r="E8" s="461">
        <f>industrie!E18</f>
        <v>37.320033327666536</v>
      </c>
      <c r="F8" s="461">
        <f>industrie!F18</f>
        <v>1166.9182649296481</v>
      </c>
      <c r="G8" s="461">
        <f>industrie!G18</f>
        <v>0</v>
      </c>
      <c r="H8" s="461">
        <f>industrie!H18</f>
        <v>0</v>
      </c>
      <c r="I8" s="461">
        <f>industrie!I18</f>
        <v>0</v>
      </c>
      <c r="J8" s="461">
        <f>industrie!J18</f>
        <v>9.7712543426356451</v>
      </c>
      <c r="K8" s="461">
        <f>industrie!K18</f>
        <v>0</v>
      </c>
      <c r="L8" s="461">
        <f>industrie!L18</f>
        <v>0</v>
      </c>
      <c r="M8" s="461">
        <f>industrie!M18</f>
        <v>0</v>
      </c>
      <c r="N8" s="461">
        <f>industrie!N18</f>
        <v>108.5590242355803</v>
      </c>
      <c r="O8" s="461">
        <f>industrie!O18</f>
        <v>0</v>
      </c>
      <c r="P8" s="462">
        <f>industrie!P18</f>
        <v>0</v>
      </c>
      <c r="Q8" s="460">
        <f t="shared" si="0"/>
        <v>7401.1271896466378</v>
      </c>
    </row>
    <row r="9" spans="1:17" s="466" customFormat="1">
      <c r="A9" s="464" t="s">
        <v>574</v>
      </c>
      <c r="B9" s="465">
        <f>transport!B14</f>
        <v>2.8116238352681093</v>
      </c>
      <c r="C9" s="465">
        <f>transport!C14</f>
        <v>0</v>
      </c>
      <c r="D9" s="465">
        <f>transport!D14</f>
        <v>13.72149964989339</v>
      </c>
      <c r="E9" s="465">
        <f>transport!E14</f>
        <v>1602.5710597473046</v>
      </c>
      <c r="F9" s="465">
        <f>transport!F14</f>
        <v>0</v>
      </c>
      <c r="G9" s="465">
        <f>transport!G14</f>
        <v>237629.38686269251</v>
      </c>
      <c r="H9" s="465">
        <f>transport!H14</f>
        <v>47224.374487062189</v>
      </c>
      <c r="I9" s="465">
        <f>transport!I14</f>
        <v>0</v>
      </c>
      <c r="J9" s="465">
        <f>transport!J14</f>
        <v>0</v>
      </c>
      <c r="K9" s="465">
        <f>transport!K14</f>
        <v>0</v>
      </c>
      <c r="L9" s="465">
        <f>transport!L14</f>
        <v>0</v>
      </c>
      <c r="M9" s="465">
        <f>transport!M14</f>
        <v>12446.223895612669</v>
      </c>
      <c r="N9" s="465">
        <f>transport!N14</f>
        <v>0</v>
      </c>
      <c r="O9" s="465">
        <f>transport!O14</f>
        <v>0</v>
      </c>
      <c r="P9" s="465">
        <f>transport!P14</f>
        <v>0</v>
      </c>
      <c r="Q9" s="464">
        <f>SUM(B9:P9)</f>
        <v>298919.08942859987</v>
      </c>
    </row>
    <row r="10" spans="1:17">
      <c r="A10" s="460" t="s">
        <v>564</v>
      </c>
      <c r="B10" s="461">
        <f>transport!B54</f>
        <v>0</v>
      </c>
      <c r="C10" s="461">
        <f>transport!C54</f>
        <v>0</v>
      </c>
      <c r="D10" s="461">
        <f>transport!D54</f>
        <v>0</v>
      </c>
      <c r="E10" s="461">
        <f>transport!E54</f>
        <v>0</v>
      </c>
      <c r="F10" s="461">
        <f>transport!F54</f>
        <v>0</v>
      </c>
      <c r="G10" s="461">
        <f>transport!G54</f>
        <v>4529.0544915991486</v>
      </c>
      <c r="H10" s="461">
        <f>transport!H54</f>
        <v>0</v>
      </c>
      <c r="I10" s="461">
        <f>transport!I54</f>
        <v>0</v>
      </c>
      <c r="J10" s="461">
        <f>transport!J54</f>
        <v>0</v>
      </c>
      <c r="K10" s="461">
        <f>transport!K54</f>
        <v>0</v>
      </c>
      <c r="L10" s="461">
        <f>transport!L54</f>
        <v>0</v>
      </c>
      <c r="M10" s="461">
        <f>transport!M54</f>
        <v>193.05391660576322</v>
      </c>
      <c r="N10" s="461">
        <f>transport!N54</f>
        <v>0</v>
      </c>
      <c r="O10" s="461">
        <f>transport!O54</f>
        <v>0</v>
      </c>
      <c r="P10" s="462">
        <f>transport!P54</f>
        <v>0</v>
      </c>
      <c r="Q10" s="460">
        <f t="shared" si="0"/>
        <v>4722.1084082049119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81799.600529557545</v>
      </c>
      <c r="C14" s="471">
        <f t="shared" ref="C14:Q14" ca="1" si="1">SUM(C4:C13)</f>
        <v>0</v>
      </c>
      <c r="D14" s="471">
        <f t="shared" ca="1" si="1"/>
        <v>168031.72359615754</v>
      </c>
      <c r="E14" s="471">
        <f t="shared" si="1"/>
        <v>6580.2358472419946</v>
      </c>
      <c r="F14" s="471">
        <f t="shared" ca="1" si="1"/>
        <v>62604.153043636972</v>
      </c>
      <c r="G14" s="471">
        <f t="shared" si="1"/>
        <v>242158.44135429166</v>
      </c>
      <c r="H14" s="471">
        <f t="shared" si="1"/>
        <v>47224.374487062189</v>
      </c>
      <c r="I14" s="471">
        <f t="shared" si="1"/>
        <v>0</v>
      </c>
      <c r="J14" s="471">
        <f t="shared" si="1"/>
        <v>82.385841893464914</v>
      </c>
      <c r="K14" s="471">
        <f t="shared" si="1"/>
        <v>0</v>
      </c>
      <c r="L14" s="471">
        <f t="shared" ca="1" si="1"/>
        <v>0</v>
      </c>
      <c r="M14" s="471">
        <f t="shared" si="1"/>
        <v>12639.277812218432</v>
      </c>
      <c r="N14" s="471">
        <f t="shared" ca="1" si="1"/>
        <v>9094.3243125007139</v>
      </c>
      <c r="O14" s="471">
        <f t="shared" si="1"/>
        <v>145.39000000000001</v>
      </c>
      <c r="P14" s="472">
        <f t="shared" si="1"/>
        <v>247.86666666666667</v>
      </c>
      <c r="Q14" s="472">
        <f t="shared" ca="1" si="1"/>
        <v>630607.77349122718</v>
      </c>
    </row>
    <row r="16" spans="1:17">
      <c r="A16" s="474" t="s">
        <v>569</v>
      </c>
      <c r="B16" s="828">
        <f ca="1">huishoudens!B10</f>
        <v>0.21716837022964205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10239.381563164585</v>
      </c>
      <c r="C21" s="461">
        <f t="shared" ref="C21:C30" ca="1" si="3">C4*$C$16</f>
        <v>0</v>
      </c>
      <c r="D21" s="461">
        <f t="shared" ref="D21:D30" si="4">D4*$D$16</f>
        <v>24965.194309079616</v>
      </c>
      <c r="E21" s="461">
        <f t="shared" ref="E21:E30" si="5">E4*$E$16</f>
        <v>987.74982019138201</v>
      </c>
      <c r="F21" s="461">
        <f t="shared" ref="F21:F30" si="6">F4*$F$16</f>
        <v>13820.737157299262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50013.062849734844</v>
      </c>
    </row>
    <row r="22" spans="1:17">
      <c r="A22" s="460" t="s">
        <v>156</v>
      </c>
      <c r="B22" s="461">
        <f t="shared" ca="1" si="2"/>
        <v>6217.3423104788699</v>
      </c>
      <c r="C22" s="461">
        <f t="shared" ca="1" si="3"/>
        <v>0</v>
      </c>
      <c r="D22" s="461">
        <f t="shared" ca="1" si="4"/>
        <v>6862.7356874418156</v>
      </c>
      <c r="E22" s="461">
        <f t="shared" si="5"/>
        <v>131.7756106125145</v>
      </c>
      <c r="F22" s="461">
        <f t="shared" ca="1" si="6"/>
        <v>1467.9950287492322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14679.848637282432</v>
      </c>
    </row>
    <row r="23" spans="1:17">
      <c r="A23" s="460" t="s">
        <v>195</v>
      </c>
      <c r="B23" s="461">
        <f t="shared" ca="1" si="2"/>
        <v>442.43994385766274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442.43994385766274</v>
      </c>
    </row>
    <row r="24" spans="1:17">
      <c r="A24" s="460" t="s">
        <v>112</v>
      </c>
      <c r="B24" s="461">
        <f t="shared" ca="1" si="2"/>
        <v>176.57344880727919</v>
      </c>
      <c r="C24" s="461">
        <f t="shared" ca="1" si="3"/>
        <v>0</v>
      </c>
      <c r="D24" s="461">
        <f t="shared" si="4"/>
        <v>1523.7258456220818</v>
      </c>
      <c r="E24" s="461">
        <f t="shared" si="5"/>
        <v>1.9328283920178468</v>
      </c>
      <c r="F24" s="461">
        <f t="shared" si="6"/>
        <v>1115.0094998663621</v>
      </c>
      <c r="G24" s="461">
        <f t="shared" si="7"/>
        <v>0</v>
      </c>
      <c r="H24" s="461">
        <f t="shared" si="8"/>
        <v>0</v>
      </c>
      <c r="I24" s="461">
        <f t="shared" si="9"/>
        <v>0</v>
      </c>
      <c r="J24" s="461">
        <f t="shared" si="10"/>
        <v>25.705563992993561</v>
      </c>
      <c r="K24" s="461">
        <f t="shared" si="11"/>
        <v>0</v>
      </c>
      <c r="L24" s="461">
        <f t="shared" si="12"/>
        <v>0</v>
      </c>
      <c r="M24" s="461">
        <f t="shared" si="13"/>
        <v>0</v>
      </c>
      <c r="N24" s="461">
        <f t="shared" si="14"/>
        <v>0</v>
      </c>
      <c r="O24" s="461">
        <f t="shared" si="15"/>
        <v>0</v>
      </c>
      <c r="P24" s="462">
        <f t="shared" si="16"/>
        <v>0</v>
      </c>
      <c r="Q24" s="460">
        <f t="shared" ca="1" si="17"/>
        <v>2842.9471866807348</v>
      </c>
    </row>
    <row r="25" spans="1:17">
      <c r="A25" s="460" t="s">
        <v>656</v>
      </c>
      <c r="B25" s="461">
        <f t="shared" ca="1" si="2"/>
        <v>687.93807036537498</v>
      </c>
      <c r="C25" s="461">
        <f t="shared" ca="1" si="3"/>
        <v>0</v>
      </c>
      <c r="D25" s="461">
        <f t="shared" si="4"/>
        <v>587.98058135103497</v>
      </c>
      <c r="E25" s="461">
        <f t="shared" si="5"/>
        <v>8.4716475653803034</v>
      </c>
      <c r="F25" s="461">
        <f t="shared" si="6"/>
        <v>311.56717673621608</v>
      </c>
      <c r="G25" s="461">
        <f t="shared" si="7"/>
        <v>0</v>
      </c>
      <c r="H25" s="461">
        <f t="shared" si="8"/>
        <v>0</v>
      </c>
      <c r="I25" s="461">
        <f t="shared" si="9"/>
        <v>0</v>
      </c>
      <c r="J25" s="461">
        <f t="shared" si="10"/>
        <v>3.4590240372930183</v>
      </c>
      <c r="K25" s="461">
        <f t="shared" si="11"/>
        <v>0</v>
      </c>
      <c r="L25" s="461">
        <f t="shared" si="12"/>
        <v>0</v>
      </c>
      <c r="M25" s="461">
        <f t="shared" si="13"/>
        <v>0</v>
      </c>
      <c r="N25" s="461">
        <f t="shared" si="14"/>
        <v>0</v>
      </c>
      <c r="O25" s="461">
        <f t="shared" si="15"/>
        <v>0</v>
      </c>
      <c r="P25" s="462">
        <f t="shared" si="16"/>
        <v>0</v>
      </c>
      <c r="Q25" s="460">
        <f t="shared" ca="1" si="17"/>
        <v>1599.4165000552991</v>
      </c>
    </row>
    <row r="26" spans="1:17" s="466" customFormat="1">
      <c r="A26" s="464" t="s">
        <v>574</v>
      </c>
      <c r="B26" s="822">
        <f t="shared" ca="1" si="2"/>
        <v>0.6105957660039909</v>
      </c>
      <c r="C26" s="465">
        <f t="shared" ca="1" si="3"/>
        <v>0</v>
      </c>
      <c r="D26" s="465">
        <f t="shared" si="4"/>
        <v>2.771742929278465</v>
      </c>
      <c r="E26" s="465">
        <f t="shared" si="5"/>
        <v>363.78363056263817</v>
      </c>
      <c r="F26" s="465">
        <f t="shared" si="6"/>
        <v>0</v>
      </c>
      <c r="G26" s="465">
        <f t="shared" si="7"/>
        <v>63447.046292338906</v>
      </c>
      <c r="H26" s="465">
        <f t="shared" si="8"/>
        <v>11758.869247278484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75573.081508875315</v>
      </c>
    </row>
    <row r="27" spans="1:17">
      <c r="A27" s="460" t="s">
        <v>564</v>
      </c>
      <c r="B27" s="461">
        <f t="shared" ca="1" si="2"/>
        <v>0</v>
      </c>
      <c r="C27" s="461">
        <f t="shared" ca="1" si="3"/>
        <v>0</v>
      </c>
      <c r="D27" s="461">
        <f t="shared" si="4"/>
        <v>0</v>
      </c>
      <c r="E27" s="461">
        <f t="shared" si="5"/>
        <v>0</v>
      </c>
      <c r="F27" s="461">
        <f t="shared" si="6"/>
        <v>0</v>
      </c>
      <c r="G27" s="461">
        <f t="shared" si="7"/>
        <v>1209.2575492569727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1209.2575492569727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17764.285932439772</v>
      </c>
      <c r="C31" s="471">
        <f t="shared" ca="1" si="18"/>
        <v>0</v>
      </c>
      <c r="D31" s="471">
        <f t="shared" ca="1" si="18"/>
        <v>33942.408166423818</v>
      </c>
      <c r="E31" s="471">
        <f t="shared" si="18"/>
        <v>1493.713537323933</v>
      </c>
      <c r="F31" s="471">
        <f t="shared" ca="1" si="18"/>
        <v>16715.308862651069</v>
      </c>
      <c r="G31" s="471">
        <f t="shared" si="18"/>
        <v>64656.30384159588</v>
      </c>
      <c r="H31" s="471">
        <f t="shared" si="18"/>
        <v>11758.869247278484</v>
      </c>
      <c r="I31" s="471">
        <f t="shared" si="18"/>
        <v>0</v>
      </c>
      <c r="J31" s="471">
        <f t="shared" si="18"/>
        <v>29.164588030286581</v>
      </c>
      <c r="K31" s="471">
        <f t="shared" si="18"/>
        <v>0</v>
      </c>
      <c r="L31" s="471">
        <f t="shared" ca="1" si="18"/>
        <v>0</v>
      </c>
      <c r="M31" s="471">
        <f t="shared" si="18"/>
        <v>0</v>
      </c>
      <c r="N31" s="471">
        <f t="shared" ca="1" si="18"/>
        <v>0</v>
      </c>
      <c r="O31" s="471">
        <f t="shared" si="18"/>
        <v>0</v>
      </c>
      <c r="P31" s="472">
        <f t="shared" si="18"/>
        <v>0</v>
      </c>
      <c r="Q31" s="472">
        <f t="shared" ca="1" si="18"/>
        <v>146360.05417574325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0.21716837022964205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0.21716837022964205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0.21716837022964205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2018-06-27T09:00:16Z</dcterms:modified>
</cp:coreProperties>
</file>