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97" i="18" l="1"/>
  <c r="I100" s="1"/>
  <c r="H7" s="1"/>
  <c r="I67" i="14" s="1"/>
  <c r="B16" i="18"/>
  <c r="B78" i="14" s="1"/>
  <c r="N16" i="16"/>
  <c r="D16"/>
  <c r="O80" i="14"/>
  <c r="J8" i="18"/>
  <c r="K68" i="14" s="1"/>
  <c r="H68"/>
  <c r="H69" s="1"/>
  <c r="D8" i="17"/>
  <c r="D7" i="48" s="1"/>
  <c r="D24" s="1"/>
  <c r="C18" i="16"/>
  <c r="C8" i="48"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M8" l="1"/>
  <c r="L30" i="48"/>
  <c r="L23"/>
  <c r="B35" i="13"/>
  <c r="J12" i="17"/>
  <c r="K48" i="14" s="1"/>
  <c r="I81"/>
  <c r="E9" i="18"/>
  <c r="Q13" i="14"/>
  <c r="E19" i="18"/>
  <c r="D13" i="14"/>
  <c r="H17"/>
  <c r="J16" i="18"/>
  <c r="K78" i="14" s="1"/>
  <c r="K81" s="1"/>
  <c r="L8" i="17"/>
  <c r="L7" i="48" s="1"/>
  <c r="L24" s="1"/>
  <c r="L5" i="17"/>
  <c r="N5"/>
  <c r="N8" s="1"/>
  <c r="L29" i="48"/>
  <c r="H9" i="18"/>
  <c r="M28" i="48"/>
  <c r="C100" i="18"/>
  <c r="I16"/>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69" i="14"/>
  <c r="O67"/>
  <c r="D18" i="16"/>
  <c r="D22" s="1"/>
  <c r="E39" i="14" s="1"/>
  <c r="M16" i="18"/>
  <c r="M19" s="1"/>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C14" s="1"/>
  <c r="O22" i="14" l="1"/>
  <c r="N12" i="17"/>
  <c r="O48" i="14" s="1"/>
  <c r="N7" i="48"/>
  <c r="N24" s="1"/>
  <c r="Q15" i="14"/>
  <c r="Q23" s="1"/>
  <c r="Q13" i="48"/>
  <c r="D8"/>
  <c r="D25" s="1"/>
  <c r="D31" s="1"/>
  <c r="M22" i="14"/>
  <c r="J78"/>
  <c r="I19" i="18"/>
  <c r="R17" i="14"/>
  <c r="E13"/>
  <c r="L12" i="17"/>
  <c r="M48" i="14" s="1"/>
  <c r="R22"/>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E5"/>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J81" i="14" l="1"/>
  <c r="C78"/>
  <c r="C81" s="1"/>
  <c r="J5" i="48"/>
  <c r="J22" s="1"/>
  <c r="D14"/>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<sst xmlns="http://schemas.openxmlformats.org/spreadsheetml/2006/main" count="2029" uniqueCount="894">
  <si>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</si>
  <si>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</si>
  <si>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</si>
  <si>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</si>
  <si>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</si>
  <si>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</si>
  <si>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</si>
  <si>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</si>
  <si>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</si>
  <si>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</si>
  <si>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</si>
  <si>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</si>
  <si>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</si>
  <si>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</si>
  <si>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</si>
  <si>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</si>
  <si>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</si>
  <si>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</si>
  <si>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</si>
  <si>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</si>
  <si>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</si>
  <si>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</si>
  <si>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</si>
  <si>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</si>
  <si>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</si>
  <si>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</si>
  <si>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</si>
  <si>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</si>
  <si>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</si>
  <si>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</si>
  <si>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</si>
  <si>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</si>
  <si>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</si>
  <si>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</si>
  <si>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</si>
  <si>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</si>
  <si>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</si>
  <si>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</si>
  <si>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</si>
  <si>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</si>
  <si>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</si>
  <si>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</si>
  <si>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</si>
  <si>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</si>
  <si>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</si>
  <si>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</si>
  <si>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</si>
  <si>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</si>
  <si>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</si>
  <si>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</si>
  <si>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</si>
  <si>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</si>
  <si>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</si>
  <si>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</si>
  <si>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</si>
  <si>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</si>
  <si>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</si>
  <si>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</si>
  <si>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</si>
  <si>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</si>
  <si>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</si>
  <si>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</si>
  <si>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</si>
  <si>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</si>
  <si>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</si>
  <si>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</si>
  <si>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</si>
  <si>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</si>
  <si>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</si>
  <si>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</si>
  <si>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</si>
  <si>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</si>
  <si>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</si>
  <si>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</si>
  <si>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</si>
  <si>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</si>
  <si>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</si>
  <si>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</si>
  <si>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</si>
  <si>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</si>
  <si>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</si>
  <si>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</si>
  <si>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</si>
  <si>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</si>
  <si>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</si>
  <si>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</si>
  <si>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</si>
  <si>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</si>
  <si>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</si>
  <si>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</si>
  <si>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</si>
  <si>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</si>
  <si>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</si>
  <si>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</si>
  <si>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</si>
  <si>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</si>
  <si>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</si>
  <si>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</si>
  <si>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</si>
  <si>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</si>
  <si>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</si>
  <si>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</si>
  <si>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</si>
  <si>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</si>
  <si>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</si>
  <si>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</si>
  <si>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</si>
  <si>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</si>
  <si>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</si>
  <si>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</si>
  <si>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</si>
  <si>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</si>
  <si>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</si>
  <si>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</si>
  <si>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</si>
  <si>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</si>
  <si>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</si>
  <si>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</si>
  <si>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</si>
  <si>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</si>
  <si>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</si>
  <si>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</si>
  <si>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</si>
  <si>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</si>
  <si>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</si>
  <si>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</si>
  <si>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</si>
  <si>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</si>
  <si>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</si>
  <si>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</si>
  <si>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</si>
  <si>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</si>
  <si>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</si>
  <si>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</si>
  <si>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</si>
  <si>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</si>
  <si>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</si>
  <si>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</si>
  <si>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</si>
  <si>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</si>
  <si>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</si>
  <si>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</si>
  <si>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</si>
  <si>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</si>
  <si>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</si>
  <si>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</si>
  <si>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</si>
  <si>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</si>
  <si>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</si>
  <si>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</si>
  <si>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</si>
  <si>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</si>
  <si>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</si>
  <si>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</si>
  <si>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</si>
  <si>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</si>
  <si>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</si>
  <si>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</si>
  <si>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</si>
  <si>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</si>
  <si>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</si>
  <si>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</si>
  <si>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</si>
  <si>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</si>
  <si>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</si>
  <si>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</si>
  <si>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</si>
  <si>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</si>
  <si>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</si>
  <si>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</si>
  <si>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</si>
  <si>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</si>
  <si>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</si>
  <si>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</si>
  <si>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</si>
  <si>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</si>
  <si>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</si>
  <si>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</si>
  <si>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</si>
  <si>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</si>
  <si>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</si>
  <si>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</si>
  <si>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</si>
  <si>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</si>
  <si>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</si>
  <si>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</si>
  <si>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</si>
  <si>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</si>
  <si>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</si>
  <si>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</si>
  <si>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</si>
  <si>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</si>
  <si>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</si>
  <si>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</si>
  <si>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</si>
  <si>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</si>
  <si>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</si>
  <si>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</si>
  <si>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</si>
  <si>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</si>
  <si>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</si>
  <si>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</si>
  <si>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</si>
  <si>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</si>
  <si>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</si>
  <si>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</si>
  <si>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</si>
  <si>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</si>
  <si>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</si>
  <si>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</si>
  <si>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</si>
  <si>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</si>
  <si>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</si>
  <si>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</si>
  <si>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</si>
  <si>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</si>
  <si>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</si>
  <si>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</si>
  <si>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</si>
  <si>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</si>
  <si>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</si>
  <si>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</si>
  <si>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</si>
  <si>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</si>
  <si>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</si>
  <si>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</si>
  <si>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</si>
  <si>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</si>
  <si>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</si>
  <si>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</si>
  <si>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</si>
  <si>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</si>
  <si>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</si>
  <si>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</si>
  <si>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</si>
  <si>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</si>
  <si>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</si>
  <si>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</si>
  <si>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</si>
  <si>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</si>
  <si>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</si>
  <si>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</si>
  <si>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</si>
  <si>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</si>
  <si>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</si>
  <si>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</si>
  <si>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</si>
  <si>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</si>
  <si>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</si>
  <si>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</si>
  <si>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</si>
  <si>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</si>
  <si>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</si>
  <si>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</si>
  <si>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</si>
  <si>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</si>
  <si>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</si>
  <si>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</si>
  <si>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</si>
  <si>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</si>
  <si>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</si>
  <si>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</si>
  <si>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</si>
  <si>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</si>
  <si>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</si>
  <si>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</si>
  <si>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</si>
  <si>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</si>
  <si>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</si>
  <si>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</si>
  <si>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</si>
  <si>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</si>
  <si>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</si>
  <si>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</si>
  <si>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</si>
  <si>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</si>
  <si>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</si>
  <si>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</si>
  <si>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</si>
  <si>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</si>
  <si>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</si>
  <si>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</si>
  <si>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</si>
  <si>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</si>
  <si>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</si>
  <si>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</si>
  <si>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</si>
  <si>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</si>
  <si>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</si>
  <si>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</si>
  <si>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</si>
  <si>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</si>
  <si>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</si>
  <si>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</si>
  <si>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</si>
  <si>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</si>
  <si>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</si>
  <si>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</si>
  <si>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</si>
  <si>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</si>
  <si>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</si>
  <si>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</si>
  <si>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</si>
  <si>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</si>
  <si>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</si>
  <si>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</si>
  <si>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</si>
  <si>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</si>
  <si>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</si>
  <si>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</si>
  <si>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</si>
  <si>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</si>
  <si>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</si>
  <si>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</si>
  <si>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</si>
  <si>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</si>
  <si>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</si>
  <si>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</si>
  <si>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</si>
  <si>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</si>
  <si>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</si>
  <si>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</si>
  <si>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</si>
  <si>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</si>
  <si>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</si>
  <si>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</si>
  <si>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</si>
  <si>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</si>
  <si>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</si>
  <si>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</si>
  <si>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</si>
  <si>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</si>
  <si>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</si>
  <si>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</si>
  <si>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</si>
  <si>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</si>
  <si>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</si>
  <si>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</si>
  <si>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</si>
  <si>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</si>
  <si>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</si>
  <si>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</si>
  <si>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</si>
  <si>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</si>
  <si>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</si>
  <si>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</si>
  <si>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</si>
  <si>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</si>
  <si>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</si>
  <si>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</si>
  <si>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</si>
  <si>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</si>
  <si>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</si>
  <si>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</si>
  <si>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</si>
  <si>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</si>
  <si>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</si>
  <si>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</si>
  <si>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</si>
  <si>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</si>
  <si>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</si>
  <si>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</si>
  <si>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</si>
  <si>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</si>
  <si>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</si>
  <si>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</si>
  <si>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</si>
  <si>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</si>
  <si>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</si>
  <si>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</si>
  <si>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</si>
  <si>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</si>
  <si>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</si>
  <si>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</si>
  <si>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</si>
  <si>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</si>
  <si>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</si>
  <si>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</si>
  <si>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</si>
  <si>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</si>
  <si>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</si>
  <si>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</si>
  <si>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</si>
  <si>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</si>
  <si>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</si>
  <si>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</si>
  <si>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</si>
  <si>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</si>
  <si>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</si>
  <si>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</si>
  <si>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</si>
  <si>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</si>
  <si>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</si>
  <si>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</si>
  <si>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</si>
  <si>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</si>
  <si>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</si>
  <si>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</si>
  <si>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</si>
  <si>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</si>
  <si>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</si>
  <si>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</si>
  <si>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</si>
  <si>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</si>
  <si>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</si>
  <si>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</si>
  <si>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</si>
  <si>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</si>
  <si>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</si>
  <si>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</si>
  <si>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</si>
  <si>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</si>
  <si>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</si>
  <si>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</si>
  <si>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</si>
  <si>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</si>
  <si>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</si>
  <si>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</si>
  <si>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</si>
  <si>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</si>
  <si>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</si>
  <si>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</si>
  <si>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</si>
  <si>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</si>
  <si>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</si>
  <si>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</si>
  <si>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</si>
  <si>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</si>
  <si>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</si>
  <si>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</si>
  <si>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</si>
  <si>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</si>
  <si>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</si>
  <si>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</si>
  <si>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</si>
  <si>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</si>
  <si>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</si>
  <si>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</si>
  <si>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</si>
  <si>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</si>
  <si>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</si>
  <si>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</si>
  <si>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</si>
  <si>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</si>
  <si>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</si>
  <si>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</si>
  <si>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</si>
  <si>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</si>
  <si>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</si>
  <si>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</si>
  <si>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</si>
  <si>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</si>
  <si>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</si>
  <si>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</si>
  <si>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</si>
  <si>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</si>
  <si>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</si>
  <si>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</si>
  <si>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</si>
  <si>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</si>
  <si>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</si>
  <si>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</si>
  <si>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</si>
  <si>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</si>
  <si>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</si>
  <si>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</si>
  <si>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</si>
  <si>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</si>
  <si>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</si>
  <si>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</si>
  <si>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</si>
  <si>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</si>
  <si>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</si>
  <si>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</si>
  <si>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</si>
  <si>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</si>
  <si>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</si>
  <si>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</si>
  <si>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</si>
  <si>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</si>
  <si>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</si>
  <si>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</si>
  <si>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</si>
  <si>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</si>
  <si>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</si>
  <si>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</si>
  <si>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</si>
  <si>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</si>
  <si>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</si>
  <si>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</si>
  <si>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</si>
  <si>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</si>
  <si>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</si>
  <si>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</si>
  <si>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</si>
  <si>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</si>
  <si>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</si>
  <si>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</si>
  <si>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</si>
  <si>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</si>
  <si>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</si>
  <si>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</si>
  <si>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</si>
  <si>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</si>
  <si>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</si>
  <si>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</si>
  <si>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</si>
  <si>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</si>
  <si>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</si>
  <si>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</si>
  <si>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</si>
  <si>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</si>
  <si>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</si>
  <si>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</si>
  <si>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</si>
  <si>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</si>
  <si>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</si>
  <si>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</si>
  <si>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</si>
  <si>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</si>
  <si>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</si>
  <si>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</si>
  <si>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</si>
  <si>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</si>
  <si>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</si>
  <si>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</si>
  <si>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</si>
  <si>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</si>
  <si>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</si>
  <si>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</si>
  <si>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</si>
  <si>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</si>
  <si>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</si>
  <si>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</si>
  <si>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</si>
  <si>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</si>
  <si>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</si>
  <si>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</si>
  <si>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</si>
  <si>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</si>
  <si>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</si>
  <si>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</si>
  <si>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</si>
  <si>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</si>
  <si>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</si>
  <si>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</si>
  <si>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</si>
  <si>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</si>
  <si>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</si>
  <si>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</si>
  <si>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</si>
  <si>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</si>
  <si>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</si>
  <si>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</si>
  <si>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</si>
  <si>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</si>
  <si>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</si>
  <si>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</si>
  <si>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</si>
  <si>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</si>
  <si>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</si>
  <si>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</si>
  <si>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</si>
  <si>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</si>
  <si>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</si>
  <si>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</si>
  <si>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</si>
  <si>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</si>
  <si>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</si>
  <si>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</si>
  <si>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</si>
  <si>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</si>
  <si>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</si>
  <si>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</si>
  <si>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</si>
  <si>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</si>
  <si>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</si>
  <si>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</si>
  <si>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</si>
  <si>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</si>
  <si>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</si>
  <si>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</si>
  <si>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</si>
  <si>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</si>
  <si>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</si>
  <si>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</si>
  <si>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</si>
  <si>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</si>
  <si>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</si>
  <si>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</si>
  <si>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</si>
  <si>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</si>
  <si>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</si>
  <si>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</si>
  <si>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</si>
  <si>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</si>
  <si>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</si>
  <si>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</si>
  <si>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</si>
  <si>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</si>
  <si>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</si>
  <si>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</si>
  <si>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</si>
  <si>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</si>
  <si>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</si>
  <si>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</si>
  <si>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</si>
  <si>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</si>
  <si>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</si>
  <si>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</si>
  <si>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</si>
  <si>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</si>
  <si>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</si>
  <si>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</si>
  <si>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</si>
  <si>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</si>
  <si>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</si>
  <si>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</si>
  <si>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</si>
  <si>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</si>
  <si>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</si>
  <si>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</si>
  <si>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</si>
  <si>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</si>
  <si>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</si>
  <si>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</si>
  <si>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</si>
  <si>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</si>
  <si>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</si>
  <si>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</si>
  <si>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</si>
  <si>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</si>
  <si>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</si>
  <si>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</si>
  <si>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</si>
  <si>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</si>
  <si>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</si>
  <si>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</si>
  <si>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</si>
  <si>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</si>
  <si>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</si>
  <si>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</si>
  <si>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</si>
  <si>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</si>
  <si>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</si>
  <si>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</si>
  <si>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</si>
  <si>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</si>
  <si>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</si>
  <si>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</si>
  <si>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</si>
  <si>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</si>
  <si>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</si>
  <si>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</si>
  <si>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</si>
  <si>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</si>
  <si>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</si>
  <si>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</si>
  <si>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</si>
  <si>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</si>
  <si>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</si>
  <si>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</si>
  <si>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</si>
  <si>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</si>
  <si>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</si>
  <si>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</si>
  <si>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</si>
  <si>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</si>
  <si>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</si>
  <si>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</si>
  <si>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</si>
  <si>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</si>
  <si>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</si>
  <si>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</si>
  <si>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</si>
  <si>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</si>
  <si>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</si>
  <si>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</si>
  <si>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</si>
  <si>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</si>
  <si>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</si>
  <si>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</si>
  <si>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</si>
  <si>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</si>
  <si>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</si>
  <si>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</si>
  <si>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</si>
  <si>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</si>
  <si>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</si>
  <si>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</si>
  <si>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</si>
  <si>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</si>
  <si>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</si>
  <si>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</si>
  <si>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</si>
  <si>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</si>
  <si>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</si>
  <si>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</si>
  <si>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</si>
  <si>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</si>
  <si>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</si>
  <si>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</si>
  <si>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</si>
  <si>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</si>
  <si>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</si>
  <si>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</si>
  <si>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</si>
  <si>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</si>
  <si>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</si>
  <si>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</si>
  <si>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</si>
  <si>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</si>
  <si>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</si>
  <si>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</si>
  <si>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</si>
  <si>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</si>
  <si>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</si>
  <si>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</si>
  <si>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</si>
  <si>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</si>
  <si>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</si>
  <si>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</si>
  <si>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</si>
  <si>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</si>
  <si>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</si>
  <si>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</si>
  <si>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</si>
  <si>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</si>
  <si>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</si>
  <si>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</si>
  <si>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</si>
  <si>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</si>
  <si>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</si>
  <si>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</si>
  <si>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</si>
  <si>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</si>
  <si>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</si>
  <si>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</si>
  <si>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</si>
  <si>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</si>
  <si>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</si>
  <si>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</si>
  <si>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</si>
  <si>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</si>
  <si>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</si>
  <si>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</si>
  <si>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</si>
  <si>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</si>
  <si>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</si>
  <si>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</si>
  <si>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</si>
  <si>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</si>
  <si>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</si>
  <si>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</si>
  <si>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</si>
  <si>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</si>
  <si>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</si>
  <si>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</si>
  <si>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</si>
  <si>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</si>
  <si>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</si>
  <si>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</si>
  <si>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</si>
  <si>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</si>
  <si>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</si>
  <si>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</si>
  <si>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</si>
  <si>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</si>
  <si>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</si>
  <si>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</si>
  <si>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</si>
  <si>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</si>
  <si>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</si>
  <si>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</si>
  <si>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</si>
  <si>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</si>
  <si>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</si>
  <si>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</si>
  <si>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</si>
  <si>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</si>
  <si>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</si>
  <si>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</si>
  <si>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</si>
  <si>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</si>
  <si>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</si>
  <si>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</si>
  <si>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</si>
  <si>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</si>
  <si>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</si>
  <si>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</si>
  <si>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</si>
  <si>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</si>
  <si>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</si>
  <si>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</si>
  <si>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</si>
  <si>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</si>
  <si>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</si>
  <si>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</si>
  <si>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</si>
  <si>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</si>
  <si>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</si>
  <si>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</si>
  <si>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</si>
  <si>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</si>
  <si>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</si>
  <si>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</si>
  <si>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</si>
  <si>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</si>
  <si>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</si>
  <si>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</si>
  <si>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</si>
  <si>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</si>
  <si>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</si>
  <si>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</si>
  <si>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</si>
  <si>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</si>
  <si>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</si>
  <si>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</si>
  <si>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</si>
  <si>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</si>
  <si>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</si>
  <si>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</si>
  <si>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</si>
  <si>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</si>
  <si>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</si>
  <si>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</si>
  <si>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</si>
  <si>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</si>
  <si>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</si>
  <si>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</si>
  <si>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</si>
  <si>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</si>
  <si>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</si>
  <si>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</si>
  <si>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</si>
  <si>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</si>
  <si>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</si>
  <si>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</si>
  <si>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</si>
  <si>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</si>
  <si>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</si>
  <si>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</si>
  <si>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</si>
  <si>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</si>
  <si>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</si>
  <si>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</si>
  <si>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</si>
  <si>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</si>
  <si>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</si>
  <si>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</si>
  <si>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</si>
  <si>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</si>
  <si>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</si>
  <si>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</si>
  <si>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</si>
  <si>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</si>
  <si>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</si>
  <si>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</si>
  <si>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</si>
  <si>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</si>
  <si>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</si>
  <si>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</si>
  <si>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</si>
  <si>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</si>
  <si>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</si>
  <si>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</si>
  <si>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</si>
  <si>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</si>
  <si>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</si>
  <si>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</si>
  <si>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</si>
  <si>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</si>
  <si>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</si>
  <si>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</si>
  <si>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</si>
  <si>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</si>
  <si>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</si>
  <si>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</si>
  <si>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</si>
  <si>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</si>
  <si>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</si>
  <si>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</si>
  <si>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</si>
  <si>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</si>
  <si>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</si>
  <si>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23047</t>
  </si>
  <si>
    <t>MACHELEN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</si>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</sst>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23047</v>
      </c>
      <c r="B6" s="396"/>
      <c r="C6" s="397"/>
    </row>
    <row r="7" spans="1:7" s="394" customFormat="1" ht="15.75" customHeight="1">
      <c r="A7" s="398" t="str">
        <f>txtMunicipality</f>
        <v>MACHELEN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23047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5402</v>
      </c>
      <c r="C9" s="336">
        <v>6055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105</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0</v>
      </c>
    </row>
    <row r="20" spans="1:6">
      <c r="A20" s="1194" t="s">
        <v>10</v>
      </c>
      <c r="B20" s="333">
        <v>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0</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55</v>
      </c>
      <c r="F36" s="333">
        <v>1429942.08987653</v>
      </c>
    </row>
    <row r="37" spans="1:6">
      <c r="A37" s="1194" t="s">
        <v>25</v>
      </c>
      <c r="B37" s="1194" t="s">
        <v>28</v>
      </c>
      <c r="C37" s="333">
        <v>0</v>
      </c>
      <c r="D37" s="333">
        <v>0</v>
      </c>
      <c r="E37" s="333">
        <v>0</v>
      </c>
      <c r="F37" s="333">
        <v>0</v>
      </c>
    </row>
    <row r="38" spans="1:6">
      <c r="A38" s="1194" t="s">
        <v>25</v>
      </c>
      <c r="B38" s="1194" t="s">
        <v>29</v>
      </c>
      <c r="C38" s="333">
        <v>1</v>
      </c>
      <c r="D38" s="333">
        <v>17031.421958939001</v>
      </c>
      <c r="E38" s="333">
        <v>5</v>
      </c>
      <c r="F38" s="333">
        <v>9938183.0624873005</v>
      </c>
    </row>
    <row r="39" spans="1:6">
      <c r="A39" s="1194" t="s">
        <v>30</v>
      </c>
      <c r="B39" s="1194" t="s">
        <v>31</v>
      </c>
      <c r="C39" s="333">
        <v>4522</v>
      </c>
      <c r="D39" s="333">
        <v>71023965.497678801</v>
      </c>
      <c r="E39" s="333">
        <v>5400</v>
      </c>
      <c r="F39" s="333">
        <v>19718809.8900747</v>
      </c>
    </row>
    <row r="40" spans="1:6">
      <c r="A40" s="1194" t="s">
        <v>30</v>
      </c>
      <c r="B40" s="1194" t="s">
        <v>29</v>
      </c>
      <c r="C40" s="333">
        <v>0</v>
      </c>
      <c r="D40" s="333">
        <v>0</v>
      </c>
      <c r="E40" s="333">
        <v>0</v>
      </c>
      <c r="F40" s="333">
        <v>0</v>
      </c>
    </row>
    <row r="41" spans="1:6">
      <c r="A41" s="1194" t="s">
        <v>32</v>
      </c>
      <c r="B41" s="1194" t="s">
        <v>33</v>
      </c>
      <c r="C41" s="333">
        <v>24</v>
      </c>
      <c r="D41" s="333">
        <v>7367176.6436637901</v>
      </c>
      <c r="E41" s="333">
        <v>68</v>
      </c>
      <c r="F41" s="333">
        <v>13031360.3194251</v>
      </c>
    </row>
    <row r="42" spans="1:6">
      <c r="A42" s="1194" t="s">
        <v>32</v>
      </c>
      <c r="B42" s="1194" t="s">
        <v>34</v>
      </c>
      <c r="C42" s="333">
        <v>0</v>
      </c>
      <c r="D42" s="333">
        <v>0</v>
      </c>
      <c r="E42" s="333">
        <v>27</v>
      </c>
      <c r="F42" s="333">
        <v>5401186.5655601602</v>
      </c>
    </row>
    <row r="43" spans="1:6">
      <c r="A43" s="1194" t="s">
        <v>32</v>
      </c>
      <c r="B43" s="1194" t="s">
        <v>35</v>
      </c>
      <c r="C43" s="333">
        <v>0</v>
      </c>
      <c r="D43" s="333">
        <v>0</v>
      </c>
      <c r="E43" s="333">
        <v>0</v>
      </c>
      <c r="F43" s="333">
        <v>0</v>
      </c>
    </row>
    <row r="44" spans="1:6">
      <c r="A44" s="1194" t="s">
        <v>32</v>
      </c>
      <c r="B44" s="1194" t="s">
        <v>36</v>
      </c>
      <c r="C44" s="333">
        <v>0</v>
      </c>
      <c r="D44" s="333">
        <v>0</v>
      </c>
      <c r="E44" s="333">
        <v>14</v>
      </c>
      <c r="F44" s="333">
        <v>227903.44586594199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24</v>
      </c>
      <c r="D48" s="333">
        <v>3377340.9016105798</v>
      </c>
      <c r="E48" s="333">
        <v>32</v>
      </c>
      <c r="F48" s="333">
        <v>6844586.2641660003</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0</v>
      </c>
      <c r="F51" s="333">
        <v>0</v>
      </c>
    </row>
    <row r="52" spans="1:6">
      <c r="A52" s="1194" t="s">
        <v>42</v>
      </c>
      <c r="B52" s="1194" t="s">
        <v>29</v>
      </c>
      <c r="C52" s="333">
        <v>0</v>
      </c>
      <c r="D52" s="333">
        <v>0</v>
      </c>
      <c r="E52" s="333">
        <v>3</v>
      </c>
      <c r="F52" s="333">
        <v>9774.5103819495998</v>
      </c>
    </row>
    <row r="53" spans="1:6">
      <c r="A53" s="1194" t="s">
        <v>44</v>
      </c>
      <c r="B53" s="1194" t="s">
        <v>45</v>
      </c>
      <c r="C53" s="333">
        <v>176</v>
      </c>
      <c r="D53" s="333">
        <v>5623990.4386484399</v>
      </c>
      <c r="E53" s="333">
        <v>244</v>
      </c>
      <c r="F53" s="333">
        <v>3056984.7109634099</v>
      </c>
    </row>
    <row r="54" spans="1:6">
      <c r="A54" s="1194" t="s">
        <v>46</v>
      </c>
      <c r="B54" s="1194" t="s">
        <v>47</v>
      </c>
      <c r="C54" s="333">
        <v>0</v>
      </c>
      <c r="D54" s="333">
        <v>0</v>
      </c>
      <c r="E54" s="333">
        <v>2</v>
      </c>
      <c r="F54" s="333">
        <v>1492616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10</v>
      </c>
      <c r="D57" s="333">
        <v>287304.00748233899</v>
      </c>
      <c r="E57" s="333">
        <v>21</v>
      </c>
      <c r="F57" s="333">
        <v>618839.43308172596</v>
      </c>
    </row>
    <row r="58" spans="1:6">
      <c r="A58" s="1194" t="s">
        <v>49</v>
      </c>
      <c r="B58" s="1194" t="s">
        <v>51</v>
      </c>
      <c r="C58" s="333">
        <v>0</v>
      </c>
      <c r="D58" s="333">
        <v>0</v>
      </c>
      <c r="E58" s="333">
        <v>0</v>
      </c>
      <c r="F58" s="333">
        <v>0</v>
      </c>
    </row>
    <row r="59" spans="1:6">
      <c r="A59" s="1194" t="s">
        <v>49</v>
      </c>
      <c r="B59" s="1194" t="s">
        <v>52</v>
      </c>
      <c r="C59" s="333">
        <v>17</v>
      </c>
      <c r="D59" s="333">
        <v>5102461.8327139197</v>
      </c>
      <c r="E59" s="333">
        <v>70</v>
      </c>
      <c r="F59" s="333">
        <v>9673670.43792901</v>
      </c>
    </row>
    <row r="60" spans="1:6">
      <c r="A60" s="1194" t="s">
        <v>49</v>
      </c>
      <c r="B60" s="1194" t="s">
        <v>53</v>
      </c>
      <c r="C60" s="333">
        <v>43</v>
      </c>
      <c r="D60" s="333">
        <v>9847072.0208819807</v>
      </c>
      <c r="E60" s="333">
        <v>46</v>
      </c>
      <c r="F60" s="333">
        <v>8724150.6700190604</v>
      </c>
    </row>
    <row r="61" spans="1:6">
      <c r="A61" s="1194" t="s">
        <v>49</v>
      </c>
      <c r="B61" s="1194" t="s">
        <v>54</v>
      </c>
      <c r="C61" s="333">
        <v>156</v>
      </c>
      <c r="D61" s="333">
        <v>37317268.623404101</v>
      </c>
      <c r="E61" s="333">
        <v>448</v>
      </c>
      <c r="F61" s="333">
        <v>130124269.77371299</v>
      </c>
    </row>
    <row r="62" spans="1:6">
      <c r="A62" s="1194" t="s">
        <v>49</v>
      </c>
      <c r="B62" s="1194" t="s">
        <v>55</v>
      </c>
      <c r="C62" s="333">
        <v>0</v>
      </c>
      <c r="D62" s="333">
        <v>0</v>
      </c>
      <c r="E62" s="333">
        <v>11</v>
      </c>
      <c r="F62" s="333">
        <v>102478.356613543</v>
      </c>
    </row>
    <row r="63" spans="1:6">
      <c r="A63" s="1194" t="s">
        <v>49</v>
      </c>
      <c r="B63" s="1194" t="s">
        <v>29</v>
      </c>
      <c r="C63" s="333">
        <v>129</v>
      </c>
      <c r="D63" s="333">
        <v>30677828.065885499</v>
      </c>
      <c r="E63" s="333">
        <v>170</v>
      </c>
      <c r="F63" s="333">
        <v>19316594.006291699</v>
      </c>
    </row>
    <row r="64" spans="1:6">
      <c r="A64" s="1194" t="s">
        <v>56</v>
      </c>
      <c r="B64" s="1194" t="s">
        <v>57</v>
      </c>
      <c r="C64" s="333">
        <v>3</v>
      </c>
      <c r="D64" s="333">
        <v>136129.142420091</v>
      </c>
      <c r="E64" s="333">
        <v>0</v>
      </c>
      <c r="F64" s="333">
        <v>0</v>
      </c>
    </row>
    <row r="65" spans="1:6">
      <c r="A65" s="1194" t="s">
        <v>56</v>
      </c>
      <c r="B65" s="1194" t="s">
        <v>29</v>
      </c>
      <c r="C65" s="333">
        <v>4</v>
      </c>
      <c r="D65" s="333">
        <v>931694.782668542</v>
      </c>
      <c r="E65" s="333">
        <v>3</v>
      </c>
      <c r="F65" s="333">
        <v>260050.030727465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684773.22312702297</v>
      </c>
      <c r="E68" s="333">
        <v>13</v>
      </c>
      <c r="F68" s="333">
        <v>227450.706303585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50100724</v>
      </c>
      <c r="E73" s="333">
        <v>82650346.676154256</v>
      </c>
      <c r="F73" s="333">
        <v>63065453</v>
      </c>
    </row>
    <row r="74" spans="1:6">
      <c r="A74" s="1194" t="s">
        <v>64</v>
      </c>
      <c r="B74" s="1194" t="s">
        <v>775</v>
      </c>
      <c r="C74" s="1205" t="s">
        <v>776</v>
      </c>
      <c r="D74" s="333">
        <v>2623659.0063903648</v>
      </c>
      <c r="E74" s="333">
        <v>5943563.3857237352</v>
      </c>
      <c r="F74" s="333">
        <v>4467892.7395300828</v>
      </c>
    </row>
    <row r="75" spans="1:6">
      <c r="A75" s="1194" t="s">
        <v>65</v>
      </c>
      <c r="B75" s="1194" t="s">
        <v>773</v>
      </c>
      <c r="C75" s="1205" t="s">
        <v>777</v>
      </c>
      <c r="D75" s="333">
        <v>26560249</v>
      </c>
      <c r="E75" s="333">
        <v>40432015.064862676</v>
      </c>
      <c r="F75" s="333">
        <v>31560599</v>
      </c>
    </row>
    <row r="76" spans="1:6">
      <c r="A76" s="1194" t="s">
        <v>65</v>
      </c>
      <c r="B76" s="1194" t="s">
        <v>775</v>
      </c>
      <c r="C76" s="1205" t="s">
        <v>778</v>
      </c>
      <c r="D76" s="333">
        <v>947693.00639036507</v>
      </c>
      <c r="E76" s="333">
        <v>2151995.0143781668</v>
      </c>
      <c r="F76" s="333">
        <v>1559382.7395300833</v>
      </c>
    </row>
    <row r="77" spans="1:6">
      <c r="A77" s="1194" t="s">
        <v>66</v>
      </c>
      <c r="B77" s="1194" t="s">
        <v>773</v>
      </c>
      <c r="C77" s="1205" t="s">
        <v>779</v>
      </c>
      <c r="D77" s="333">
        <v>343772040</v>
      </c>
      <c r="E77" s="333">
        <v>431016176.88835114</v>
      </c>
      <c r="F77" s="333">
        <v>384270844</v>
      </c>
    </row>
    <row r="78" spans="1:6">
      <c r="A78" s="1190" t="s">
        <v>66</v>
      </c>
      <c r="B78" s="1190" t="s">
        <v>775</v>
      </c>
      <c r="C78" s="1190" t="s">
        <v>780</v>
      </c>
      <c r="D78" s="1190">
        <v>36726932</v>
      </c>
      <c r="E78" s="1190">
        <v>44298504.344331749</v>
      </c>
      <c r="F78" s="336">
        <v>41589608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1244141.9872192699</v>
      </c>
      <c r="C83" s="333">
        <v>1145078.782167573</v>
      </c>
      <c r="D83" s="333">
        <v>1151964.5209398335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446.16074432662384</v>
      </c>
    </row>
    <row r="92" spans="1:6">
      <c r="A92" s="1190" t="s">
        <v>69</v>
      </c>
      <c r="B92" s="336">
        <v>143.01699839564904</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3462</v>
      </c>
    </row>
    <row r="98" spans="1:6">
      <c r="A98" s="1194" t="s">
        <v>72</v>
      </c>
      <c r="B98" s="333">
        <v>6</v>
      </c>
    </row>
    <row r="99" spans="1:6">
      <c r="A99" s="1194" t="s">
        <v>73</v>
      </c>
      <c r="B99" s="333">
        <v>10</v>
      </c>
    </row>
    <row r="100" spans="1:6">
      <c r="A100" s="1194" t="s">
        <v>74</v>
      </c>
      <c r="B100" s="333">
        <v>268</v>
      </c>
    </row>
    <row r="101" spans="1:6">
      <c r="A101" s="1194" t="s">
        <v>75</v>
      </c>
      <c r="B101" s="333">
        <v>18</v>
      </c>
    </row>
    <row r="102" spans="1:6">
      <c r="A102" s="1194" t="s">
        <v>76</v>
      </c>
      <c r="B102" s="333">
        <v>86</v>
      </c>
    </row>
    <row r="103" spans="1:6">
      <c r="A103" s="1194" t="s">
        <v>77</v>
      </c>
      <c r="B103" s="333">
        <v>66</v>
      </c>
    </row>
    <row r="104" spans="1:6">
      <c r="A104" s="1194" t="s">
        <v>78</v>
      </c>
      <c r="B104" s="333">
        <v>830</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11</v>
      </c>
    </row>
    <row r="130" spans="1:6">
      <c r="A130" s="1194" t="s">
        <v>296</v>
      </c>
      <c r="B130" s="333">
        <v>1</v>
      </c>
    </row>
    <row r="131" spans="1:6">
      <c r="A131" s="1194" t="s">
        <v>297</v>
      </c>
      <c r="B131" s="333">
        <v>17</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215735.75716652971</v>
      </c>
      <c r="C3" s="43" t="s">
        <v>171</v>
      </c>
      <c r="D3" s="43"/>
      <c r="E3" s="156"/>
      <c r="F3" s="43"/>
      <c r="G3" s="43"/>
      <c r="H3" s="43"/>
      <c r="I3" s="43"/>
      <c r="J3" s="43"/>
      <c r="K3" s="96"/>
    </row>
    <row r="4" spans="1:11">
      <c r="A4" s="364" t="s">
        <v>172</v>
      </c>
      <c r="B4" s="49">
        <f>IF(ISERROR('SEAP template'!B69),0,'SEAP template'!B69)</f>
        <v>589.17774272227291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0.22039644552738138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1492.616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1492.616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0.22039644552738138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328.96726093729791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19718.809890074699</v>
      </c>
      <c r="C5" s="17">
        <f>IF(ISERROR('Eigen informatie GS &amp; warmtenet'!B57),0,'Eigen informatie GS &amp; warmtenet'!B57)</f>
        <v>0</v>
      </c>
      <c r="D5" s="30">
        <f>(SUM(HH_hh_gas_kWh,HH_rest_gas_kWh)/1000)*0.902</f>
        <v>64063.616878906279</v>
      </c>
      <c r="E5" s="17">
        <f>B46*B57</f>
        <v>610.83614967090284</v>
      </c>
      <c r="F5" s="17">
        <f>B51*B62</f>
        <v>0</v>
      </c>
      <c r="G5" s="18"/>
      <c r="H5" s="17"/>
      <c r="I5" s="17"/>
      <c r="J5" s="17">
        <f>B50*B61+C50*C61</f>
        <v>0</v>
      </c>
      <c r="K5" s="17"/>
      <c r="L5" s="17"/>
      <c r="M5" s="17"/>
      <c r="N5" s="17">
        <f>B48*B59+C48*C59</f>
        <v>3181.2451457151305</v>
      </c>
      <c r="O5" s="17">
        <f>B69*B70*B71</f>
        <v>18.760000000000002</v>
      </c>
      <c r="P5" s="17">
        <f>B77*B78*B79/1000-B77*B78*B79/1000/B80</f>
        <v>19.066666666666666</v>
      </c>
    </row>
    <row r="6" spans="1:16">
      <c r="A6" s="16" t="s">
        <v>633</v>
      </c>
      <c r="B6" s="830">
        <f>kWh_PV_kleiner_dan_10kW</f>
        <v>446.16074432662384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20164.970634401321</v>
      </c>
      <c r="C8" s="21">
        <f>C5</f>
        <v>0</v>
      </c>
      <c r="D8" s="21">
        <f>D5</f>
        <v>64063.616878906279</v>
      </c>
      <c r="E8" s="21">
        <f>E5</f>
        <v>610.83614967090284</v>
      </c>
      <c r="F8" s="21">
        <f>F5</f>
        <v>0</v>
      </c>
      <c r="G8" s="21"/>
      <c r="H8" s="21"/>
      <c r="I8" s="21"/>
      <c r="J8" s="21">
        <f>J5</f>
        <v>0</v>
      </c>
      <c r="K8" s="21"/>
      <c r="L8" s="21">
        <f>L5</f>
        <v>0</v>
      </c>
      <c r="M8" s="21">
        <f>M5</f>
        <v>0</v>
      </c>
      <c r="N8" s="21">
        <f>N5</f>
        <v>3181.2451457151305</v>
      </c>
      <c r="O8" s="21">
        <f>O5</f>
        <v>18.760000000000002</v>
      </c>
      <c r="P8" s="21">
        <f>P5</f>
        <v>19.066666666666666</v>
      </c>
    </row>
    <row r="9" spans="1:16">
      <c r="B9" s="19"/>
      <c r="C9" s="19"/>
      <c r="D9" s="260"/>
      <c r="E9" s="19"/>
      <c r="F9" s="19"/>
      <c r="G9" s="19"/>
      <c r="H9" s="19"/>
      <c r="I9" s="19"/>
      <c r="J9" s="19"/>
      <c r="K9" s="19"/>
      <c r="L9" s="19"/>
      <c r="M9" s="19"/>
      <c r="N9" s="19"/>
      <c r="O9" s="19"/>
      <c r="P9" s="19"/>
    </row>
    <row r="10" spans="1:16">
      <c r="A10" s="24" t="s">
        <v>215</v>
      </c>
      <c r="B10" s="25">
        <f ca="1">'EF ele_warmte'!B12</f>
        <v>0.22039644552738138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4444.287851986076</v>
      </c>
      <c r="C12" s="23">
        <f ca="1">C10*C8</f>
        <v>0</v>
      </c>
      <c r="D12" s="23">
        <f>D8*D10</f>
        <v>12940.850609539069</v>
      </c>
      <c r="E12" s="23">
        <f>E10*E8</f>
        <v>138.65980597529494</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3462</v>
      </c>
      <c r="C18" s="167" t="s">
        <v>111</v>
      </c>
      <c r="D18" s="229"/>
      <c r="E18" s="15"/>
    </row>
    <row r="19" spans="1:7">
      <c r="A19" s="172" t="s">
        <v>72</v>
      </c>
      <c r="B19" s="37">
        <f>aantalw2001_ander</f>
        <v>6</v>
      </c>
      <c r="C19" s="167" t="s">
        <v>111</v>
      </c>
      <c r="D19" s="230"/>
      <c r="E19" s="15"/>
    </row>
    <row r="20" spans="1:7">
      <c r="A20" s="172" t="s">
        <v>73</v>
      </c>
      <c r="B20" s="37">
        <f>aantalw2001_propaan</f>
        <v>10</v>
      </c>
      <c r="C20" s="168">
        <f>IF(ISERROR(B20/SUM($B$20,$B$21,$B$22)*100),0,B20/SUM($B$20,$B$21,$B$22)*100)</f>
        <v>3.3783783783783785</v>
      </c>
      <c r="D20" s="230"/>
      <c r="E20" s="15"/>
    </row>
    <row r="21" spans="1:7">
      <c r="A21" s="172" t="s">
        <v>74</v>
      </c>
      <c r="B21" s="37">
        <f>aantalw2001_elektriciteit</f>
        <v>268</v>
      </c>
      <c r="C21" s="168">
        <f>IF(ISERROR(B21/SUM($B$20,$B$21,$B$22)*100),0,B21/SUM($B$20,$B$21,$B$22)*100)</f>
        <v>90.540540540540533</v>
      </c>
      <c r="D21" s="230"/>
      <c r="E21" s="15"/>
    </row>
    <row r="22" spans="1:7">
      <c r="A22" s="172" t="s">
        <v>75</v>
      </c>
      <c r="B22" s="37">
        <f>aantalw2001_hout</f>
        <v>18</v>
      </c>
      <c r="C22" s="168">
        <f>IF(ISERROR(B22/SUM($B$20,$B$21,$B$22)*100),0,B22/SUM($B$20,$B$21,$B$22)*100)</f>
        <v>6.0810810810810816</v>
      </c>
      <c r="D22" s="230"/>
      <c r="E22" s="15"/>
    </row>
    <row r="23" spans="1:7">
      <c r="A23" s="172" t="s">
        <v>76</v>
      </c>
      <c r="B23" s="37">
        <f>aantalw2001_niet_gespec</f>
        <v>86</v>
      </c>
      <c r="C23" s="167" t="s">
        <v>111</v>
      </c>
      <c r="D23" s="229"/>
      <c r="E23" s="15"/>
    </row>
    <row r="24" spans="1:7">
      <c r="A24" s="172" t="s">
        <v>77</v>
      </c>
      <c r="B24" s="37">
        <f>aantalw2001_steenkool</f>
        <v>66</v>
      </c>
      <c r="C24" s="167" t="s">
        <v>111</v>
      </c>
      <c r="D24" s="230"/>
      <c r="E24" s="15"/>
    </row>
    <row r="25" spans="1:7">
      <c r="A25" s="172" t="s">
        <v>78</v>
      </c>
      <c r="B25" s="37">
        <f>aantalw2001_stookolie</f>
        <v>830</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5402</v>
      </c>
      <c r="C28" s="36"/>
      <c r="D28" s="229"/>
    </row>
    <row r="29" spans="1:7" s="15" customFormat="1">
      <c r="A29" s="231" t="s">
        <v>714</v>
      </c>
      <c r="B29" s="37">
        <f>SUM(HH_hh_gas_aantal,HH_rest_gas_aantal)</f>
        <v>4522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4522</v>
      </c>
      <c r="C32" s="168">
        <f>IF(ISERROR(B32/SUM($B$32,$B$34,$B$35,$B$36,$B$38,$B$39)*100),0,B32/SUM($B$32,$B$34,$B$35,$B$36,$B$38,$B$39)*100)</f>
        <v>83.725236067394931</v>
      </c>
      <c r="D32" s="234"/>
      <c r="G32" s="15"/>
    </row>
    <row r="33" spans="1:7">
      <c r="A33" s="172" t="s">
        <v>72</v>
      </c>
      <c r="B33" s="34" t="s">
        <v>111</v>
      </c>
      <c r="C33" s="168"/>
      <c r="D33" s="234"/>
      <c r="G33" s="15"/>
    </row>
    <row r="34" spans="1:7">
      <c r="A34" s="172" t="s">
        <v>73</v>
      </c>
      <c r="B34" s="33">
        <f>IF((($B$28-$B$32-$B$39-$B$77-$B$38)*C20/100)&lt;0,0,($B$28-$B$32-$B$39-$B$77-$B$38)*C20/100)</f>
        <v>29.695945945945947</v>
      </c>
      <c r="C34" s="168">
        <f>IF(ISERROR(B34/SUM($B$32,$B$34,$B$35,$B$36,$B$38,$B$39)*100),0,B34/SUM($B$32,$B$34,$B$35,$B$36,$B$38,$B$39)*100)</f>
        <v>0.54982310583125249</v>
      </c>
      <c r="D34" s="234"/>
      <c r="G34" s="15"/>
    </row>
    <row r="35" spans="1:7">
      <c r="A35" s="172" t="s">
        <v>74</v>
      </c>
      <c r="B35" s="33">
        <f>IF((($B$28-$B$32-$B$39-$B$77-$B$38)*C21/100)&lt;0,0,($B$28-$B$32-$B$39-$B$77-$B$38)*C21/100)</f>
        <v>795.85135135135135</v>
      </c>
      <c r="C35" s="168">
        <f>IF(ISERROR(B35/SUM($B$32,$B$34,$B$35,$B$36,$B$38,$B$39)*100),0,B35/SUM($B$32,$B$34,$B$35,$B$36,$B$38,$B$39)*100)</f>
        <v>14.735259236277567</v>
      </c>
      <c r="D35" s="234"/>
      <c r="G35" s="15"/>
    </row>
    <row r="36" spans="1:7">
      <c r="A36" s="172" t="s">
        <v>75</v>
      </c>
      <c r="B36" s="33">
        <f>IF((($B$28-$B$32-$B$39-$B$77-$B$38)*C22/100)&lt;0,0,($B$28-$B$32-$B$39-$B$77-$B$38)*C22/100)</f>
        <v>53.452702702702709</v>
      </c>
      <c r="C36" s="168">
        <f>IF(ISERROR(B36/SUM($B$32,$B$34,$B$35,$B$36,$B$38,$B$39)*100),0,B36/SUM($B$32,$B$34,$B$35,$B$36,$B$38,$B$39)*100)</f>
        <v>0.98968159049625459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4522</v>
      </c>
      <c r="C44" s="34" t="s">
        <v>111</v>
      </c>
      <c r="D44" s="175"/>
    </row>
    <row r="45" spans="1:7">
      <c r="A45" s="172" t="s">
        <v>72</v>
      </c>
      <c r="B45" s="33" t="str">
        <f t="shared" si="0"/>
        <v>-</v>
      </c>
      <c r="C45" s="34" t="s">
        <v>111</v>
      </c>
      <c r="D45" s="175"/>
    </row>
    <row r="46" spans="1:7">
      <c r="A46" s="172" t="s">
        <v>73</v>
      </c>
      <c r="B46" s="33">
        <f t="shared" si="0"/>
        <v>29.695945945945947</v>
      </c>
      <c r="C46" s="34" t="s">
        <v>111</v>
      </c>
      <c r="D46" s="175"/>
    </row>
    <row r="47" spans="1:7">
      <c r="A47" s="172" t="s">
        <v>74</v>
      </c>
      <c r="B47" s="33">
        <f t="shared" si="0"/>
        <v>795.85135135135135</v>
      </c>
      <c r="C47" s="34" t="s">
        <v>111</v>
      </c>
      <c r="D47" s="175"/>
    </row>
    <row r="48" spans="1:7">
      <c r="A48" s="172" t="s">
        <v>75</v>
      </c>
      <c r="B48" s="33">
        <f t="shared" si="0"/>
        <v>53.452702702702709</v>
      </c>
      <c r="C48" s="33">
        <f>B48*10</f>
        <v>534.52702702702709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168560.00267764807</v>
      </c>
      <c r="C5" s="17">
        <f>IF(ISERROR('Eigen informatie GS &amp; warmtenet'!B58),0,'Eigen informatie GS &amp; warmtenet'!B58)</f>
        <v>0</v>
      </c>
      <c r="D5" s="30">
        <f>SUM(D6:D12)</f>
        <v>75075.204964431789</v>
      </c>
      <c r="E5" s="17">
        <f>SUM(E6:E12)</f>
        <v>5514.8176427871513</v>
      </c>
      <c r="F5" s="17">
        <f>SUM(F6:F12)</f>
        <v>26790.687589565357</v>
      </c>
      <c r="G5" s="18"/>
      <c r="H5" s="17"/>
      <c r="I5" s="17"/>
      <c r="J5" s="17">
        <f>SUM(J6:J12)</f>
        <v>0</v>
      </c>
      <c r="K5" s="17"/>
      <c r="L5" s="17"/>
      <c r="M5" s="17"/>
      <c r="N5" s="17">
        <f>SUM(N6:N12)</f>
        <v>1701.1467510794048</v>
      </c>
      <c r="O5" s="17">
        <f>B38*B39*B40</f>
        <v>1.5633333333333335</v>
      </c>
      <c r="P5" s="17">
        <f>B46*B47*B48/1000-B46*B47*B48/1000/B49</f>
        <v>324.13333333333333</v>
      </c>
      <c r="R5" s="32"/>
    </row>
    <row r="6" spans="1:18">
      <c r="A6" s="32" t="s">
        <v>54</v>
      </c>
      <c r="B6" s="37">
        <f>B26</f>
        <v>130124.26977371299</v>
      </c>
      <c r="C6" s="33"/>
      <c r="D6" s="37">
        <f>IF(ISERROR(TER_kantoor_gas_kWh/1000),0,TER_kantoor_gas_kWh/1000)*0.902</f>
        <v>33660.1762983105</v>
      </c>
      <c r="E6" s="33">
        <f>$C$26*'E Balans VL '!I12/100/3.6*1000000</f>
        <v>4554.8613179883396</v>
      </c>
      <c r="F6" s="33">
        <f>$C$26*('E Balans VL '!L12+'E Balans VL '!N12)/100/3.6*1000000</f>
        <v>19729.633038390781</v>
      </c>
      <c r="G6" s="34"/>
      <c r="H6" s="33"/>
      <c r="I6" s="33"/>
      <c r="J6" s="33">
        <f>$C$26*('E Balans VL '!D12+'E Balans VL '!E12)/100/3.6*1000000</f>
        <v>0</v>
      </c>
      <c r="K6" s="33"/>
      <c r="L6" s="33"/>
      <c r="M6" s="33"/>
      <c r="N6" s="33">
        <f>$C$26*'E Balans VL '!Y12/100/3.6*1000000</f>
        <v>1005.8198775752408</v>
      </c>
      <c r="O6" s="33"/>
      <c r="P6" s="33"/>
      <c r="R6" s="32"/>
    </row>
    <row r="7" spans="1:18">
      <c r="A7" s="32" t="s">
        <v>53</v>
      </c>
      <c r="B7" s="37">
        <f t="shared" ref="B7:B12" si="0">B27</f>
        <v>8724.1506700190603</v>
      </c>
      <c r="C7" s="33"/>
      <c r="D7" s="37">
        <f>IF(ISERROR(TER_horeca_gas_kWh/1000),0,TER_horeca_gas_kWh/1000)*0.902</f>
        <v>8882.0589628355465</v>
      </c>
      <c r="E7" s="33">
        <f>$C$27*'E Balans VL '!I9/100/3.6*1000000</f>
        <v>492.15810074148038</v>
      </c>
      <c r="F7" s="33">
        <f>$C$27*('E Balans VL '!L9+'E Balans VL '!N9)/100/3.6*1000000</f>
        <v>1519.795326787015</v>
      </c>
      <c r="G7" s="34"/>
      <c r="H7" s="33"/>
      <c r="I7" s="33"/>
      <c r="J7" s="33">
        <f>$C$27*('E Balans VL '!D9+'E Balans VL '!E9)/100/3.6*1000000</f>
        <v>0</v>
      </c>
      <c r="K7" s="33"/>
      <c r="L7" s="33"/>
      <c r="M7" s="33"/>
      <c r="N7" s="33">
        <f>$C$27*'E Balans VL '!Y9/100/3.6*1000000</f>
        <v>0</v>
      </c>
      <c r="O7" s="33"/>
      <c r="P7" s="33"/>
      <c r="R7" s="32"/>
    </row>
    <row r="8" spans="1:18">
      <c r="A8" s="6" t="s">
        <v>52</v>
      </c>
      <c r="B8" s="37">
        <f t="shared" si="0"/>
        <v>9673.6704379290095</v>
      </c>
      <c r="C8" s="33"/>
      <c r="D8" s="37">
        <f>IF(ISERROR(TER_handel_gas_kWh/1000),0,TER_handel_gas_kWh/1000)*0.902</f>
        <v>4602.4205731079555</v>
      </c>
      <c r="E8" s="33">
        <f>$C$28*'E Balans VL '!I13/100/3.6*1000000</f>
        <v>49.663641197665392</v>
      </c>
      <c r="F8" s="33">
        <f>$C$28*('E Balans VL '!L13+'E Balans VL '!N13)/100/3.6*1000000</f>
        <v>1491.5305079762568</v>
      </c>
      <c r="G8" s="34"/>
      <c r="H8" s="33"/>
      <c r="I8" s="33"/>
      <c r="J8" s="33">
        <f>$C$28*('E Balans VL '!D13+'E Balans VL '!E13)/100/3.6*1000000</f>
        <v>0</v>
      </c>
      <c r="K8" s="33"/>
      <c r="L8" s="33"/>
      <c r="M8" s="33"/>
      <c r="N8" s="33">
        <f>$C$28*'E Balans VL '!Y13/100/3.6*1000000</f>
        <v>4.5244937468615136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618.83943308172593</v>
      </c>
      <c r="C10" s="33"/>
      <c r="D10" s="37">
        <f>IF(ISERROR(TER_ander_gas_kWh/1000),0,TER_ander_gas_kWh/1000)*0.902</f>
        <v>259.14821474906978</v>
      </c>
      <c r="E10" s="33">
        <f>$C$30*'E Balans VL '!I14/100/3.6*1000000</f>
        <v>3.7724604525043053</v>
      </c>
      <c r="F10" s="33">
        <f>$C$30*('E Balans VL '!L14+'E Balans VL '!N14)/100/3.6*1000000</f>
        <v>164.06281084859521</v>
      </c>
      <c r="G10" s="34"/>
      <c r="H10" s="33"/>
      <c r="I10" s="33"/>
      <c r="J10" s="33">
        <f>$C$30*('E Balans VL '!D14+'E Balans VL '!E14)/100/3.6*1000000</f>
        <v>0</v>
      </c>
      <c r="K10" s="33"/>
      <c r="L10" s="33"/>
      <c r="M10" s="33"/>
      <c r="N10" s="33">
        <f>$C$30*'E Balans VL '!Y14/100/3.6*1000000</f>
        <v>142.62911718943454</v>
      </c>
      <c r="O10" s="33"/>
      <c r="P10" s="33"/>
      <c r="R10" s="32"/>
    </row>
    <row r="11" spans="1:18">
      <c r="A11" s="32" t="s">
        <v>55</v>
      </c>
      <c r="B11" s="37">
        <f t="shared" si="0"/>
        <v>102.478356613543</v>
      </c>
      <c r="C11" s="33"/>
      <c r="D11" s="37">
        <f>IF(ISERROR(TER_onderwijs_gas_kWh/1000),0,TER_onderwijs_gas_kWh/1000)*0.902</f>
        <v>0</v>
      </c>
      <c r="E11" s="33">
        <f>$C$31*'E Balans VL '!I11/100/3.6*1000000</f>
        <v>7.8093843843921026E-2</v>
      </c>
      <c r="F11" s="33">
        <f>$C$31*('E Balans VL '!L11+'E Balans VL '!N11)/100/3.6*1000000</f>
        <v>74.158954893173672</v>
      </c>
      <c r="G11" s="34"/>
      <c r="H11" s="33"/>
      <c r="I11" s="33"/>
      <c r="J11" s="33">
        <f>$C$31*('E Balans VL '!D11+'E Balans VL '!E11)/100/3.6*1000000</f>
        <v>0</v>
      </c>
      <c r="K11" s="33"/>
      <c r="L11" s="33"/>
      <c r="M11" s="33"/>
      <c r="N11" s="33">
        <f>$C$31*'E Balans VL '!Y11/100/3.6*1000000</f>
        <v>0.30202820882105164</v>
      </c>
      <c r="O11" s="33"/>
      <c r="P11" s="33"/>
      <c r="R11" s="32"/>
    </row>
    <row r="12" spans="1:18">
      <c r="A12" s="32" t="s">
        <v>261</v>
      </c>
      <c r="B12" s="37">
        <f t="shared" si="0"/>
        <v>19316.5940062917</v>
      </c>
      <c r="C12" s="33"/>
      <c r="D12" s="37">
        <f>IF(ISERROR(TER_rest_gas_kWh/1000),0,TER_rest_gas_kWh/1000)*0.902</f>
        <v>27671.400915428723</v>
      </c>
      <c r="E12" s="33">
        <f>$C$32*'E Balans VL '!I8/100/3.6*1000000</f>
        <v>414.28402856331707</v>
      </c>
      <c r="F12" s="33">
        <f>$C$32*('E Balans VL '!L8+'E Balans VL '!N8)/100/3.6*1000000</f>
        <v>3811.5069506695349</v>
      </c>
      <c r="G12" s="34"/>
      <c r="H12" s="33"/>
      <c r="I12" s="33"/>
      <c r="J12" s="33">
        <f>$C$32*('E Balans VL '!D8+'E Balans VL '!E8)/100/3.6*1000000</f>
        <v>0</v>
      </c>
      <c r="K12" s="33"/>
      <c r="L12" s="33"/>
      <c r="M12" s="33"/>
      <c r="N12" s="33">
        <f>$C$32*'E Balans VL '!Y8/100/3.6*1000000</f>
        <v>547.87123435904709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168560.00267764807</v>
      </c>
      <c r="C16" s="21">
        <f ca="1">C5+C13+C14</f>
        <v>0</v>
      </c>
      <c r="D16" s="21">
        <f t="shared" ref="D16:N16" ca="1" si="1">MAX((D5+D13+D14),0)</f>
        <v>75075.204964431789</v>
      </c>
      <c r="E16" s="21">
        <f t="shared" si="1"/>
        <v>5514.8176427871513</v>
      </c>
      <c r="F16" s="21">
        <f t="shared" ca="1" si="1"/>
        <v>26790.687589565357</v>
      </c>
      <c r="G16" s="21">
        <f t="shared" si="1"/>
        <v>0</v>
      </c>
      <c r="H16" s="21">
        <f t="shared" si="1"/>
        <v>0</v>
      </c>
      <c r="I16" s="21">
        <f t="shared" si="1"/>
        <v>0</v>
      </c>
      <c r="J16" s="21">
        <f t="shared" si="1"/>
        <v>0</v>
      </c>
      <c r="K16" s="21">
        <f t="shared" si="1"/>
        <v>0</v>
      </c>
      <c r="L16" s="21">
        <f t="shared" ca="1" si="1"/>
        <v>0</v>
      </c>
      <c r="M16" s="21">
        <f t="shared" si="1"/>
        <v>0</v>
      </c>
      <c r="N16" s="21">
        <f t="shared" ca="1" si="1"/>
        <v>1701.1467510794048</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0.22039644552738138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37150.025448239525</v>
      </c>
      <c r="C20" s="23">
        <f t="shared" ref="C20:P20" ca="1" si="2">C16*C18</f>
        <v>0</v>
      </c>
      <c r="D20" s="23">
        <f t="shared" ca="1" si="2"/>
        <v>15165.191402815222</v>
      </c>
      <c r="E20" s="23">
        <f t="shared" si="2"/>
        <v>1251.8636049126833</v>
      </c>
      <c r="F20" s="23">
        <f t="shared" ca="1" si="2"/>
        <v>7153.1135864139505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130124.26977371299</v>
      </c>
      <c r="C26" s="39">
        <f>IF(ISERROR(B26*3.6/1000000/'E Balans VL '!Z12*100),0,B26*3.6/1000000/'E Balans VL '!Z12*100)</f>
        <v>2.7382494625297702</v>
      </c>
      <c r="D26" s="238" t="s">
        <v>720</v>
      </c>
      <c r="F26" s="6"/>
    </row>
    <row r="27" spans="1:18">
      <c r="A27" s="232" t="s">
        <v>53</v>
      </c>
      <c r="B27" s="33">
        <f>IF(ISERROR(TER_horeca_ele_kWh/1000),0,TER_horeca_ele_kWh/1000)</f>
        <v>8724.1506700190603</v>
      </c>
      <c r="C27" s="39">
        <f>IF(ISERROR(B27*3.6/1000000/'E Balans VL '!Z9*100),0,B27*3.6/1000000/'E Balans VL '!Z9*100)</f>
        <v>0.73864932259415195</v>
      </c>
      <c r="D27" s="238" t="s">
        <v>720</v>
      </c>
      <c r="F27" s="6"/>
    </row>
    <row r="28" spans="1:18">
      <c r="A28" s="172" t="s">
        <v>52</v>
      </c>
      <c r="B28" s="33">
        <f>IF(ISERROR(TER_handel_ele_kWh/1000),0,TER_handel_ele_kWh/1000)</f>
        <v>9673.6704379290095</v>
      </c>
      <c r="C28" s="39">
        <f>IF(ISERROR(B28*3.6/1000000/'E Balans VL '!Z13*100),0,B28*3.6/1000000/'E Balans VL '!Z13*100)</f>
        <v>0.26781422840814795</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618.83943308172593</v>
      </c>
      <c r="C30" s="39">
        <f>IF(ISERROR(B30*3.6/1000000/'E Balans VL '!Z14*100),0,B30*3.6/1000000/'E Balans VL '!Z14*100)</f>
        <v>4.7965731254968752E-2</v>
      </c>
      <c r="D30" s="238" t="s">
        <v>720</v>
      </c>
      <c r="F30" s="6"/>
    </row>
    <row r="31" spans="1:18">
      <c r="A31" s="232" t="s">
        <v>55</v>
      </c>
      <c r="B31" s="33">
        <f>IF(ISERROR(TER_onderwijs_ele_kWh/1000),0,TER_onderwijs_ele_kWh/1000)</f>
        <v>102.478356613543</v>
      </c>
      <c r="C31" s="39">
        <f>IF(ISERROR(B31*3.6/1000000/'E Balans VL '!Z11*100),0,B31*3.6/1000000/'E Balans VL '!Z11*100)</f>
        <v>1.9605855814414257E-2</v>
      </c>
      <c r="D31" s="238" t="s">
        <v>720</v>
      </c>
    </row>
    <row r="32" spans="1:18">
      <c r="A32" s="232" t="s">
        <v>261</v>
      </c>
      <c r="B32" s="33">
        <f>IF(ISERROR(TER_rest_ele_kWh/1000),0,TER_rest_ele_kWh/1000)</f>
        <v>19316.5940062917</v>
      </c>
      <c r="C32" s="39">
        <f>IF(ISERROR(B32*3.6/1000000/'E Balans VL '!Z8*100),0,B32*3.6/1000000/'E Balans VL '!Z8*100)</f>
        <v>0.15928015109504132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17</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25505.036595017205</v>
      </c>
      <c r="C5" s="17">
        <f>IF(ISERROR('Eigen informatie GS &amp; warmtenet'!B59),0,'Eigen informatie GS &amp; warmtenet'!B59)</f>
        <v>0</v>
      </c>
      <c r="D5" s="30">
        <f>SUM(D6:D15)</f>
        <v>9691.554825837482</v>
      </c>
      <c r="E5" s="17">
        <f>SUM(E6:E15)</f>
        <v>300.56360263924188</v>
      </c>
      <c r="F5" s="17">
        <f>SUM(F6:F15)</f>
        <v>11597.819223382841</v>
      </c>
      <c r="G5" s="18"/>
      <c r="H5" s="17"/>
      <c r="I5" s="17"/>
      <c r="J5" s="17">
        <f>SUM(J6:J15)</f>
        <v>51.964463114032206</v>
      </c>
      <c r="K5" s="17"/>
      <c r="L5" s="17"/>
      <c r="M5" s="17"/>
      <c r="N5" s="17">
        <f>SUM(N6:N15)</f>
        <v>1115.1157477298991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227.90344586594199</v>
      </c>
      <c r="C8" s="33"/>
      <c r="D8" s="37">
        <f>IF( ISERROR(IND_metaal_Gas_kWH/1000),0,IND_metaal_Gas_kWH/1000)*0.902</f>
        <v>0</v>
      </c>
      <c r="E8" s="33">
        <f>C30*'E Balans VL '!I18/100/3.6*1000000</f>
        <v>1.6014272294855676</v>
      </c>
      <c r="F8" s="33">
        <f>C30*'E Balans VL '!L18/100/3.6*1000000+C30*'E Balans VL '!N18/100/3.6*1000000</f>
        <v>25.022464989680813</v>
      </c>
      <c r="G8" s="34"/>
      <c r="H8" s="33"/>
      <c r="I8" s="33"/>
      <c r="J8" s="40">
        <f>C30*'E Balans VL '!D18/100/3.6*1000000+C30*'E Balans VL '!E18/100/3.6*1000000</f>
        <v>4.7021393094265074</v>
      </c>
      <c r="K8" s="33"/>
      <c r="L8" s="33"/>
      <c r="M8" s="33"/>
      <c r="N8" s="33">
        <f>C30*'E Balans VL '!Y18/100/3.6*1000000</f>
        <v>0.8541985286941165</v>
      </c>
      <c r="O8" s="33"/>
      <c r="P8" s="33"/>
      <c r="R8" s="32"/>
    </row>
    <row r="9" spans="1:18">
      <c r="A9" s="6" t="s">
        <v>33</v>
      </c>
      <c r="B9" s="37">
        <f t="shared" si="0"/>
        <v>13031.360319425101</v>
      </c>
      <c r="C9" s="33"/>
      <c r="D9" s="37">
        <f>IF( ISERROR(IND_andere_gas_kWh/1000),0,IND_andere_gas_kWh/1000)*0.902</f>
        <v>6645.1933325847385</v>
      </c>
      <c r="E9" s="33">
        <f>C31*'E Balans VL '!I19/100/3.6*1000000</f>
        <v>218.87766049083569</v>
      </c>
      <c r="F9" s="33">
        <f>C31*'E Balans VL '!L19/100/3.6*1000000+C31*'E Balans VL '!N19/100/3.6*1000000</f>
        <v>10187.175286861837</v>
      </c>
      <c r="G9" s="34"/>
      <c r="H9" s="33"/>
      <c r="I9" s="33"/>
      <c r="J9" s="40">
        <f>C31*'E Balans VL '!D19/100/3.6*1000000+C31*'E Balans VL '!E19/100/3.6*1000000</f>
        <v>1.1753136679786551</v>
      </c>
      <c r="K9" s="33"/>
      <c r="L9" s="33"/>
      <c r="M9" s="33"/>
      <c r="N9" s="33">
        <f>C31*'E Balans VL '!Y19/100/3.6*1000000</f>
        <v>965.83286943979385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5401.1865655601605</v>
      </c>
      <c r="C14" s="33"/>
      <c r="D14" s="37">
        <f>IF( ISERROR(IND_chemie_gas_kWh/1000),0,IND_chemie_gas_kWh/1000)*0.902</f>
        <v>0</v>
      </c>
      <c r="E14" s="33">
        <f>C36*'E Balans VL '!I24/100/3.6*1000000</f>
        <v>18.313742614667955</v>
      </c>
      <c r="F14" s="33">
        <f>C36*'E Balans VL '!L24/100/3.6*1000000+C36*'E Balans VL '!N24/100/3.6*1000000</f>
        <v>17.333716321252204</v>
      </c>
      <c r="G14" s="34"/>
      <c r="H14" s="33"/>
      <c r="I14" s="33"/>
      <c r="J14" s="40">
        <f>C36*'E Balans VL '!D24/100/3.6*1000000+C36*'E Balans VL '!E24/100/3.6*1000000</f>
        <v>0</v>
      </c>
      <c r="K14" s="33"/>
      <c r="L14" s="33"/>
      <c r="M14" s="33"/>
      <c r="N14" s="33">
        <f>C36*'E Balans VL '!Y24/100/3.6*1000000</f>
        <v>25.254484632956018</v>
      </c>
      <c r="O14" s="33"/>
      <c r="P14" s="33"/>
      <c r="R14" s="32"/>
    </row>
    <row r="15" spans="1:18">
      <c r="A15" s="6" t="s">
        <v>271</v>
      </c>
      <c r="B15" s="37">
        <f t="shared" si="0"/>
        <v>6844.5862641660005</v>
      </c>
      <c r="C15" s="33"/>
      <c r="D15" s="37">
        <f>IF( ISERROR(IND_rest_gas_kWh/1000),0,IND_rest_gas_kWh/1000)*0.902</f>
        <v>3046.361493252743</v>
      </c>
      <c r="E15" s="33">
        <f>C37*'E Balans VL '!I15/100/3.6*1000000</f>
        <v>61.770772304252667</v>
      </c>
      <c r="F15" s="33">
        <f>C37*'E Balans VL '!L15/100/3.6*1000000+C37*'E Balans VL '!N15/100/3.6*1000000</f>
        <v>1368.2877552100708</v>
      </c>
      <c r="G15" s="34"/>
      <c r="H15" s="33"/>
      <c r="I15" s="33"/>
      <c r="J15" s="40">
        <f>C37*'E Balans VL '!D15/100/3.6*1000000+C37*'E Balans VL '!E15/100/3.6*1000000</f>
        <v>46.087010136627043</v>
      </c>
      <c r="K15" s="33"/>
      <c r="L15" s="33"/>
      <c r="M15" s="33"/>
      <c r="N15" s="33">
        <f>C37*'E Balans VL '!Y15/100/3.6*1000000</f>
        <v>123.17419512845498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25505.036595017205</v>
      </c>
      <c r="C18" s="21">
        <f>C5+C16</f>
        <v>0</v>
      </c>
      <c r="D18" s="21">
        <f>MAX((D5+D16),0)</f>
        <v>9691.554825837482</v>
      </c>
      <c r="E18" s="21">
        <f>MAX((E5+E16),0)</f>
        <v>300.56360263924188</v>
      </c>
      <c r="F18" s="21">
        <f>MAX((F5+F16),0)</f>
        <v>11597.819223382841</v>
      </c>
      <c r="G18" s="21"/>
      <c r="H18" s="21"/>
      <c r="I18" s="21"/>
      <c r="J18" s="21">
        <f>MAX((J5+J16),0)</f>
        <v>51.964463114032206</v>
      </c>
      <c r="K18" s="21"/>
      <c r="L18" s="21">
        <f>MAX((L5+L16),0)</f>
        <v>0</v>
      </c>
      <c r="M18" s="21"/>
      <c r="N18" s="21">
        <f>MAX((N5+N16),0)</f>
        <v>1115.1157477298991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0.22039644552738138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5621.2194085875781</v>
      </c>
      <c r="C22" s="23">
        <f ca="1">C18*C20</f>
        <v>0</v>
      </c>
      <c r="D22" s="23">
        <f>D18*D20</f>
        <v>1957.6940748191714</v>
      </c>
      <c r="E22" s="23">
        <f>E18*E20</f>
        <v>68.227937799107906</v>
      </c>
      <c r="F22" s="23">
        <f>F18*F20</f>
        <v>3096.6177326432189</v>
      </c>
      <c r="G22" s="23"/>
      <c r="H22" s="23"/>
      <c r="I22" s="23"/>
      <c r="J22" s="23">
        <f>J18*J20</f>
        <v>18.395419942367401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227.90344586594199</v>
      </c>
      <c r="C30" s="39">
        <f>IF(ISERROR(B30*3.6/1000000/'E Balans VL '!Z18*100),0,B30*3.6/1000000/'E Balans VL '!Z18*100)</f>
        <v>1.5171671560801963E-2</v>
      </c>
      <c r="D30" s="238" t="s">
        <v>720</v>
      </c>
    </row>
    <row r="31" spans="1:18">
      <c r="A31" s="6" t="s">
        <v>33</v>
      </c>
      <c r="B31" s="37">
        <f>IF( ISERROR(IND_ander_ele_kWh/1000),0,IND_ander_ele_kWh/1000)</f>
        <v>13031.360319425101</v>
      </c>
      <c r="C31" s="39">
        <f>IF(ISERROR(B31*3.6/1000000/'E Balans VL '!Z19*100),0,B31*3.6/1000000/'E Balans VL '!Z19*100)</f>
        <v>0.57762856037176236</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5401.1865655601605</v>
      </c>
      <c r="C36" s="39">
        <f>IF(ISERROR(B36*3.6/1000000/'E Balans VL '!Z24*100),0,B36*3.6/1000000/'E Balans VL '!Z24*100)</f>
        <v>0.12683440810657473</v>
      </c>
      <c r="D36" s="238" t="s">
        <v>720</v>
      </c>
    </row>
    <row r="37" spans="1:5">
      <c r="A37" s="172" t="s">
        <v>271</v>
      </c>
      <c r="B37" s="37">
        <f>IF( ISERROR(IND_rest_ele_kWh/1000),0,IND_rest_ele_kWh/1000)</f>
        <v>6844.5862641660005</v>
      </c>
      <c r="C37" s="39">
        <f>IF(ISERROR(B37*3.6/1000000/'E Balans VL '!Z15*100),0,B37*3.6/1000000/'E Balans VL '!Z15*100)</f>
        <v>5.0912571020541017E-2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9.7745103819496002</v>
      </c>
      <c r="C5" s="17">
        <f>'Eigen informatie GS &amp; warmtenet'!B60</f>
        <v>0</v>
      </c>
      <c r="D5" s="30">
        <f>IF(ISERROR(SUM(LB_lb_gas_kWh,LB_rest_gas_kWh,onbekend_gas_kWh)/1000),0,SUM(LB_lb_gas_kWh,LB_rest_gas_kWh,onbekend_gas_kWh)/1000)*0.902</f>
        <v>5072.839375660893</v>
      </c>
      <c r="E5" s="17">
        <f>B17*'E Balans VL '!I25/3.6*1000000/100</f>
        <v>0.10236078881498005</v>
      </c>
      <c r="F5" s="17">
        <f>B17*('E Balans VL '!L25/3.6*1000000+'E Balans VL '!N25/3.6*1000000)/100</f>
        <v>50.203441660948911</v>
      </c>
      <c r="G5" s="18"/>
      <c r="H5" s="17"/>
      <c r="I5" s="17"/>
      <c r="J5" s="17">
        <f>('E Balans VL '!D25+'E Balans VL '!E25)/3.6*1000000*landbouw!B17/100</f>
        <v>0.87295138753925683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9.7745103819496002</v>
      </c>
      <c r="C8" s="21">
        <f>C5+C6</f>
        <v>0</v>
      </c>
      <c r="D8" s="21">
        <f>MAX((D5+D6),0)</f>
        <v>5072.839375660893</v>
      </c>
      <c r="E8" s="21">
        <f>MAX((E5+E6),0)</f>
        <v>0.10236078881498005</v>
      </c>
      <c r="F8" s="21">
        <f>MAX((F5+F6),0)</f>
        <v>50.203441660948911</v>
      </c>
      <c r="G8" s="21"/>
      <c r="H8" s="21"/>
      <c r="I8" s="21"/>
      <c r="J8" s="21">
        <f>MAX((J5+J6),0)</f>
        <v>0.87295138753925683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0.22039644552738138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2.1542673449521788</v>
      </c>
      <c r="C12" s="23">
        <f ca="1">C8*C10</f>
        <v>0</v>
      </c>
      <c r="D12" s="23">
        <f>D8*D10</f>
        <v>1024.7135538835005</v>
      </c>
      <c r="E12" s="23">
        <f>E8*E10</f>
        <v>2.3235899061000473E-2</v>
      </c>
      <c r="F12" s="23">
        <f>F8*F10</f>
        <v>13.40431892347336</v>
      </c>
      <c r="G12" s="23"/>
      <c r="H12" s="23"/>
      <c r="I12" s="23"/>
      <c r="J12" s="23">
        <f>J8*J10</f>
        <v>0.30902479118889692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1.5044858307007236E-3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278</v>
      </c>
      <c r="B29" s="248">
        <f>B34*'ha_N2O bodem landbouw'!B4</f>
        <v>0.94469154840992753</v>
      </c>
      <c r="C29" s="248">
        <f>B29*'GWP N2O_CH4'!B4</f>
        <v>292.85438000707751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1.5612268566704532E-4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1.2084296692234242E-5</v>
      </c>
      <c r="C5" s="446" t="s">
        <v>212</v>
      </c>
      <c r="D5" s="431">
        <f>SUM(D6:D11)</f>
        <v>5.624366219108114E-5</v>
      </c>
      <c r="E5" s="431">
        <f>SUM(E6:E11)</f>
        <v>6.9552163250878579E-3</v>
      </c>
      <c r="F5" s="444" t="s">
        <v>212</v>
      </c>
      <c r="G5" s="431">
        <f>SUM(G6:G11)</f>
        <v>1.1630732235336632</v>
      </c>
      <c r="H5" s="431">
        <f>SUM(H6:H11)</f>
        <v>0.19693904528113804</v>
      </c>
      <c r="I5" s="446" t="s">
        <v>212</v>
      </c>
      <c r="J5" s="446" t="s">
        <v>212</v>
      </c>
      <c r="K5" s="446" t="s">
        <v>212</v>
      </c>
      <c r="L5" s="446" t="s">
        <v>212</v>
      </c>
      <c r="M5" s="431">
        <f>SUM(M6:M11)</f>
        <v>5.9335575111414379E-2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1.440020156818039E-6</v>
      </c>
      <c r="C6" s="432"/>
      <c r="D6" s="432">
        <f>vkm_2011_GW_PW*SUMIFS(TableVerdeelsleutelVkm[CNG],TableVerdeelsleutelVkm[Voertuigtype],"Lichte voertuigen")*SUMIFS(TableECFTransport[EnergieConsumptieFactor (PJ per km)],TableECFTransport[Index],CONCATENATE($A6,"_CNG_CNG"))</f>
        <v>6.2077595082843508E-6</v>
      </c>
      <c r="E6" s="434">
        <f>vkm_2011_GW_PW*SUMIFS(TableVerdeelsleutelVkm[LPG],TableVerdeelsleutelVkm[Voertuigtype],"Lichte voertuigen")*SUMIFS(TableECFTransport[EnergieConsumptieFactor (PJ per km)],TableECFTransport[Index],CONCATENATE($A6,"_LPG_LPG"))</f>
        <v>6.4587928682408166E-4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7.9444925398131416E-2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2.0916202518544355E-2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4.398305774994663E-3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2.453570933556173E-2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8.4129547239588429E-6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1.0598966713489988E-3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7.6340800843728659E-7</v>
      </c>
      <c r="C8" s="432"/>
      <c r="D8" s="434">
        <f>vkm_2011_NGW_PW*SUMIFS(TableVerdeelsleutelVkm[CNG],TableVerdeelsleutelVkm[Voertuigtype],"Lichte voertuigen")*SUMIFS(TableECFTransport[EnergieConsumptieFactor (PJ per km)],TableECFTransport[Index],CONCATENATE($A8,"_CNG_CNG"))</f>
        <v>5.9040681135350764E-6</v>
      </c>
      <c r="E8" s="434">
        <f>vkm_2011_NGW_PW*SUMIFS(TableVerdeelsleutelVkm[LPG],TableVerdeelsleutelVkm[Voertuigtype],"Lichte voertuigen")*SUMIFS(TableECFTransport[EnergieConsumptieFactor (PJ per km)],TableECFTransport[Index],CONCATENATE($A8,"_LPG_LPG"))</f>
        <v>5.6088508235965253E-4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6.5435828180862007E-2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1.8989182922065001E-2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3.7042071425685296E-3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1.2314808445979932E-2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3.6682579127529156E-6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5.3195100517658108E-4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9.8808685269789152E-6</v>
      </c>
      <c r="C10" s="432"/>
      <c r="D10" s="434">
        <f>vkm_2011_SW_PW*SUMIFS(TableVerdeelsleutelVkm[CNG],TableVerdeelsleutelVkm[Voertuigtype],"Lichte voertuigen")*SUMIFS(TableECFTransport[EnergieConsumptieFactor (PJ per km)],TableECFTransport[Index],CONCATENATE($A10,"_CNG_CNG"))</f>
        <v>4.4131834569261716E-5</v>
      </c>
      <c r="E10" s="434">
        <f>vkm_2011_SW_PW*SUMIFS(TableVerdeelsleutelVkm[LPG],TableVerdeelsleutelVkm[Voertuigtype],"Lichte voertuigen")*SUMIFS(TableECFTransport[EnergieConsumptieFactor (PJ per km)],TableECFTransport[Index],CONCATENATE($A10,"_LPG_LPG"))</f>
        <v>5.7484519559041231E-3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0.65004299753162165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0.15690037436753679</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3.5329368509275948E-2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0.33129895464150633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1.2120426035515958E-4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1.4311846008049658E-2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3.3567490811761784</v>
      </c>
      <c r="C14" s="21"/>
      <c r="D14" s="21">
        <f t="shared" ref="D14:M14" si="0">((D5)*10^9/3600)+D12</f>
        <v>15.623239497522539</v>
      </c>
      <c r="E14" s="21">
        <f t="shared" si="0"/>
        <v>1932.0045347466271</v>
      </c>
      <c r="F14" s="21"/>
      <c r="G14" s="21">
        <f t="shared" si="0"/>
        <v>323075.89542601758</v>
      </c>
      <c r="H14" s="21">
        <f t="shared" si="0"/>
        <v>54705.290355871679</v>
      </c>
      <c r="I14" s="21"/>
      <c r="J14" s="21"/>
      <c r="K14" s="21"/>
      <c r="L14" s="21"/>
      <c r="M14" s="21">
        <f t="shared" si="0"/>
        <v>16482.104197615106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0.22039644552738138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0.73981556601853316</v>
      </c>
      <c r="C18" s="23"/>
      <c r="D18" s="23">
        <f t="shared" ref="D18:M18" si="1">D14*D16</f>
        <v>3.155894378499553</v>
      </c>
      <c r="E18" s="23">
        <f t="shared" si="1"/>
        <v>438.56502938748434</v>
      </c>
      <c r="F18" s="23"/>
      <c r="G18" s="23">
        <f t="shared" si="1"/>
        <v>86261.264078746695</v>
      </c>
      <c r="H18" s="23">
        <f t="shared" si="1"/>
        <v>13621.617298612047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1.633606311391941E-2</v>
      </c>
      <c r="H50" s="322">
        <f t="shared" si="2"/>
        <v>0</v>
      </c>
      <c r="I50" s="322">
        <f t="shared" si="2"/>
        <v>0</v>
      </c>
      <c r="J50" s="322">
        <f t="shared" si="2"/>
        <v>0</v>
      </c>
      <c r="K50" s="322">
        <f t="shared" si="2"/>
        <v>0</v>
      </c>
      <c r="L50" s="322">
        <f t="shared" si="2"/>
        <v>0</v>
      </c>
      <c r="M50" s="322">
        <f t="shared" si="2"/>
        <v>6.9633539890299231E-4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1.633606311391941E-2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6.9633539890299231E-4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4537.7953094220584</v>
      </c>
      <c r="H54" s="21">
        <f t="shared" si="3"/>
        <v>0</v>
      </c>
      <c r="I54" s="21">
        <f t="shared" si="3"/>
        <v>0</v>
      </c>
      <c r="J54" s="21">
        <f t="shared" si="3"/>
        <v>0</v>
      </c>
      <c r="K54" s="21">
        <f t="shared" si="3"/>
        <v>0</v>
      </c>
      <c r="L54" s="21">
        <f t="shared" si="3"/>
        <v>0</v>
      </c>
      <c r="M54" s="21">
        <f t="shared" si="3"/>
        <v>193.42649969527562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0.22039644552738138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1211.5913476156898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589.17774272227291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589.17774272227291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170052.61867764808</v>
      </c>
      <c r="D10" s="702">
        <f ca="1">tertiair!C16</f>
        <v>0</v>
      </c>
      <c r="E10" s="702">
        <f ca="1">tertiair!D16</f>
        <v>75075.204964431789</v>
      </c>
      <c r="F10" s="702">
        <f>tertiair!E16</f>
        <v>5514.8176427871513</v>
      </c>
      <c r="G10" s="702">
        <f ca="1">tertiair!F16</f>
        <v>26790.687589565357</v>
      </c>
      <c r="H10" s="702">
        <f>tertiair!G16</f>
        <v>0</v>
      </c>
      <c r="I10" s="702">
        <f>tertiair!H16</f>
        <v>0</v>
      </c>
      <c r="J10" s="702">
        <f>tertiair!I16</f>
        <v>0</v>
      </c>
      <c r="K10" s="702">
        <f>tertiair!J16</f>
        <v>0</v>
      </c>
      <c r="L10" s="702">
        <f>tertiair!K16</f>
        <v>0</v>
      </c>
      <c r="M10" s="702">
        <f ca="1">tertiair!L16</f>
        <v>0</v>
      </c>
      <c r="N10" s="702">
        <f>tertiair!M16</f>
        <v>0</v>
      </c>
      <c r="O10" s="702">
        <f ca="1">tertiair!N16</f>
        <v>1701.1467510794048</v>
      </c>
      <c r="P10" s="702">
        <f>tertiair!O16</f>
        <v>1.5633333333333335</v>
      </c>
      <c r="Q10" s="703">
        <f>tertiair!P16</f>
        <v>324.13333333333333</v>
      </c>
      <c r="R10" s="705">
        <f ca="1">SUM(C10:Q10)</f>
        <v>279460.1722921785</v>
      </c>
      <c r="S10" s="67"/>
    </row>
    <row r="11" spans="1:19" s="457" customFormat="1">
      <c r="A11" s="858" t="s">
        <v>226</v>
      </c>
      <c r="B11" s="863"/>
      <c r="C11" s="702">
        <f>huishoudens!B8</f>
        <v>20164.970634401321</v>
      </c>
      <c r="D11" s="702">
        <f>huishoudens!C8</f>
        <v>0</v>
      </c>
      <c r="E11" s="702">
        <f>huishoudens!D8</f>
        <v>64063.616878906279</v>
      </c>
      <c r="F11" s="702">
        <f>huishoudens!E8</f>
        <v>610.83614967090284</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3181.2451457151305</v>
      </c>
      <c r="P11" s="702">
        <f>huishoudens!O8</f>
        <v>18.760000000000002</v>
      </c>
      <c r="Q11" s="703">
        <f>huishoudens!P8</f>
        <v>19.066666666666666</v>
      </c>
      <c r="R11" s="705">
        <f>SUM(C11:Q11)</f>
        <v>88058.495475360294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25505.036595017205</v>
      </c>
      <c r="D13" s="702">
        <f>industrie!C18</f>
        <v>0</v>
      </c>
      <c r="E13" s="702">
        <f>industrie!D18</f>
        <v>9691.554825837482</v>
      </c>
      <c r="F13" s="702">
        <f>industrie!E18</f>
        <v>300.56360263924188</v>
      </c>
      <c r="G13" s="702">
        <f>industrie!F18</f>
        <v>11597.819223382841</v>
      </c>
      <c r="H13" s="702">
        <f>industrie!G18</f>
        <v>0</v>
      </c>
      <c r="I13" s="702">
        <f>industrie!H18</f>
        <v>0</v>
      </c>
      <c r="J13" s="702">
        <f>industrie!I18</f>
        <v>0</v>
      </c>
      <c r="K13" s="702">
        <f>industrie!J18</f>
        <v>51.964463114032206</v>
      </c>
      <c r="L13" s="702">
        <f>industrie!K18</f>
        <v>0</v>
      </c>
      <c r="M13" s="702">
        <f>industrie!L18</f>
        <v>0</v>
      </c>
      <c r="N13" s="702">
        <f>industrie!M18</f>
        <v>0</v>
      </c>
      <c r="O13" s="702">
        <f>industrie!N18</f>
        <v>1115.1157477298991</v>
      </c>
      <c r="P13" s="702">
        <f>industrie!O18</f>
        <v>0</v>
      </c>
      <c r="Q13" s="703">
        <f>industrie!P18</f>
        <v>0</v>
      </c>
      <c r="R13" s="705">
        <f>SUM(C13:Q13)</f>
        <v>48262.054457720697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215722.6259070666</v>
      </c>
      <c r="D15" s="707">
        <f t="shared" ref="D15:Q15" ca="1" si="0">SUM(D9:D14)</f>
        <v>0</v>
      </c>
      <c r="E15" s="707">
        <f t="shared" ca="1" si="0"/>
        <v>148830.37666917557</v>
      </c>
      <c r="F15" s="707">
        <f t="shared" si="0"/>
        <v>6426.2173950972965</v>
      </c>
      <c r="G15" s="707">
        <f t="shared" ca="1" si="0"/>
        <v>38388.506812948195</v>
      </c>
      <c r="H15" s="707">
        <f t="shared" si="0"/>
        <v>0</v>
      </c>
      <c r="I15" s="707">
        <f t="shared" si="0"/>
        <v>0</v>
      </c>
      <c r="J15" s="707">
        <f t="shared" si="0"/>
        <v>0</v>
      </c>
      <c r="K15" s="707">
        <f t="shared" si="0"/>
        <v>51.964463114032206</v>
      </c>
      <c r="L15" s="707">
        <f t="shared" si="0"/>
        <v>0</v>
      </c>
      <c r="M15" s="707">
        <f t="shared" ca="1" si="0"/>
        <v>0</v>
      </c>
      <c r="N15" s="707">
        <f t="shared" si="0"/>
        <v>0</v>
      </c>
      <c r="O15" s="707">
        <f t="shared" ca="1" si="0"/>
        <v>5997.5076445244349</v>
      </c>
      <c r="P15" s="707">
        <f t="shared" si="0"/>
        <v>20.323333333333334</v>
      </c>
      <c r="Q15" s="708">
        <f t="shared" si="0"/>
        <v>343.2</v>
      </c>
      <c r="R15" s="709">
        <f ca="1">SUM(R9:R14)</f>
        <v>415780.72222525952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4537.7953094220584</v>
      </c>
      <c r="I18" s="702">
        <f>transport!H54</f>
        <v>0</v>
      </c>
      <c r="J18" s="702">
        <f>transport!I54</f>
        <v>0</v>
      </c>
      <c r="K18" s="702">
        <f>transport!J54</f>
        <v>0</v>
      </c>
      <c r="L18" s="702">
        <f>transport!K54</f>
        <v>0</v>
      </c>
      <c r="M18" s="702">
        <f>transport!L54</f>
        <v>0</v>
      </c>
      <c r="N18" s="702">
        <f>transport!M54</f>
        <v>193.42649969527562</v>
      </c>
      <c r="O18" s="702">
        <f>transport!N54</f>
        <v>0</v>
      </c>
      <c r="P18" s="702">
        <f>transport!O54</f>
        <v>0</v>
      </c>
      <c r="Q18" s="703">
        <f>transport!P54</f>
        <v>0</v>
      </c>
      <c r="R18" s="705">
        <f>SUM(C18:Q18)</f>
        <v>4731.2218091173336</v>
      </c>
      <c r="S18" s="67"/>
    </row>
    <row r="19" spans="1:19" s="457" customFormat="1" ht="15" thickBot="1">
      <c r="A19" s="858" t="s">
        <v>308</v>
      </c>
      <c r="B19" s="863"/>
      <c r="C19" s="711">
        <f>transport!B14</f>
        <v>3.3567490811761784</v>
      </c>
      <c r="D19" s="711">
        <f>transport!C14</f>
        <v>0</v>
      </c>
      <c r="E19" s="711">
        <f>transport!D14</f>
        <v>15.623239497522539</v>
      </c>
      <c r="F19" s="711">
        <f>transport!E14</f>
        <v>1932.0045347466271</v>
      </c>
      <c r="G19" s="711">
        <f>transport!F14</f>
        <v>0</v>
      </c>
      <c r="H19" s="711">
        <f>transport!G14</f>
        <v>323075.89542601758</v>
      </c>
      <c r="I19" s="711">
        <f>transport!H14</f>
        <v>54705.290355871679</v>
      </c>
      <c r="J19" s="711">
        <f>transport!I14</f>
        <v>0</v>
      </c>
      <c r="K19" s="711">
        <f>transport!J14</f>
        <v>0</v>
      </c>
      <c r="L19" s="711">
        <f>transport!K14</f>
        <v>0</v>
      </c>
      <c r="M19" s="711">
        <f>transport!L14</f>
        <v>0</v>
      </c>
      <c r="N19" s="711">
        <f>transport!M14</f>
        <v>16482.104197615106</v>
      </c>
      <c r="O19" s="711">
        <f>transport!N14</f>
        <v>0</v>
      </c>
      <c r="P19" s="711">
        <f>transport!O14</f>
        <v>0</v>
      </c>
      <c r="Q19" s="712">
        <f>transport!P14</f>
        <v>0</v>
      </c>
      <c r="R19" s="713">
        <f>SUM(C19:Q19)</f>
        <v>396214.27450282971</v>
      </c>
      <c r="S19" s="67"/>
    </row>
    <row r="20" spans="1:19" s="457" customFormat="1" ht="15.75" thickBot="1">
      <c r="A20" s="714" t="s">
        <v>231</v>
      </c>
      <c r="B20" s="866"/>
      <c r="C20" s="861">
        <f>SUM(C17:C19)</f>
        <v>3.3567490811761784</v>
      </c>
      <c r="D20" s="715">
        <f t="shared" ref="D20:R20" si="1">SUM(D17:D19)</f>
        <v>0</v>
      </c>
      <c r="E20" s="715">
        <f t="shared" si="1"/>
        <v>15.623239497522539</v>
      </c>
      <c r="F20" s="715">
        <f t="shared" si="1"/>
        <v>1932.0045347466271</v>
      </c>
      <c r="G20" s="715">
        <f t="shared" si="1"/>
        <v>0</v>
      </c>
      <c r="H20" s="715">
        <f t="shared" si="1"/>
        <v>327613.69073543965</v>
      </c>
      <c r="I20" s="715">
        <f t="shared" si="1"/>
        <v>54705.290355871679</v>
      </c>
      <c r="J20" s="715">
        <f t="shared" si="1"/>
        <v>0</v>
      </c>
      <c r="K20" s="715">
        <f t="shared" si="1"/>
        <v>0</v>
      </c>
      <c r="L20" s="715">
        <f t="shared" si="1"/>
        <v>0</v>
      </c>
      <c r="M20" s="715">
        <f t="shared" si="1"/>
        <v>0</v>
      </c>
      <c r="N20" s="715">
        <f t="shared" si="1"/>
        <v>16675.530697310383</v>
      </c>
      <c r="O20" s="715">
        <f t="shared" si="1"/>
        <v>0</v>
      </c>
      <c r="P20" s="715">
        <f t="shared" si="1"/>
        <v>0</v>
      </c>
      <c r="Q20" s="716">
        <f t="shared" si="1"/>
        <v>0</v>
      </c>
      <c r="R20" s="717">
        <f t="shared" si="1"/>
        <v>400945.49631194706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9.7745103819496002</v>
      </c>
      <c r="D22" s="711">
        <f>+landbouw!C8</f>
        <v>0</v>
      </c>
      <c r="E22" s="711">
        <f>+landbouw!D8</f>
        <v>5072.839375660893</v>
      </c>
      <c r="F22" s="711">
        <f>+landbouw!E8</f>
        <v>0.10236078881498005</v>
      </c>
      <c r="G22" s="711">
        <f>+landbouw!F8</f>
        <v>50.203441660948911</v>
      </c>
      <c r="H22" s="711">
        <f>+landbouw!G8</f>
        <v>0</v>
      </c>
      <c r="I22" s="711">
        <f>+landbouw!H8</f>
        <v>0</v>
      </c>
      <c r="J22" s="711">
        <f>+landbouw!I8</f>
        <v>0</v>
      </c>
      <c r="K22" s="711">
        <f>+landbouw!J8</f>
        <v>0.87295138753925683</v>
      </c>
      <c r="L22" s="711">
        <f>+landbouw!K8</f>
        <v>0</v>
      </c>
      <c r="M22" s="711">
        <f>+landbouw!L8</f>
        <v>0</v>
      </c>
      <c r="N22" s="711">
        <f>+landbouw!M8</f>
        <v>0</v>
      </c>
      <c r="O22" s="711">
        <f>+landbouw!N8</f>
        <v>0</v>
      </c>
      <c r="P22" s="711">
        <f>+landbouw!O8</f>
        <v>0</v>
      </c>
      <c r="Q22" s="712">
        <f>+landbouw!P8</f>
        <v>0</v>
      </c>
      <c r="R22" s="713">
        <f>SUM(C22:Q22)</f>
        <v>5133.7926398801455</v>
      </c>
      <c r="S22" s="67"/>
    </row>
    <row r="23" spans="1:19" s="457" customFormat="1" ht="17.25" thickTop="1" thickBot="1">
      <c r="A23" s="718" t="s">
        <v>116</v>
      </c>
      <c r="B23" s="852"/>
      <c r="C23" s="719">
        <f ca="1">C20+C15+C22</f>
        <v>215735.75716652971</v>
      </c>
      <c r="D23" s="719">
        <f t="shared" ref="D23:Q23" ca="1" si="2">D20+D15+D22</f>
        <v>0</v>
      </c>
      <c r="E23" s="719">
        <f t="shared" ca="1" si="2"/>
        <v>153918.83928433398</v>
      </c>
      <c r="F23" s="719">
        <f t="shared" si="2"/>
        <v>8358.3242906327378</v>
      </c>
      <c r="G23" s="719">
        <f t="shared" ca="1" si="2"/>
        <v>38438.710254609141</v>
      </c>
      <c r="H23" s="719">
        <f t="shared" si="2"/>
        <v>327613.69073543965</v>
      </c>
      <c r="I23" s="719">
        <f t="shared" si="2"/>
        <v>54705.290355871679</v>
      </c>
      <c r="J23" s="719">
        <f t="shared" si="2"/>
        <v>0</v>
      </c>
      <c r="K23" s="719">
        <f t="shared" si="2"/>
        <v>52.837414501571466</v>
      </c>
      <c r="L23" s="719">
        <f t="shared" si="2"/>
        <v>0</v>
      </c>
      <c r="M23" s="719">
        <f t="shared" ca="1" si="2"/>
        <v>0</v>
      </c>
      <c r="N23" s="719">
        <f t="shared" si="2"/>
        <v>16675.530697310383</v>
      </c>
      <c r="O23" s="719">
        <f t="shared" ca="1" si="2"/>
        <v>5997.5076445244349</v>
      </c>
      <c r="P23" s="719">
        <f t="shared" si="2"/>
        <v>20.323333333333334</v>
      </c>
      <c r="Q23" s="720">
        <f t="shared" si="2"/>
        <v>343.2</v>
      </c>
      <c r="R23" s="721">
        <f ca="1">R20+R15+R22</f>
        <v>821860.01117708662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37478.992709176826</v>
      </c>
      <c r="D36" s="702">
        <f ca="1">tertiair!C20</f>
        <v>0</v>
      </c>
      <c r="E36" s="702">
        <f ca="1">tertiair!D20</f>
        <v>15165.191402815222</v>
      </c>
      <c r="F36" s="702">
        <f>tertiair!E20</f>
        <v>1251.8636049126833</v>
      </c>
      <c r="G36" s="702">
        <f ca="1">tertiair!F20</f>
        <v>7153.1135864139505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61049.16130331868</v>
      </c>
    </row>
    <row r="37" spans="1:18">
      <c r="A37" s="873" t="s">
        <v>226</v>
      </c>
      <c r="B37" s="880"/>
      <c r="C37" s="702">
        <f ca="1">huishoudens!B12</f>
        <v>4444.287851986076</v>
      </c>
      <c r="D37" s="702">
        <f ca="1">huishoudens!C12</f>
        <v>0</v>
      </c>
      <c r="E37" s="702">
        <f>huishoudens!D12</f>
        <v>12940.850609539069</v>
      </c>
      <c r="F37" s="702">
        <f>huishoudens!E12</f>
        <v>138.65980597529494</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17523.798267500439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5621.2194085875781</v>
      </c>
      <c r="D39" s="702">
        <f ca="1">industrie!C22</f>
        <v>0</v>
      </c>
      <c r="E39" s="702">
        <f>industrie!D22</f>
        <v>1957.6940748191714</v>
      </c>
      <c r="F39" s="702">
        <f>industrie!E22</f>
        <v>68.227937799107906</v>
      </c>
      <c r="G39" s="702">
        <f>industrie!F22</f>
        <v>3096.6177326432189</v>
      </c>
      <c r="H39" s="702">
        <f>industrie!G22</f>
        <v>0</v>
      </c>
      <c r="I39" s="702">
        <f>industrie!H22</f>
        <v>0</v>
      </c>
      <c r="J39" s="702">
        <f>industrie!I22</f>
        <v>0</v>
      </c>
      <c r="K39" s="702">
        <f>industrie!J22</f>
        <v>18.395419942367401</v>
      </c>
      <c r="L39" s="702">
        <f>industrie!K22</f>
        <v>0</v>
      </c>
      <c r="M39" s="702">
        <f>industrie!L22</f>
        <v>0</v>
      </c>
      <c r="N39" s="702">
        <f>industrie!M22</f>
        <v>0</v>
      </c>
      <c r="O39" s="702">
        <f>industrie!N22</f>
        <v>0</v>
      </c>
      <c r="P39" s="702">
        <f>industrie!O22</f>
        <v>0</v>
      </c>
      <c r="Q39" s="812">
        <f>industrie!P22</f>
        <v>0</v>
      </c>
      <c r="R39" s="906">
        <f ca="1">SUM(C39:Q39)</f>
        <v>10762.154573791446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47544.499969750483</v>
      </c>
      <c r="D41" s="747">
        <f t="shared" ref="D41:R41" ca="1" si="4">SUM(D35:D40)</f>
        <v>0</v>
      </c>
      <c r="E41" s="747">
        <f t="shared" ca="1" si="4"/>
        <v>30063.736087173464</v>
      </c>
      <c r="F41" s="747">
        <f t="shared" si="4"/>
        <v>1458.751348687086</v>
      </c>
      <c r="G41" s="747">
        <f t="shared" ca="1" si="4"/>
        <v>10249.731319057169</v>
      </c>
      <c r="H41" s="747">
        <f t="shared" si="4"/>
        <v>0</v>
      </c>
      <c r="I41" s="747">
        <f t="shared" si="4"/>
        <v>0</v>
      </c>
      <c r="J41" s="747">
        <f t="shared" si="4"/>
        <v>0</v>
      </c>
      <c r="K41" s="747">
        <f t="shared" si="4"/>
        <v>18.395419942367401</v>
      </c>
      <c r="L41" s="747">
        <f t="shared" si="4"/>
        <v>0</v>
      </c>
      <c r="M41" s="747">
        <f t="shared" ca="1" si="4"/>
        <v>0</v>
      </c>
      <c r="N41" s="747">
        <f t="shared" si="4"/>
        <v>0</v>
      </c>
      <c r="O41" s="747">
        <f t="shared" ca="1" si="4"/>
        <v>0</v>
      </c>
      <c r="P41" s="747">
        <f t="shared" si="4"/>
        <v>0</v>
      </c>
      <c r="Q41" s="748">
        <f t="shared" si="4"/>
        <v>0</v>
      </c>
      <c r="R41" s="749">
        <f t="shared" ca="1" si="4"/>
        <v>89335.114144610561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1211.5913476156898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1211.5913476156898</v>
      </c>
    </row>
    <row r="45" spans="1:18" ht="15" thickBot="1">
      <c r="A45" s="876" t="s">
        <v>308</v>
      </c>
      <c r="B45" s="886"/>
      <c r="C45" s="711">
        <f ca="1">transport!B18</f>
        <v>0.73981556601853316</v>
      </c>
      <c r="D45" s="711">
        <f>transport!C18</f>
        <v>0</v>
      </c>
      <c r="E45" s="711">
        <f>transport!D18</f>
        <v>3.155894378499553</v>
      </c>
      <c r="F45" s="711">
        <f>transport!E18</f>
        <v>438.56502938748434</v>
      </c>
      <c r="G45" s="711">
        <f>transport!F18</f>
        <v>0</v>
      </c>
      <c r="H45" s="711">
        <f>transport!G18</f>
        <v>86261.264078746695</v>
      </c>
      <c r="I45" s="711">
        <f>transport!H18</f>
        <v>13621.617298612047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100325.34211669075</v>
      </c>
    </row>
    <row r="46" spans="1:18" ht="15.75" thickBot="1">
      <c r="A46" s="874" t="s">
        <v>231</v>
      </c>
      <c r="B46" s="887"/>
      <c r="C46" s="747">
        <f t="shared" ref="C46:R46" ca="1" si="5">SUM(C43:C45)</f>
        <v>0.73981556601853316</v>
      </c>
      <c r="D46" s="747">
        <f t="shared" ca="1" si="5"/>
        <v>0</v>
      </c>
      <c r="E46" s="747">
        <f t="shared" si="5"/>
        <v>3.155894378499553</v>
      </c>
      <c r="F46" s="747">
        <f t="shared" si="5"/>
        <v>438.56502938748434</v>
      </c>
      <c r="G46" s="747">
        <f t="shared" si="5"/>
        <v>0</v>
      </c>
      <c r="H46" s="747">
        <f t="shared" si="5"/>
        <v>87472.855426362381</v>
      </c>
      <c r="I46" s="747">
        <f t="shared" si="5"/>
        <v>13621.617298612047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101536.93346430644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2.1542673449521788</v>
      </c>
      <c r="D48" s="702">
        <f ca="1">+landbouw!C12</f>
        <v>0</v>
      </c>
      <c r="E48" s="702">
        <f>+landbouw!D12</f>
        <v>1024.7135538835005</v>
      </c>
      <c r="F48" s="702">
        <f>+landbouw!E12</f>
        <v>2.3235899061000473E-2</v>
      </c>
      <c r="G48" s="702">
        <f>+landbouw!F12</f>
        <v>13.40431892347336</v>
      </c>
      <c r="H48" s="702">
        <f>+landbouw!G12</f>
        <v>0</v>
      </c>
      <c r="I48" s="702">
        <f>+landbouw!H12</f>
        <v>0</v>
      </c>
      <c r="J48" s="702">
        <f>+landbouw!I12</f>
        <v>0</v>
      </c>
      <c r="K48" s="702">
        <f>+landbouw!J12</f>
        <v>0.30902479118889692</v>
      </c>
      <c r="L48" s="702">
        <f>+landbouw!K12</f>
        <v>0</v>
      </c>
      <c r="M48" s="702">
        <f>+landbouw!L12</f>
        <v>0</v>
      </c>
      <c r="N48" s="702">
        <f>+landbouw!M12</f>
        <v>0</v>
      </c>
      <c r="O48" s="702">
        <f>+landbouw!N12</f>
        <v>0</v>
      </c>
      <c r="P48" s="702">
        <f>+landbouw!O12</f>
        <v>0</v>
      </c>
      <c r="Q48" s="703">
        <f>+landbouw!P12</f>
        <v>0</v>
      </c>
      <c r="R48" s="745">
        <f ca="1">SUM(C48:Q48)</f>
        <v>1040.6044008421759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47547.394052661453</v>
      </c>
      <c r="D53" s="757">
        <f t="shared" ref="D53:Q53" ca="1" si="6">D41+D46+D48</f>
        <v>0</v>
      </c>
      <c r="E53" s="757">
        <f t="shared" ca="1" si="6"/>
        <v>31091.605535435461</v>
      </c>
      <c r="F53" s="757">
        <f t="shared" si="6"/>
        <v>1897.3396139736315</v>
      </c>
      <c r="G53" s="757">
        <f t="shared" ca="1" si="6"/>
        <v>10263.135637980642</v>
      </c>
      <c r="H53" s="757">
        <f t="shared" si="6"/>
        <v>87472.855426362381</v>
      </c>
      <c r="I53" s="757">
        <f t="shared" si="6"/>
        <v>13621.617298612047</v>
      </c>
      <c r="J53" s="757">
        <f t="shared" si="6"/>
        <v>0</v>
      </c>
      <c r="K53" s="757">
        <f t="shared" si="6"/>
        <v>18.704444733556297</v>
      </c>
      <c r="L53" s="757">
        <f t="shared" si="6"/>
        <v>0</v>
      </c>
      <c r="M53" s="757">
        <f t="shared" ca="1" si="6"/>
        <v>0</v>
      </c>
      <c r="N53" s="757">
        <f t="shared" si="6"/>
        <v>0</v>
      </c>
      <c r="O53" s="757">
        <f t="shared" ca="1" si="6"/>
        <v>0</v>
      </c>
      <c r="P53" s="757">
        <f>P41+P46+P48</f>
        <v>0</v>
      </c>
      <c r="Q53" s="758">
        <f t="shared" si="6"/>
        <v>0</v>
      </c>
      <c r="R53" s="759">
        <f ca="1">R41+R46+R48</f>
        <v>191912.65200975919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0.22039644552738141</v>
      </c>
      <c r="D55" s="823">
        <f t="shared" ca="1" si="7"/>
        <v>0</v>
      </c>
      <c r="E55" s="823">
        <f t="shared" ca="1" si="7"/>
        <v>0.20199999999999999</v>
      </c>
      <c r="F55" s="823">
        <f t="shared" si="7"/>
        <v>0.22700000000000001</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589.17774272227291</v>
      </c>
      <c r="C66" s="779">
        <f>'lokale energieproductie'!B6</f>
        <v>589.17774272227291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589.17774272227291</v>
      </c>
      <c r="C69" s="787">
        <f>SUM(C64:C68)</f>
        <v>589.17774272227291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20164.970634401321</v>
      </c>
      <c r="C4" s="461">
        <f>huishoudens!C8</f>
        <v>0</v>
      </c>
      <c r="D4" s="461">
        <f>huishoudens!D8</f>
        <v>64063.616878906279</v>
      </c>
      <c r="E4" s="461">
        <f>huishoudens!E8</f>
        <v>610.83614967090284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3181.2451457151305</v>
      </c>
      <c r="O4" s="461">
        <f>huishoudens!O8</f>
        <v>18.760000000000002</v>
      </c>
      <c r="P4" s="462">
        <f>huishoudens!P8</f>
        <v>19.066666666666666</v>
      </c>
      <c r="Q4" s="463">
        <f>SUM(B4:P4)</f>
        <v>88058.495475360294</v>
      </c>
    </row>
    <row r="5" spans="1:17">
      <c r="A5" s="460" t="s">
        <v>156</v>
      </c>
      <c r="B5" s="461">
        <f ca="1">tertiair!B16</f>
        <v>168560.00267764807</v>
      </c>
      <c r="C5" s="461">
        <f ca="1">tertiair!C16</f>
        <v>0</v>
      </c>
      <c r="D5" s="461">
        <f ca="1">tertiair!D16</f>
        <v>75075.204964431789</v>
      </c>
      <c r="E5" s="461">
        <f>tertiair!E16</f>
        <v>5514.8176427871513</v>
      </c>
      <c r="F5" s="461">
        <f ca="1">tertiair!F16</f>
        <v>26790.687589565357</v>
      </c>
      <c r="G5" s="461">
        <f>tertiair!G16</f>
        <v>0</v>
      </c>
      <c r="H5" s="461">
        <f>tertiair!H16</f>
        <v>0</v>
      </c>
      <c r="I5" s="461">
        <f>tertiair!I16</f>
        <v>0</v>
      </c>
      <c r="J5" s="461">
        <f>tertiair!J16</f>
        <v>0</v>
      </c>
      <c r="K5" s="461">
        <f>tertiair!K16</f>
        <v>0</v>
      </c>
      <c r="L5" s="461">
        <f ca="1">tertiair!L16</f>
        <v>0</v>
      </c>
      <c r="M5" s="461">
        <f>tertiair!M16</f>
        <v>0</v>
      </c>
      <c r="N5" s="461">
        <f ca="1">tertiair!N16</f>
        <v>1701.1467510794048</v>
      </c>
      <c r="O5" s="461">
        <f>tertiair!O16</f>
        <v>1.5633333333333335</v>
      </c>
      <c r="P5" s="462">
        <f>tertiair!P16</f>
        <v>324.13333333333333</v>
      </c>
      <c r="Q5" s="460">
        <f t="shared" ref="Q5:Q13" ca="1" si="0">SUM(B5:P5)</f>
        <v>277967.55629217852</v>
      </c>
    </row>
    <row r="6" spans="1:17">
      <c r="A6" s="460" t="s">
        <v>195</v>
      </c>
      <c r="B6" s="461">
        <f>'openbare verlichting'!B8</f>
        <v>1492.616</v>
      </c>
      <c r="C6" s="461"/>
      <c r="D6" s="461"/>
      <c r="E6" s="461"/>
      <c r="F6" s="461"/>
      <c r="G6" s="461"/>
      <c r="H6" s="461"/>
      <c r="I6" s="461"/>
      <c r="J6" s="461"/>
      <c r="K6" s="461"/>
      <c r="L6" s="461"/>
      <c r="M6" s="461"/>
      <c r="N6" s="461"/>
      <c r="O6" s="461"/>
      <c r="P6" s="462"/>
      <c r="Q6" s="460">
        <f t="shared" si="0"/>
        <v>1492.616</v>
      </c>
    </row>
    <row r="7" spans="1:17">
      <c r="A7" s="460" t="s">
        <v>112</v>
      </c>
      <c r="B7" s="461">
        <f>landbouw!B8</f>
        <v>9.7745103819496002</v>
      </c>
      <c r="C7" s="461">
        <f>landbouw!C8</f>
        <v>0</v>
      </c>
      <c r="D7" s="461">
        <f>landbouw!D8</f>
        <v>5072.839375660893</v>
      </c>
      <c r="E7" s="461">
        <f>landbouw!E8</f>
        <v>0.10236078881498005</v>
      </c>
      <c r="F7" s="461">
        <f>landbouw!F8</f>
        <v>50.203441660948911</v>
      </c>
      <c r="G7" s="461">
        <f>landbouw!G8</f>
        <v>0</v>
      </c>
      <c r="H7" s="461">
        <f>landbouw!H8</f>
        <v>0</v>
      </c>
      <c r="I7" s="461">
        <f>landbouw!I8</f>
        <v>0</v>
      </c>
      <c r="J7" s="461">
        <f>landbouw!J8</f>
        <v>0.87295138753925683</v>
      </c>
      <c r="K7" s="461">
        <f>landbouw!K8</f>
        <v>0</v>
      </c>
      <c r="L7" s="461">
        <f>landbouw!L8</f>
        <v>0</v>
      </c>
      <c r="M7" s="461">
        <f>landbouw!M8</f>
        <v>0</v>
      </c>
      <c r="N7" s="461">
        <f>landbouw!N8</f>
        <v>0</v>
      </c>
      <c r="O7" s="461">
        <f>landbouw!O8</f>
        <v>0</v>
      </c>
      <c r="P7" s="462">
        <f>landbouw!P8</f>
        <v>0</v>
      </c>
      <c r="Q7" s="460">
        <f t="shared" si="0"/>
        <v>5133.7926398801455</v>
      </c>
    </row>
    <row r="8" spans="1:17">
      <c r="A8" s="460" t="s">
        <v>656</v>
      </c>
      <c r="B8" s="461">
        <f>industrie!B18</f>
        <v>25505.036595017205</v>
      </c>
      <c r="C8" s="461">
        <f>industrie!C18</f>
        <v>0</v>
      </c>
      <c r="D8" s="461">
        <f>industrie!D18</f>
        <v>9691.554825837482</v>
      </c>
      <c r="E8" s="461">
        <f>industrie!E18</f>
        <v>300.56360263924188</v>
      </c>
      <c r="F8" s="461">
        <f>industrie!F18</f>
        <v>11597.819223382841</v>
      </c>
      <c r="G8" s="461">
        <f>industrie!G18</f>
        <v>0</v>
      </c>
      <c r="H8" s="461">
        <f>industrie!H18</f>
        <v>0</v>
      </c>
      <c r="I8" s="461">
        <f>industrie!I18</f>
        <v>0</v>
      </c>
      <c r="J8" s="461">
        <f>industrie!J18</f>
        <v>51.964463114032206</v>
      </c>
      <c r="K8" s="461">
        <f>industrie!K18</f>
        <v>0</v>
      </c>
      <c r="L8" s="461">
        <f>industrie!L18</f>
        <v>0</v>
      </c>
      <c r="M8" s="461">
        <f>industrie!M18</f>
        <v>0</v>
      </c>
      <c r="N8" s="461">
        <f>industrie!N18</f>
        <v>1115.1157477298991</v>
      </c>
      <c r="O8" s="461">
        <f>industrie!O18</f>
        <v>0</v>
      </c>
      <c r="P8" s="462">
        <f>industrie!P18</f>
        <v>0</v>
      </c>
      <c r="Q8" s="460">
        <f t="shared" si="0"/>
        <v>48262.054457720697</v>
      </c>
    </row>
    <row r="9" spans="1:17" s="466" customFormat="1">
      <c r="A9" s="464" t="s">
        <v>574</v>
      </c>
      <c r="B9" s="465">
        <f>transport!B14</f>
        <v>3.3567490811761784</v>
      </c>
      <c r="C9" s="465">
        <f>transport!C14</f>
        <v>0</v>
      </c>
      <c r="D9" s="465">
        <f>transport!D14</f>
        <v>15.623239497522539</v>
      </c>
      <c r="E9" s="465">
        <f>transport!E14</f>
        <v>1932.0045347466271</v>
      </c>
      <c r="F9" s="465">
        <f>transport!F14</f>
        <v>0</v>
      </c>
      <c r="G9" s="465">
        <f>transport!G14</f>
        <v>323075.89542601758</v>
      </c>
      <c r="H9" s="465">
        <f>transport!H14</f>
        <v>54705.290355871679</v>
      </c>
      <c r="I9" s="465">
        <f>transport!I14</f>
        <v>0</v>
      </c>
      <c r="J9" s="465">
        <f>transport!J14</f>
        <v>0</v>
      </c>
      <c r="K9" s="465">
        <f>transport!K14</f>
        <v>0</v>
      </c>
      <c r="L9" s="465">
        <f>transport!L14</f>
        <v>0</v>
      </c>
      <c r="M9" s="465">
        <f>transport!M14</f>
        <v>16482.104197615106</v>
      </c>
      <c r="N9" s="465">
        <f>transport!N14</f>
        <v>0</v>
      </c>
      <c r="O9" s="465">
        <f>transport!O14</f>
        <v>0</v>
      </c>
      <c r="P9" s="465">
        <f>transport!P14</f>
        <v>0</v>
      </c>
      <c r="Q9" s="464">
        <f>SUM(B9:P9)</f>
        <v>396214.27450282971</v>
      </c>
    </row>
    <row r="10" spans="1:17">
      <c r="A10" s="460" t="s">
        <v>564</v>
      </c>
      <c r="B10" s="461">
        <f>transport!B54</f>
        <v>0</v>
      </c>
      <c r="C10" s="461">
        <f>transport!C54</f>
        <v>0</v>
      </c>
      <c r="D10" s="461">
        <f>transport!D54</f>
        <v>0</v>
      </c>
      <c r="E10" s="461">
        <f>transport!E54</f>
        <v>0</v>
      </c>
      <c r="F10" s="461">
        <f>transport!F54</f>
        <v>0</v>
      </c>
      <c r="G10" s="461">
        <f>transport!G54</f>
        <v>4537.7953094220584</v>
      </c>
      <c r="H10" s="461">
        <f>transport!H54</f>
        <v>0</v>
      </c>
      <c r="I10" s="461">
        <f>transport!I54</f>
        <v>0</v>
      </c>
      <c r="J10" s="461">
        <f>transport!J54</f>
        <v>0</v>
      </c>
      <c r="K10" s="461">
        <f>transport!K54</f>
        <v>0</v>
      </c>
      <c r="L10" s="461">
        <f>transport!L54</f>
        <v>0</v>
      </c>
      <c r="M10" s="461">
        <f>transport!M54</f>
        <v>193.42649969527562</v>
      </c>
      <c r="N10" s="461">
        <f>transport!N54</f>
        <v>0</v>
      </c>
      <c r="O10" s="461">
        <f>transport!O54</f>
        <v>0</v>
      </c>
      <c r="P10" s="462">
        <f>transport!P54</f>
        <v>0</v>
      </c>
      <c r="Q10" s="460">
        <f t="shared" si="0"/>
        <v>4731.2218091173336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215735.75716652971</v>
      </c>
      <c r="C14" s="471">
        <f t="shared" ref="C14:Q14" ca="1" si="1">SUM(C4:C13)</f>
        <v>0</v>
      </c>
      <c r="D14" s="471">
        <f t="shared" ca="1" si="1"/>
        <v>153918.83928433398</v>
      </c>
      <c r="E14" s="471">
        <f t="shared" si="1"/>
        <v>8358.3242906327378</v>
      </c>
      <c r="F14" s="471">
        <f t="shared" ca="1" si="1"/>
        <v>38438.710254609148</v>
      </c>
      <c r="G14" s="471">
        <f t="shared" si="1"/>
        <v>327613.69073543965</v>
      </c>
      <c r="H14" s="471">
        <f t="shared" si="1"/>
        <v>54705.290355871679</v>
      </c>
      <c r="I14" s="471">
        <f t="shared" si="1"/>
        <v>0</v>
      </c>
      <c r="J14" s="471">
        <f t="shared" si="1"/>
        <v>52.837414501571466</v>
      </c>
      <c r="K14" s="471">
        <f t="shared" si="1"/>
        <v>0</v>
      </c>
      <c r="L14" s="471">
        <f t="shared" ca="1" si="1"/>
        <v>0</v>
      </c>
      <c r="M14" s="471">
        <f t="shared" si="1"/>
        <v>16675.530697310383</v>
      </c>
      <c r="N14" s="471">
        <f t="shared" ca="1" si="1"/>
        <v>5997.5076445244349</v>
      </c>
      <c r="O14" s="471">
        <f t="shared" si="1"/>
        <v>20.323333333333334</v>
      </c>
      <c r="P14" s="472">
        <f t="shared" si="1"/>
        <v>343.2</v>
      </c>
      <c r="Q14" s="472">
        <f t="shared" ca="1" si="1"/>
        <v>821860.01117708674</v>
      </c>
    </row>
    <row r="16" spans="1:17">
      <c r="A16" s="474" t="s">
        <v>569</v>
      </c>
      <c r="B16" s="828">
        <f ca="1">huishoudens!B10</f>
        <v>0.22039644552738138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4444.287851986076</v>
      </c>
      <c r="C21" s="461">
        <f t="shared" ref="C21:C30" ca="1" si="3">C4*$C$16</f>
        <v>0</v>
      </c>
      <c r="D21" s="461">
        <f t="shared" ref="D21:D30" si="4">D4*$D$16</f>
        <v>12940.850609539069</v>
      </c>
      <c r="E21" s="461">
        <f t="shared" ref="E21:E30" si="5">E4*$E$16</f>
        <v>138.65980597529494</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17523.798267500439</v>
      </c>
    </row>
    <row r="22" spans="1:17">
      <c r="A22" s="460" t="s">
        <v>156</v>
      </c>
      <c r="B22" s="461">
        <f t="shared" ca="1" si="2"/>
        <v>37150.025448239525</v>
      </c>
      <c r="C22" s="461">
        <f t="shared" ca="1" si="3"/>
        <v>0</v>
      </c>
      <c r="D22" s="461">
        <f t="shared" ca="1" si="4"/>
        <v>15165.191402815222</v>
      </c>
      <c r="E22" s="461">
        <f t="shared" si="5"/>
        <v>1251.8636049126833</v>
      </c>
      <c r="F22" s="461">
        <f t="shared" ca="1" si="6"/>
        <v>7153.1135864139505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60720.194042381379</v>
      </c>
    </row>
    <row r="23" spans="1:17">
      <c r="A23" s="460" t="s">
        <v>195</v>
      </c>
      <c r="B23" s="461">
        <f t="shared" ca="1" si="2"/>
        <v>328.96726093729791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328.96726093729791</v>
      </c>
    </row>
    <row r="24" spans="1:17">
      <c r="A24" s="460" t="s">
        <v>112</v>
      </c>
      <c r="B24" s="461">
        <f t="shared" ca="1" si="2"/>
        <v>2.1542673449521788</v>
      </c>
      <c r="C24" s="461">
        <f t="shared" ca="1" si="3"/>
        <v>0</v>
      </c>
      <c r="D24" s="461">
        <f t="shared" si="4"/>
        <v>1024.7135538835005</v>
      </c>
      <c r="E24" s="461">
        <f t="shared" si="5"/>
        <v>2.3235899061000473E-2</v>
      </c>
      <c r="F24" s="461">
        <f t="shared" si="6"/>
        <v>13.40431892347336</v>
      </c>
      <c r="G24" s="461">
        <f t="shared" si="7"/>
        <v>0</v>
      </c>
      <c r="H24" s="461">
        <f t="shared" si="8"/>
        <v>0</v>
      </c>
      <c r="I24" s="461">
        <f t="shared" si="9"/>
        <v>0</v>
      </c>
      <c r="J24" s="461">
        <f t="shared" si="10"/>
        <v>0.30902479118889692</v>
      </c>
      <c r="K24" s="461">
        <f t="shared" si="11"/>
        <v>0</v>
      </c>
      <c r="L24" s="461">
        <f t="shared" si="12"/>
        <v>0</v>
      </c>
      <c r="M24" s="461">
        <f t="shared" si="13"/>
        <v>0</v>
      </c>
      <c r="N24" s="461">
        <f t="shared" si="14"/>
        <v>0</v>
      </c>
      <c r="O24" s="461">
        <f t="shared" si="15"/>
        <v>0</v>
      </c>
      <c r="P24" s="462">
        <f t="shared" si="16"/>
        <v>0</v>
      </c>
      <c r="Q24" s="460">
        <f t="shared" ca="1" si="17"/>
        <v>1040.6044008421759</v>
      </c>
    </row>
    <row r="25" spans="1:17">
      <c r="A25" s="460" t="s">
        <v>656</v>
      </c>
      <c r="B25" s="461">
        <f t="shared" ca="1" si="2"/>
        <v>5621.2194085875781</v>
      </c>
      <c r="C25" s="461">
        <f t="shared" ca="1" si="3"/>
        <v>0</v>
      </c>
      <c r="D25" s="461">
        <f t="shared" si="4"/>
        <v>1957.6940748191714</v>
      </c>
      <c r="E25" s="461">
        <f t="shared" si="5"/>
        <v>68.227937799107906</v>
      </c>
      <c r="F25" s="461">
        <f t="shared" si="6"/>
        <v>3096.6177326432189</v>
      </c>
      <c r="G25" s="461">
        <f t="shared" si="7"/>
        <v>0</v>
      </c>
      <c r="H25" s="461">
        <f t="shared" si="8"/>
        <v>0</v>
      </c>
      <c r="I25" s="461">
        <f t="shared" si="9"/>
        <v>0</v>
      </c>
      <c r="J25" s="461">
        <f t="shared" si="10"/>
        <v>18.395419942367401</v>
      </c>
      <c r="K25" s="461">
        <f t="shared" si="11"/>
        <v>0</v>
      </c>
      <c r="L25" s="461">
        <f t="shared" si="12"/>
        <v>0</v>
      </c>
      <c r="M25" s="461">
        <f t="shared" si="13"/>
        <v>0</v>
      </c>
      <c r="N25" s="461">
        <f t="shared" si="14"/>
        <v>0</v>
      </c>
      <c r="O25" s="461">
        <f t="shared" si="15"/>
        <v>0</v>
      </c>
      <c r="P25" s="462">
        <f t="shared" si="16"/>
        <v>0</v>
      </c>
      <c r="Q25" s="460">
        <f t="shared" ca="1" si="17"/>
        <v>10762.154573791446</v>
      </c>
    </row>
    <row r="26" spans="1:17" s="466" customFormat="1">
      <c r="A26" s="464" t="s">
        <v>574</v>
      </c>
      <c r="B26" s="822">
        <f t="shared" ca="1" si="2"/>
        <v>0.73981556601853316</v>
      </c>
      <c r="C26" s="465">
        <f t="shared" ca="1" si="3"/>
        <v>0</v>
      </c>
      <c r="D26" s="465">
        <f t="shared" si="4"/>
        <v>3.155894378499553</v>
      </c>
      <c r="E26" s="465">
        <f t="shared" si="5"/>
        <v>438.56502938748434</v>
      </c>
      <c r="F26" s="465">
        <f t="shared" si="6"/>
        <v>0</v>
      </c>
      <c r="G26" s="465">
        <f t="shared" si="7"/>
        <v>86261.264078746695</v>
      </c>
      <c r="H26" s="465">
        <f t="shared" si="8"/>
        <v>13621.617298612047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100325.34211669075</v>
      </c>
    </row>
    <row r="27" spans="1:17">
      <c r="A27" s="460" t="s">
        <v>564</v>
      </c>
      <c r="B27" s="461">
        <f t="shared" ca="1" si="2"/>
        <v>0</v>
      </c>
      <c r="C27" s="461">
        <f t="shared" ca="1" si="3"/>
        <v>0</v>
      </c>
      <c r="D27" s="461">
        <f t="shared" si="4"/>
        <v>0</v>
      </c>
      <c r="E27" s="461">
        <f t="shared" si="5"/>
        <v>0</v>
      </c>
      <c r="F27" s="461">
        <f t="shared" si="6"/>
        <v>0</v>
      </c>
      <c r="G27" s="461">
        <f t="shared" si="7"/>
        <v>1211.5913476156898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1211.5913476156898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47547.394052661446</v>
      </c>
      <c r="C31" s="471">
        <f t="shared" ca="1" si="18"/>
        <v>0</v>
      </c>
      <c r="D31" s="471">
        <f t="shared" ca="1" si="18"/>
        <v>31091.605535435461</v>
      </c>
      <c r="E31" s="471">
        <f t="shared" si="18"/>
        <v>1897.3396139736315</v>
      </c>
      <c r="F31" s="471">
        <f t="shared" ca="1" si="18"/>
        <v>10263.135637980642</v>
      </c>
      <c r="G31" s="471">
        <f t="shared" si="18"/>
        <v>87472.855426362381</v>
      </c>
      <c r="H31" s="471">
        <f t="shared" si="18"/>
        <v>13621.617298612047</v>
      </c>
      <c r="I31" s="471">
        <f t="shared" si="18"/>
        <v>0</v>
      </c>
      <c r="J31" s="471">
        <f t="shared" si="18"/>
        <v>18.704444733556297</v>
      </c>
      <c r="K31" s="471">
        <f t="shared" si="18"/>
        <v>0</v>
      </c>
      <c r="L31" s="471">
        <f t="shared" ca="1" si="18"/>
        <v>0</v>
      </c>
      <c r="M31" s="471">
        <f t="shared" si="18"/>
        <v>0</v>
      </c>
      <c r="N31" s="471">
        <f t="shared" ca="1" si="18"/>
        <v>0</v>
      </c>
      <c r="O31" s="471">
        <f t="shared" si="18"/>
        <v>0</v>
      </c>
      <c r="P31" s="472">
        <f t="shared" si="18"/>
        <v>0</v>
      </c>
      <c r="Q31" s="472">
        <f t="shared" ca="1" si="18"/>
        <v>191912.65200975916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0.22039644552738138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0.22039644552738138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0.22039644552738138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2018-06-27T09:00:13Z</dcterms:modified>
</cp:coreProperties>
</file>