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V88"/>
  <c r="U88"/>
  <c r="T88"/>
  <c r="S88"/>
  <c r="R8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R58"/>
  <c r="Q58"/>
  <c r="P58"/>
  <c r="O58"/>
  <c r="C16" i="16" s="1"/>
  <c r="N58" i="1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C17"/>
  <c r="B17"/>
  <c r="B16"/>
  <c r="B78" i="14" s="1"/>
  <c r="K11" i="18"/>
  <c r="J11"/>
  <c r="I11"/>
  <c r="H11"/>
  <c r="G11"/>
  <c r="F11"/>
  <c r="E11"/>
  <c r="D11"/>
  <c r="C11"/>
  <c r="L8"/>
  <c r="L9" s="1"/>
  <c r="K8"/>
  <c r="K9" s="1"/>
  <c r="I8"/>
  <c r="H8"/>
  <c r="G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E8"/>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M79" i="14"/>
  <c r="K79"/>
  <c r="E79"/>
  <c r="B79"/>
  <c r="M78"/>
  <c r="L78"/>
  <c r="H78"/>
  <c r="G78"/>
  <c r="E78"/>
  <c r="J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C18" i="16" l="1"/>
  <c r="C8" i="48" s="1"/>
  <c r="N16" i="16"/>
  <c r="D16"/>
  <c r="O80" i="14"/>
  <c r="F13" i="15"/>
  <c r="D6" i="17"/>
  <c r="D8" s="1"/>
  <c r="L68" i="14"/>
  <c r="J8" i="18"/>
  <c r="K68" i="14" s="1"/>
  <c r="H68"/>
  <c r="H69" s="1"/>
  <c r="C97" i="18"/>
  <c r="I100" s="1"/>
  <c r="H7" s="1"/>
  <c r="I67" i="14" s="1"/>
  <c r="F16" i="16"/>
  <c r="D13" i="15"/>
  <c r="D12" i="22"/>
  <c r="E17" i="14"/>
  <c r="D13" i="48"/>
  <c r="D30" s="1"/>
  <c r="D31" i="20"/>
  <c r="E43" i="14" s="1"/>
  <c r="I101" i="18"/>
  <c r="H16" s="1"/>
  <c r="I78" i="14" s="1"/>
  <c r="E101" i="18"/>
  <c r="E16" s="1"/>
  <c r="F78" i="14" s="1"/>
  <c r="F101" i="18"/>
  <c r="H101"/>
  <c r="D101"/>
  <c r="G101"/>
  <c r="C101"/>
  <c r="B101"/>
  <c r="C16" s="1"/>
  <c r="D78" i="14" s="1"/>
  <c r="E12" i="22"/>
  <c r="F17" i="14"/>
  <c r="E13" i="48"/>
  <c r="B12" i="22"/>
  <c r="C17" i="14"/>
  <c r="B13" i="48"/>
  <c r="B13" i="16"/>
  <c r="C35"/>
  <c r="C64" i="14"/>
  <c r="D11" i="48"/>
  <c r="D14" i="15"/>
  <c r="K19" i="19"/>
  <c r="L35" i="14" s="1"/>
  <c r="I19" i="19"/>
  <c r="J35" i="14" s="1"/>
  <c r="B6" i="48"/>
  <c r="Q6" s="1"/>
  <c r="P22" i="16"/>
  <c r="Q39" i="14" s="1"/>
  <c r="P18" i="16"/>
  <c r="P8" i="48" s="1"/>
  <c r="P25" s="1"/>
  <c r="J8" i="17"/>
  <c r="J7" i="48" s="1"/>
  <c r="J24" s="1"/>
  <c r="G19" i="18"/>
  <c r="K19"/>
  <c r="L16" i="16"/>
  <c r="L18" s="1"/>
  <c r="N6" i="17"/>
  <c r="G100" i="18"/>
  <c r="B81" i="14"/>
  <c r="F100" i="18"/>
  <c r="E31" i="20"/>
  <c r="F43" i="14" s="1"/>
  <c r="H14" i="22"/>
  <c r="F8" i="17"/>
  <c r="G22" i="14" s="1"/>
  <c r="D100" i="18"/>
  <c r="E9" i="14"/>
  <c r="J9"/>
  <c r="J15" s="1"/>
  <c r="N9"/>
  <c r="I11" i="48"/>
  <c r="M11"/>
  <c r="M19" i="19"/>
  <c r="N35" i="14" s="1"/>
  <c r="J7" i="15"/>
  <c r="O5" i="16"/>
  <c r="B7" i="18"/>
  <c r="B67" i="14" s="1"/>
  <c r="C80"/>
  <c r="C16" i="15"/>
  <c r="D10" i="14" s="1"/>
  <c r="L6" i="17"/>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I17" i="14"/>
  <c r="H13" i="48"/>
  <c r="H30" s="1"/>
  <c r="H31" i="20"/>
  <c r="I43" i="14" s="1"/>
  <c r="G31" i="20"/>
  <c r="H43" i="14" s="1"/>
  <c r="C78" i="22"/>
  <c r="E7" i="15"/>
  <c r="Q9" i="14"/>
  <c r="G5" i="48"/>
  <c r="E12" i="15"/>
  <c r="O5"/>
  <c r="O16" s="1"/>
  <c r="M20"/>
  <c r="N36" i="14" s="1"/>
  <c r="N41" s="1"/>
  <c r="N10"/>
  <c r="G20" i="15"/>
  <c r="H36" i="14" s="1"/>
  <c r="H41" s="1"/>
  <c r="H20" i="15"/>
  <c r="I36" i="14" s="1"/>
  <c r="I41" s="1"/>
  <c r="I10"/>
  <c r="I15" s="1"/>
  <c r="C66"/>
  <c r="B66"/>
  <c r="F8" i="16"/>
  <c r="J9"/>
  <c r="B7" i="48"/>
  <c r="C22" i="14"/>
  <c r="C65"/>
  <c r="B65"/>
  <c r="F6" i="15"/>
  <c r="F8"/>
  <c r="N10" i="16"/>
  <c r="E14"/>
  <c r="L41" i="14"/>
  <c r="N15"/>
  <c r="H15"/>
  <c r="L15"/>
  <c r="M46"/>
  <c r="P20"/>
  <c r="K20"/>
  <c r="G20"/>
  <c r="L69"/>
  <c r="D5" i="15"/>
  <c r="D16" s="1"/>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7"/>
  <c r="I26"/>
  <c r="I29"/>
  <c r="K26"/>
  <c r="O29"/>
  <c r="K21"/>
  <c r="G21"/>
  <c r="M16"/>
  <c r="M21" s="1"/>
  <c r="K29"/>
  <c r="B39" i="13"/>
  <c r="B51" s="1"/>
  <c r="F5" s="1"/>
  <c r="F8" s="1"/>
  <c r="G11" i="14" s="1"/>
  <c r="I21" i="48"/>
  <c r="K27"/>
  <c r="G29"/>
  <c r="O21"/>
  <c r="H24"/>
  <c r="L16"/>
  <c r="L21"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B10" i="48"/>
  <c r="C18" i="14"/>
  <c r="F7" i="48"/>
  <c r="F24" s="1"/>
  <c r="J12" i="17"/>
  <c r="K48" i="14" s="1"/>
  <c r="P24" i="48"/>
  <c r="E5" i="17"/>
  <c r="C8"/>
  <c r="G24" i="48"/>
  <c r="K14"/>
  <c r="I24"/>
  <c r="G81" i="14"/>
  <c r="D79"/>
  <c r="H79"/>
  <c r="H81" s="1"/>
  <c r="L79"/>
  <c r="L81" s="1"/>
  <c r="F79"/>
  <c r="F81" s="1"/>
  <c r="J79"/>
  <c r="E68"/>
  <c r="E69" s="1"/>
  <c r="I68"/>
  <c r="I69" s="1"/>
  <c r="M68"/>
  <c r="M69" s="1"/>
  <c r="D19" i="18"/>
  <c r="H19"/>
  <c r="L19"/>
  <c r="B68" i="14"/>
  <c r="G68"/>
  <c r="G69" s="1"/>
  <c r="E81"/>
  <c r="I81"/>
  <c r="M81"/>
  <c r="B19" i="18"/>
  <c r="F19"/>
  <c r="D11" i="14"/>
  <c r="C4" i="48"/>
  <c r="M17" i="18"/>
  <c r="M18"/>
  <c r="D7" i="48" l="1"/>
  <c r="D24" s="1"/>
  <c r="E22" i="14"/>
  <c r="D12" i="17"/>
  <c r="E48" i="14" s="1"/>
  <c r="E100" i="18"/>
  <c r="E7" s="1"/>
  <c r="H100"/>
  <c r="O78" i="14"/>
  <c r="M8" i="18"/>
  <c r="L30" i="48"/>
  <c r="L23"/>
  <c r="B100" i="18"/>
  <c r="C7" s="1"/>
  <c r="B35" i="13"/>
  <c r="L8" i="17"/>
  <c r="L7" i="48" s="1"/>
  <c r="L24" s="1"/>
  <c r="L5" i="17"/>
  <c r="L29" i="48"/>
  <c r="E19" i="18"/>
  <c r="D13" i="14"/>
  <c r="H17"/>
  <c r="J16" i="18"/>
  <c r="K78" i="14" s="1"/>
  <c r="K81" s="1"/>
  <c r="N8" i="17"/>
  <c r="N5"/>
  <c r="H9" i="18"/>
  <c r="M28" i="48"/>
  <c r="C100" i="18"/>
  <c r="I16"/>
  <c r="D81" i="14"/>
  <c r="O79"/>
  <c r="M23" i="48"/>
  <c r="L27"/>
  <c r="B9" i="18"/>
  <c r="M31" i="20"/>
  <c r="N43" i="14" s="1"/>
  <c r="M12" i="22"/>
  <c r="O18" i="16"/>
  <c r="B34" i="13"/>
  <c r="I7" i="18"/>
  <c r="K22" i="14"/>
  <c r="M13"/>
  <c r="L8" i="48"/>
  <c r="L25" s="1"/>
  <c r="L22" i="16"/>
  <c r="M39" i="14" s="1"/>
  <c r="C7" i="48"/>
  <c r="D22" i="14"/>
  <c r="M22" i="48"/>
  <c r="B36" i="13"/>
  <c r="J7" i="18"/>
  <c r="O68" i="14"/>
  <c r="C68"/>
  <c r="F22"/>
  <c r="E8" i="17"/>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B46" i="13"/>
  <c r="E5" s="1"/>
  <c r="E8" s="1"/>
  <c r="E12" s="1"/>
  <c r="F37" i="14" s="1"/>
  <c r="K31" i="48"/>
  <c r="L26"/>
  <c r="B48" i="13"/>
  <c r="C48" s="1"/>
  <c r="N5" s="1"/>
  <c r="N8" s="1"/>
  <c r="N4" i="48" s="1"/>
  <c r="N21" s="1"/>
  <c r="M29"/>
  <c r="M25"/>
  <c r="M24"/>
  <c r="I31"/>
  <c r="C50" i="13"/>
  <c r="J5" s="1"/>
  <c r="J8" s="1"/>
  <c r="E7" i="48"/>
  <c r="E24" s="1"/>
  <c r="E12" i="17"/>
  <c r="F48" i="14" s="1"/>
  <c r="C5" i="48"/>
  <c r="C14" s="1"/>
  <c r="J78" i="14" l="1"/>
  <c r="I19" i="18"/>
  <c r="C9"/>
  <c r="D67" i="14"/>
  <c r="M16" i="18"/>
  <c r="M19" s="1"/>
  <c r="J19"/>
  <c r="E13" i="14"/>
  <c r="E15" s="1"/>
  <c r="E23" s="1"/>
  <c r="L12" i="17"/>
  <c r="M48" i="14" s="1"/>
  <c r="O22"/>
  <c r="N12" i="17"/>
  <c r="O48" i="14" s="1"/>
  <c r="N7" i="48"/>
  <c r="N24" s="1"/>
  <c r="F67" i="14"/>
  <c r="F69" s="1"/>
  <c r="E9" i="18"/>
  <c r="O81" i="14"/>
  <c r="B17" i="6" s="1"/>
  <c r="Q13" i="48"/>
  <c r="D8"/>
  <c r="D25" s="1"/>
  <c r="M22" i="14"/>
  <c r="R22"/>
  <c r="E20" i="15"/>
  <c r="F36" i="14" s="1"/>
  <c r="E16" i="15"/>
  <c r="K67" i="14"/>
  <c r="K69" s="1"/>
  <c r="J9" i="18"/>
  <c r="J67" i="14"/>
  <c r="I9" i="18"/>
  <c r="M7"/>
  <c r="M9" s="1"/>
  <c r="K10" i="14"/>
  <c r="J16" i="15"/>
  <c r="J5" i="48" s="1"/>
  <c r="J22" s="1"/>
  <c r="O8"/>
  <c r="O25" s="1"/>
  <c r="P13" i="14"/>
  <c r="P15" s="1"/>
  <c r="P23" s="1"/>
  <c r="M14" i="22"/>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M9" i="48"/>
  <c r="N19" i="14"/>
  <c r="E5" i="48"/>
  <c r="E22" s="1"/>
  <c r="P14"/>
  <c r="F10" i="14"/>
  <c r="B8" i="48"/>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C78" i="14" l="1"/>
  <c r="C81" s="1"/>
  <c r="J81"/>
  <c r="O67"/>
  <c r="D69"/>
  <c r="Q7" i="48"/>
  <c r="P55" i="14"/>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N22" i="16"/>
  <c r="O39" i="14" s="1"/>
  <c r="O41" s="1"/>
  <c r="F8" i="48"/>
  <c r="Q4"/>
  <c r="N22"/>
  <c r="R11" i="14"/>
  <c r="J21" i="48"/>
  <c r="R10" i="14"/>
  <c r="K13" l="1"/>
  <c r="K15" s="1"/>
  <c r="K23" s="1"/>
  <c r="K55" s="1"/>
  <c r="O13"/>
  <c r="O15" s="1"/>
  <c r="F22" i="16"/>
  <c r="G39" i="14" s="1"/>
  <c r="G41" s="1"/>
  <c r="N25" i="48"/>
  <c r="N31" s="1"/>
  <c r="N14"/>
  <c r="E8"/>
  <c r="Q8" s="1"/>
  <c r="Q14"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F25"/>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<sst xmlns="http://schemas.openxmlformats.org/spreadsheetml/2006/main" count="2029" uniqueCount="894">
  <si>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</si>
  <si>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</si>
  <si>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</si>
  <si>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</si>
  <si>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</si>
  <si>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</si>
  <si>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</si>
  <si>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</si>
  <si>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</si>
  <si>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</si>
  <si>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</si>
  <si>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</si>
  <si>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</si>
  <si>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</si>
  <si>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</si>
  <si>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</si>
  <si>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</si>
  <si>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</si>
  <si>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</si>
  <si>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</si>
  <si>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</si>
  <si>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</si>
  <si>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</si>
  <si>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</si>
  <si>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</si>
  <si>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</si>
  <si>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</si>
  <si>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</si>
  <si>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</si>
  <si>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</si>
  <si>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</si>
  <si>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</si>
  <si>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</si>
  <si>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</si>
  <si>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</si>
  <si>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</si>
  <si>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</si>
  <si>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</si>
  <si>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</si>
  <si>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</si>
  <si>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</si>
  <si>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</si>
  <si>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</si>
  <si>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</si>
  <si>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</si>
  <si>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</si>
  <si>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</si>
  <si>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</si>
  <si>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</si>
  <si>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</si>
  <si>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</si>
  <si>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</si>
  <si>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</si>
  <si>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</si>
  <si>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</si>
  <si>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</si>
  <si>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</si>
  <si>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</si>
  <si>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</si>
  <si>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</si>
  <si>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</si>
  <si>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</si>
  <si>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</si>
  <si>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</si>
  <si>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</si>
  <si>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</si>
  <si>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</si>
  <si>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</si>
  <si>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</si>
  <si>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</si>
  <si>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</si>
  <si>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</si>
  <si>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</si>
  <si>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</si>
  <si>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</si>
  <si>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</si>
  <si>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</si>
  <si>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</si>
  <si>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</si>
  <si>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</si>
  <si>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</si>
  <si>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</si>
  <si>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</si>
  <si>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</si>
  <si>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</si>
  <si>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</si>
  <si>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</si>
  <si>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</si>
  <si>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</si>
  <si>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</si>
  <si>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</si>
  <si>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</si>
  <si>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</si>
  <si>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</si>
  <si>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</si>
  <si>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</si>
  <si>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</si>
  <si>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</si>
  <si>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</si>
  <si>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</si>
  <si>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</si>
  <si>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</si>
  <si>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</si>
  <si>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</si>
  <si>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</si>
  <si>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</si>
  <si>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</si>
  <si>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</si>
  <si>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</si>
  <si>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</si>
  <si>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</si>
  <si>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</si>
  <si>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</si>
  <si>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</si>
  <si>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</si>
  <si>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</si>
  <si>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</si>
  <si>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</si>
  <si>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</si>
  <si>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</si>
  <si>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</si>
  <si>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</si>
  <si>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</si>
  <si>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</si>
  <si>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</si>
  <si>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</si>
  <si>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</si>
  <si>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</si>
  <si>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</si>
  <si>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</si>
  <si>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</si>
  <si>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</si>
  <si>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</si>
  <si>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</si>
  <si>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</si>
  <si>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</si>
  <si>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</si>
  <si>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</si>
  <si>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</si>
  <si>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</si>
  <si>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</si>
  <si>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</si>
  <si>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</si>
  <si>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</si>
  <si>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</si>
  <si>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</si>
  <si>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</si>
  <si>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</si>
  <si>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</si>
  <si>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</si>
  <si>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</si>
  <si>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</si>
  <si>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</si>
  <si>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</si>
  <si>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</si>
  <si>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</si>
  <si>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</si>
  <si>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</si>
  <si>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</si>
  <si>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</si>
  <si>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</si>
  <si>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</si>
  <si>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</si>
  <si>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</si>
  <si>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</si>
  <si>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</si>
  <si>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</si>
  <si>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</si>
  <si>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</si>
  <si>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</si>
  <si>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</si>
  <si>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</si>
  <si>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</si>
  <si>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</si>
  <si>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</si>
  <si>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</si>
  <si>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</si>
  <si>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</si>
  <si>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</si>
  <si>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</si>
  <si>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</si>
  <si>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</si>
  <si>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</si>
  <si>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</si>
  <si>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</si>
  <si>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</si>
  <si>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</si>
  <si>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</si>
  <si>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</si>
  <si>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</si>
  <si>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</si>
  <si>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</si>
  <si>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</si>
  <si>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</si>
  <si>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</si>
  <si>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</si>
  <si>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</si>
  <si>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</si>
  <si>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</si>
  <si>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</si>
  <si>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</si>
  <si>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</si>
  <si>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</si>
  <si>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</si>
  <si>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</si>
  <si>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</si>
  <si>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</si>
  <si>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</si>
  <si>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</si>
  <si>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</si>
  <si>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</si>
  <si>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</si>
  <si>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</si>
  <si>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</si>
  <si>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</si>
  <si>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</si>
  <si>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</si>
  <si>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</si>
  <si>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</si>
  <si>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</si>
  <si>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</si>
  <si>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</si>
  <si>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</si>
  <si>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</si>
  <si>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</si>
  <si>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</si>
  <si>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</si>
  <si>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</si>
  <si>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</si>
  <si>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</si>
  <si>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</si>
  <si>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</si>
  <si>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</si>
  <si>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</si>
  <si>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</si>
  <si>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</si>
  <si>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</si>
  <si>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</si>
  <si>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</si>
  <si>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</si>
  <si>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</si>
  <si>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</si>
  <si>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</si>
  <si>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</si>
  <si>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</si>
  <si>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</si>
  <si>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</si>
  <si>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</si>
  <si>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</si>
  <si>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</si>
  <si>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</si>
  <si>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</si>
  <si>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</si>
  <si>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</si>
  <si>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</si>
  <si>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</si>
  <si>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</si>
  <si>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</si>
  <si>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</si>
  <si>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</si>
  <si>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</si>
  <si>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</si>
  <si>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</si>
  <si>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</si>
  <si>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</si>
  <si>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</si>
  <si>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</si>
  <si>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</si>
  <si>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</si>
  <si>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</si>
  <si>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</si>
  <si>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</si>
  <si>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</si>
  <si>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</si>
  <si>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</si>
  <si>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</si>
  <si>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</si>
  <si>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</si>
  <si>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</si>
  <si>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</si>
  <si>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</si>
  <si>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</si>
  <si>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</si>
  <si>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</si>
  <si>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</si>
  <si>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</si>
  <si>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</si>
  <si>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</si>
  <si>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</si>
  <si>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</si>
  <si>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</si>
  <si>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</si>
  <si>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</si>
  <si>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</si>
  <si>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</si>
  <si>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</si>
  <si>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</si>
  <si>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</si>
  <si>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</si>
  <si>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</si>
  <si>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</si>
  <si>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</si>
  <si>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</si>
  <si>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</si>
  <si>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</si>
  <si>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</si>
  <si>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</si>
  <si>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</si>
  <si>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</si>
  <si>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</si>
  <si>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</si>
  <si>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</si>
  <si>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</si>
  <si>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</si>
  <si>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</si>
  <si>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</si>
  <si>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</si>
  <si>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</si>
  <si>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</si>
  <si>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</si>
  <si>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</si>
  <si>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</si>
  <si>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</si>
  <si>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</si>
  <si>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</si>
  <si>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</si>
  <si>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</si>
  <si>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</si>
  <si>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</si>
  <si>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</si>
  <si>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</si>
  <si>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</si>
  <si>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</si>
  <si>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</si>
  <si>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</si>
  <si>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</si>
  <si>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</si>
  <si>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</si>
  <si>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</si>
  <si>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</si>
  <si>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</si>
  <si>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</si>
  <si>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</si>
  <si>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</si>
  <si>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</si>
  <si>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</si>
  <si>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</si>
  <si>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</si>
  <si>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</si>
  <si>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</si>
  <si>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</si>
  <si>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</si>
  <si>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</si>
  <si>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</si>
  <si>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</si>
  <si>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</si>
  <si>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</si>
  <si>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</si>
  <si>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</si>
  <si>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</si>
  <si>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</si>
  <si>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</si>
  <si>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</si>
  <si>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</si>
  <si>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</si>
  <si>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</si>
  <si>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</si>
  <si>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</si>
  <si>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</si>
  <si>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</si>
  <si>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</si>
  <si>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</si>
  <si>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</si>
  <si>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</si>
  <si>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</si>
  <si>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</si>
  <si>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</si>
  <si>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</si>
  <si>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</si>
  <si>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</si>
  <si>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</si>
  <si>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</si>
  <si>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</si>
  <si>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</si>
  <si>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</si>
  <si>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</si>
  <si>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</si>
  <si>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</si>
  <si>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</si>
  <si>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</si>
  <si>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</si>
  <si>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</si>
  <si>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</si>
  <si>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</si>
  <si>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</si>
  <si>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</si>
  <si>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</si>
  <si>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</si>
  <si>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</si>
  <si>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</si>
  <si>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</si>
  <si>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</si>
  <si>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</si>
  <si>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</si>
  <si>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</si>
  <si>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</si>
  <si>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</si>
  <si>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</si>
  <si>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</si>
  <si>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</si>
  <si>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</si>
  <si>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</si>
  <si>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</si>
  <si>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</si>
  <si>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</si>
  <si>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</si>
  <si>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</si>
  <si>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</si>
  <si>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</si>
  <si>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</si>
  <si>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</si>
  <si>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</si>
  <si>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</si>
  <si>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</si>
  <si>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</si>
  <si>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</si>
  <si>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</si>
  <si>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</si>
  <si>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</si>
  <si>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</si>
  <si>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</si>
  <si>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</si>
  <si>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</si>
  <si>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</si>
  <si>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</si>
  <si>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</si>
  <si>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</si>
  <si>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</si>
  <si>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</si>
  <si>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</si>
  <si>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</si>
  <si>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</si>
  <si>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</si>
  <si>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</si>
  <si>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</si>
  <si>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</si>
  <si>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</si>
  <si>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</si>
  <si>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</si>
  <si>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</si>
  <si>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</si>
  <si>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</si>
  <si>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</si>
  <si>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</si>
  <si>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</si>
  <si>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</si>
  <si>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</si>
  <si>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</si>
  <si>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</si>
  <si>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</si>
  <si>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</si>
  <si>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</si>
  <si>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</si>
  <si>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</si>
  <si>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</si>
  <si>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</si>
  <si>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</si>
  <si>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</si>
  <si>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</si>
  <si>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</si>
  <si>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</si>
  <si>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</si>
  <si>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</si>
  <si>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</si>
  <si>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</si>
  <si>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</si>
  <si>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</si>
  <si>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</si>
  <si>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</si>
  <si>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</si>
  <si>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</si>
  <si>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</si>
  <si>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</si>
  <si>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</si>
  <si>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</si>
  <si>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</si>
  <si>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</si>
  <si>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</si>
  <si>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</si>
  <si>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</si>
  <si>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</si>
  <si>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</si>
  <si>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</si>
  <si>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</si>
  <si>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</si>
  <si>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</si>
  <si>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</si>
  <si>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</si>
  <si>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</si>
  <si>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</si>
  <si>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</si>
  <si>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</si>
  <si>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</si>
  <si>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</si>
  <si>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</si>
  <si>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</si>
  <si>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</si>
  <si>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</si>
  <si>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</si>
  <si>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</si>
  <si>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</si>
  <si>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</si>
  <si>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</si>
  <si>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</si>
  <si>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</si>
  <si>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</si>
  <si>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</si>
  <si>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</si>
  <si>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</si>
  <si>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</si>
  <si>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</si>
  <si>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</si>
  <si>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</si>
  <si>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</si>
  <si>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</si>
  <si>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</si>
  <si>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</si>
  <si>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</si>
  <si>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</si>
  <si>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</si>
  <si>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</si>
  <si>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</si>
  <si>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</si>
  <si>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</si>
  <si>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</si>
  <si>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</si>
  <si>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</si>
  <si>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</si>
  <si>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</si>
  <si>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</si>
  <si>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</si>
  <si>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</si>
  <si>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</si>
  <si>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</si>
  <si>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</si>
  <si>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</si>
  <si>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</si>
  <si>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</si>
  <si>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</si>
  <si>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</si>
  <si>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</si>
  <si>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</si>
  <si>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</si>
  <si>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</si>
  <si>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</si>
  <si>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</si>
  <si>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</si>
  <si>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</si>
  <si>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</si>
  <si>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</si>
  <si>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</si>
  <si>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</si>
  <si>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</si>
  <si>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</si>
  <si>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</si>
  <si>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</si>
  <si>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</si>
  <si>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</si>
  <si>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</si>
  <si>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</si>
  <si>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</si>
  <si>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</si>
  <si>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</si>
  <si>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</si>
  <si>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</si>
  <si>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</si>
  <si>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</si>
  <si>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</si>
  <si>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</si>
  <si>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</si>
  <si>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</si>
  <si>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</si>
  <si>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</si>
  <si>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</si>
  <si>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</si>
  <si>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</si>
  <si>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</si>
  <si>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</si>
  <si>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</si>
  <si>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</si>
  <si>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</si>
  <si>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</si>
  <si>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</si>
  <si>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</si>
  <si>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</si>
  <si>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</si>
  <si>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</si>
  <si>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</si>
  <si>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</si>
  <si>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</si>
  <si>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</si>
  <si>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</si>
  <si>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</si>
  <si>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</si>
  <si>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</si>
  <si>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</si>
  <si>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</si>
  <si>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</si>
  <si>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</si>
  <si>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</si>
  <si>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</si>
  <si>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</si>
  <si>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</si>
  <si>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</si>
  <si>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</si>
  <si>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</si>
  <si>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</si>
  <si>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</si>
  <si>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</si>
  <si>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</si>
  <si>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</si>
  <si>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</si>
  <si>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</si>
  <si>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</si>
  <si>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</si>
  <si>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</si>
  <si>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</si>
  <si>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</si>
  <si>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</si>
  <si>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</si>
  <si>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</si>
  <si>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</si>
  <si>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</si>
  <si>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</si>
  <si>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</si>
  <si>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</si>
  <si>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</si>
  <si>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</si>
  <si>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</si>
  <si>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</si>
  <si>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</si>
  <si>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</si>
  <si>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</si>
  <si>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</si>
  <si>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</si>
  <si>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</si>
  <si>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</si>
  <si>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</si>
  <si>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</si>
  <si>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</si>
  <si>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</si>
  <si>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</si>
  <si>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</si>
  <si>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</si>
  <si>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</si>
  <si>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</si>
  <si>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</si>
  <si>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</si>
  <si>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</si>
  <si>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</si>
  <si>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</si>
  <si>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</si>
  <si>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</si>
  <si>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</si>
  <si>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</si>
  <si>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</si>
  <si>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</si>
  <si>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</si>
  <si>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</si>
  <si>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</si>
  <si>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</si>
  <si>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</si>
  <si>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</si>
  <si>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</si>
  <si>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</si>
  <si>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</si>
  <si>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</si>
  <si>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</si>
  <si>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</si>
  <si>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</si>
  <si>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</si>
  <si>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</si>
  <si>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</si>
  <si>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</si>
  <si>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</si>
  <si>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</si>
  <si>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</si>
  <si>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</si>
  <si>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</si>
  <si>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</si>
  <si>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</si>
  <si>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</si>
  <si>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</si>
  <si>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</si>
  <si>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</si>
  <si>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</si>
  <si>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</si>
  <si>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</si>
  <si>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</si>
  <si>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</si>
  <si>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</si>
  <si>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</si>
  <si>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</si>
  <si>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</si>
  <si>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</si>
  <si>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</si>
  <si>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</si>
  <si>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</si>
  <si>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</si>
  <si>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</si>
  <si>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</si>
  <si>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</si>
  <si>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</si>
  <si>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</si>
  <si>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</si>
  <si>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</si>
  <si>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</si>
  <si>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</si>
  <si>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</si>
  <si>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</si>
  <si>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</si>
  <si>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</si>
  <si>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</si>
  <si>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</si>
  <si>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</si>
  <si>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</si>
  <si>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</si>
  <si>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</si>
  <si>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</si>
  <si>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</si>
  <si>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</si>
  <si>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</si>
  <si>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</si>
  <si>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</si>
  <si>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</si>
  <si>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</si>
  <si>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</si>
  <si>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</si>
  <si>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</si>
  <si>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</si>
  <si>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</si>
  <si>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</si>
  <si>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</si>
  <si>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</si>
  <si>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</si>
  <si>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</si>
  <si>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</si>
  <si>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</si>
  <si>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</si>
  <si>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</si>
  <si>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</si>
  <si>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</si>
  <si>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</si>
  <si>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</si>
  <si>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</si>
  <si>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</si>
  <si>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</si>
  <si>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</si>
  <si>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</si>
  <si>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</si>
  <si>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</si>
  <si>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</si>
  <si>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</si>
  <si>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</si>
  <si>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</si>
  <si>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</si>
  <si>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</si>
  <si>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</si>
  <si>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</si>
  <si>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</si>
  <si>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</si>
  <si>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</si>
  <si>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</si>
  <si>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</si>
  <si>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</si>
  <si>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</si>
  <si>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</si>
  <si>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</si>
  <si>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</si>
  <si>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</si>
  <si>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</si>
  <si>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</si>
  <si>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</si>
  <si>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</si>
  <si>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</si>
  <si>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</si>
  <si>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</si>
  <si>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</si>
  <si>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</si>
  <si>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</si>
  <si>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</si>
  <si>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</si>
  <si>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</si>
  <si>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</si>
  <si>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</si>
  <si>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</si>
  <si>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</si>
  <si>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</si>
  <si>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</si>
  <si>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</si>
  <si>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</si>
  <si>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</si>
  <si>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</si>
  <si>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</si>
  <si>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</si>
  <si>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</si>
  <si>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</si>
  <si>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</si>
  <si>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</si>
  <si>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</si>
  <si>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</si>
  <si>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</si>
  <si>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</si>
  <si>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</si>
  <si>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</si>
  <si>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</si>
  <si>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</si>
  <si>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</si>
  <si>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</si>
  <si>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</si>
  <si>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</si>
  <si>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</si>
  <si>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</si>
  <si>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</si>
  <si>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</si>
  <si>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</si>
  <si>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</si>
  <si>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</si>
  <si>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</si>
  <si>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</si>
  <si>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</si>
  <si>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</si>
  <si>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</si>
  <si>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</si>
  <si>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</si>
  <si>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</si>
  <si>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</si>
  <si>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</si>
  <si>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</si>
  <si>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</si>
  <si>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</si>
  <si>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</si>
  <si>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</si>
  <si>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</si>
  <si>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</si>
  <si>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</si>
  <si>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</si>
  <si>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</si>
  <si>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</si>
  <si>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</si>
  <si>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</si>
  <si>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</si>
  <si>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</si>
  <si>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</si>
  <si>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</si>
  <si>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</si>
  <si>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</si>
  <si>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</si>
  <si>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</si>
  <si>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</si>
  <si>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</si>
  <si>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</si>
  <si>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</si>
  <si>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</si>
  <si>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</si>
  <si>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</si>
  <si>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</si>
  <si>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</si>
  <si>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</si>
  <si>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</si>
  <si>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</si>
  <si>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</si>
  <si>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</si>
  <si>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</si>
  <si>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</si>
  <si>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</si>
  <si>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</si>
  <si>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</si>
  <si>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</si>
  <si>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</si>
  <si>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</si>
  <si>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</si>
  <si>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</si>
  <si>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</si>
  <si>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</si>
  <si>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23003</t>
  </si>
  <si>
    <t>BEERSEL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</si>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</sst>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23003</v>
      </c>
      <c r="B6" s="396"/>
      <c r="C6" s="397"/>
    </row>
    <row r="7" spans="1:7" s="394" customFormat="1" ht="15.75" customHeight="1">
      <c r="A7" s="398" t="str">
        <f>txtMunicipality</f>
        <v>BEERSEL</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23003</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9339</v>
      </c>
      <c r="C9" s="336">
        <v>9794</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872</v>
      </c>
    </row>
    <row r="15" spans="1:6">
      <c r="A15" s="1194" t="s">
        <v>185</v>
      </c>
      <c r="B15" s="333">
        <v>2</v>
      </c>
    </row>
    <row r="16" spans="1:6">
      <c r="A16" s="1194" t="s">
        <v>6</v>
      </c>
      <c r="B16" s="333">
        <v>134</v>
      </c>
    </row>
    <row r="17" spans="1:6">
      <c r="A17" s="1194" t="s">
        <v>7</v>
      </c>
      <c r="B17" s="333">
        <v>283</v>
      </c>
    </row>
    <row r="18" spans="1:6">
      <c r="A18" s="1194" t="s">
        <v>8</v>
      </c>
      <c r="B18" s="333">
        <v>308</v>
      </c>
    </row>
    <row r="19" spans="1:6">
      <c r="A19" s="1194" t="s">
        <v>9</v>
      </c>
      <c r="B19" s="333">
        <v>304</v>
      </c>
    </row>
    <row r="20" spans="1:6">
      <c r="A20" s="1194" t="s">
        <v>10</v>
      </c>
      <c r="B20" s="333">
        <v>321</v>
      </c>
    </row>
    <row r="21" spans="1:6">
      <c r="A21" s="1194" t="s">
        <v>11</v>
      </c>
      <c r="B21" s="333">
        <v>107</v>
      </c>
    </row>
    <row r="22" spans="1:6">
      <c r="A22" s="1194" t="s">
        <v>12</v>
      </c>
      <c r="B22" s="333">
        <v>323</v>
      </c>
    </row>
    <row r="23" spans="1:6">
      <c r="A23" s="1194" t="s">
        <v>13</v>
      </c>
      <c r="B23" s="333">
        <v>9</v>
      </c>
    </row>
    <row r="24" spans="1:6">
      <c r="A24" s="1194" t="s">
        <v>14</v>
      </c>
      <c r="B24" s="333">
        <v>0</v>
      </c>
    </row>
    <row r="25" spans="1:6">
      <c r="A25" s="1194" t="s">
        <v>15</v>
      </c>
      <c r="B25" s="333">
        <v>79</v>
      </c>
    </row>
    <row r="26" spans="1:6">
      <c r="A26" s="1194" t="s">
        <v>16</v>
      </c>
      <c r="B26" s="333">
        <v>32</v>
      </c>
    </row>
    <row r="27" spans="1:6">
      <c r="A27" s="1194" t="s">
        <v>17</v>
      </c>
      <c r="B27" s="333">
        <v>3</v>
      </c>
    </row>
    <row r="28" spans="1:6">
      <c r="A28" s="1194" t="s">
        <v>18</v>
      </c>
      <c r="B28" s="333">
        <v>25</v>
      </c>
    </row>
    <row r="29" spans="1:6">
      <c r="A29" s="1194" t="s">
        <v>888</v>
      </c>
      <c r="B29" s="333">
        <v>46</v>
      </c>
    </row>
    <row r="30" spans="1:6">
      <c r="A30" s="1190" t="s">
        <v>889</v>
      </c>
      <c r="B30" s="1190">
        <v>8</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5</v>
      </c>
      <c r="F38" s="333">
        <v>28550</v>
      </c>
    </row>
    <row r="39" spans="1:6">
      <c r="A39" s="1194" t="s">
        <v>30</v>
      </c>
      <c r="B39" s="1194" t="s">
        <v>31</v>
      </c>
      <c r="C39" s="333">
        <v>6153</v>
      </c>
      <c r="D39" s="333">
        <v>126505735.682956</v>
      </c>
      <c r="E39" s="333">
        <v>9246</v>
      </c>
      <c r="F39" s="333">
        <v>44628192.808293</v>
      </c>
    </row>
    <row r="40" spans="1:6">
      <c r="A40" s="1194" t="s">
        <v>30</v>
      </c>
      <c r="B40" s="1194" t="s">
        <v>29</v>
      </c>
      <c r="C40" s="333">
        <v>0</v>
      </c>
      <c r="D40" s="333">
        <v>0</v>
      </c>
      <c r="E40" s="333">
        <v>0</v>
      </c>
      <c r="F40" s="333">
        <v>0</v>
      </c>
    </row>
    <row r="41" spans="1:6">
      <c r="A41" s="1194" t="s">
        <v>32</v>
      </c>
      <c r="B41" s="1194" t="s">
        <v>33</v>
      </c>
      <c r="C41" s="333">
        <v>6</v>
      </c>
      <c r="D41" s="333">
        <v>113795.499527673</v>
      </c>
      <c r="E41" s="333">
        <v>75</v>
      </c>
      <c r="F41" s="333">
        <v>963678.070161624</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3</v>
      </c>
      <c r="F47" s="333">
        <v>1617851.56894127</v>
      </c>
    </row>
    <row r="48" spans="1:6">
      <c r="A48" s="1194" t="s">
        <v>32</v>
      </c>
      <c r="B48" s="1194" t="s">
        <v>29</v>
      </c>
      <c r="C48" s="333">
        <v>76</v>
      </c>
      <c r="D48" s="333">
        <v>32446972.343289401</v>
      </c>
      <c r="E48" s="333">
        <v>105</v>
      </c>
      <c r="F48" s="333">
        <v>16244855.194047101</v>
      </c>
    </row>
    <row r="49" spans="1:6">
      <c r="A49" s="1194" t="s">
        <v>32</v>
      </c>
      <c r="B49" s="1194" t="s">
        <v>40</v>
      </c>
      <c r="C49" s="333">
        <v>0</v>
      </c>
      <c r="D49" s="333">
        <v>0</v>
      </c>
      <c r="E49" s="333">
        <v>0</v>
      </c>
      <c r="F49" s="333">
        <v>0</v>
      </c>
    </row>
    <row r="50" spans="1:6">
      <c r="A50" s="1194" t="s">
        <v>32</v>
      </c>
      <c r="B50" s="1194" t="s">
        <v>41</v>
      </c>
      <c r="C50" s="333">
        <v>4</v>
      </c>
      <c r="D50" s="333">
        <v>83296.812240865096</v>
      </c>
      <c r="E50" s="333">
        <v>8</v>
      </c>
      <c r="F50" s="333">
        <v>129954.53195944001</v>
      </c>
    </row>
    <row r="51" spans="1:6">
      <c r="A51" s="1194" t="s">
        <v>42</v>
      </c>
      <c r="B51" s="1194" t="s">
        <v>43</v>
      </c>
      <c r="C51" s="333">
        <v>3</v>
      </c>
      <c r="D51" s="333">
        <v>34180.6624028601</v>
      </c>
      <c r="E51" s="333">
        <v>25</v>
      </c>
      <c r="F51" s="333">
        <v>182867.82495792501</v>
      </c>
    </row>
    <row r="52" spans="1:6">
      <c r="A52" s="1194" t="s">
        <v>42</v>
      </c>
      <c r="B52" s="1194" t="s">
        <v>29</v>
      </c>
      <c r="C52" s="333">
        <v>5</v>
      </c>
      <c r="D52" s="333">
        <v>76030.583337592994</v>
      </c>
      <c r="E52" s="333">
        <v>4</v>
      </c>
      <c r="F52" s="333">
        <v>13983.6862816267</v>
      </c>
    </row>
    <row r="53" spans="1:6">
      <c r="A53" s="1194" t="s">
        <v>44</v>
      </c>
      <c r="B53" s="1194" t="s">
        <v>45</v>
      </c>
      <c r="C53" s="333">
        <v>213</v>
      </c>
      <c r="D53" s="333">
        <v>5737693.3881805399</v>
      </c>
      <c r="E53" s="333">
        <v>378</v>
      </c>
      <c r="F53" s="333">
        <v>2916706.4748245799</v>
      </c>
    </row>
    <row r="54" spans="1:6">
      <c r="A54" s="1194" t="s">
        <v>46</v>
      </c>
      <c r="B54" s="1194" t="s">
        <v>47</v>
      </c>
      <c r="C54" s="333">
        <v>0</v>
      </c>
      <c r="D54" s="333">
        <v>0</v>
      </c>
      <c r="E54" s="333">
        <v>1</v>
      </c>
      <c r="F54" s="333">
        <v>2106063</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20</v>
      </c>
      <c r="D57" s="333">
        <v>426730.24555759598</v>
      </c>
      <c r="E57" s="333">
        <v>58</v>
      </c>
      <c r="F57" s="333">
        <v>989919.81037667696</v>
      </c>
    </row>
    <row r="58" spans="1:6">
      <c r="A58" s="1194" t="s">
        <v>49</v>
      </c>
      <c r="B58" s="1194" t="s">
        <v>51</v>
      </c>
      <c r="C58" s="333">
        <v>6</v>
      </c>
      <c r="D58" s="333">
        <v>256195.963312318</v>
      </c>
      <c r="E58" s="333">
        <v>119</v>
      </c>
      <c r="F58" s="333">
        <v>1792331.9946485499</v>
      </c>
    </row>
    <row r="59" spans="1:6">
      <c r="A59" s="1194" t="s">
        <v>49</v>
      </c>
      <c r="B59" s="1194" t="s">
        <v>52</v>
      </c>
      <c r="C59" s="333">
        <v>24</v>
      </c>
      <c r="D59" s="333">
        <v>3909809.9139836999</v>
      </c>
      <c r="E59" s="333">
        <v>88</v>
      </c>
      <c r="F59" s="333">
        <v>8609820.9565901496</v>
      </c>
    </row>
    <row r="60" spans="1:6">
      <c r="A60" s="1194" t="s">
        <v>49</v>
      </c>
      <c r="B60" s="1194" t="s">
        <v>53</v>
      </c>
      <c r="C60" s="333">
        <v>45</v>
      </c>
      <c r="D60" s="333">
        <v>2033197.6929991399</v>
      </c>
      <c r="E60" s="333">
        <v>58</v>
      </c>
      <c r="F60" s="333">
        <v>2043575.67962666</v>
      </c>
    </row>
    <row r="61" spans="1:6">
      <c r="A61" s="1194" t="s">
        <v>49</v>
      </c>
      <c r="B61" s="1194" t="s">
        <v>54</v>
      </c>
      <c r="C61" s="333">
        <v>150</v>
      </c>
      <c r="D61" s="333">
        <v>17390412.849143598</v>
      </c>
      <c r="E61" s="333">
        <v>281</v>
      </c>
      <c r="F61" s="333">
        <v>5500900.3707734002</v>
      </c>
    </row>
    <row r="62" spans="1:6">
      <c r="A62" s="1194" t="s">
        <v>49</v>
      </c>
      <c r="B62" s="1194" t="s">
        <v>55</v>
      </c>
      <c r="C62" s="333">
        <v>3</v>
      </c>
      <c r="D62" s="333">
        <v>1508820.6886417801</v>
      </c>
      <c r="E62" s="333">
        <v>0</v>
      </c>
      <c r="F62" s="333">
        <v>0</v>
      </c>
    </row>
    <row r="63" spans="1:6">
      <c r="A63" s="1194" t="s">
        <v>49</v>
      </c>
      <c r="B63" s="1194" t="s">
        <v>29</v>
      </c>
      <c r="C63" s="333">
        <v>227</v>
      </c>
      <c r="D63" s="333">
        <v>13826242.962505899</v>
      </c>
      <c r="E63" s="333">
        <v>331</v>
      </c>
      <c r="F63" s="333">
        <v>17419471.287636101</v>
      </c>
    </row>
    <row r="64" spans="1:6">
      <c r="A64" s="1194" t="s">
        <v>56</v>
      </c>
      <c r="B64" s="1194" t="s">
        <v>57</v>
      </c>
      <c r="C64" s="333">
        <v>0</v>
      </c>
      <c r="D64" s="333">
        <v>0</v>
      </c>
      <c r="E64" s="333">
        <v>0</v>
      </c>
      <c r="F64" s="333">
        <v>0</v>
      </c>
    </row>
    <row r="65" spans="1:6">
      <c r="A65" s="1194" t="s">
        <v>56</v>
      </c>
      <c r="B65" s="1194" t="s">
        <v>29</v>
      </c>
      <c r="C65" s="333">
        <v>4</v>
      </c>
      <c r="D65" s="333">
        <v>803383.12966761598</v>
      </c>
      <c r="E65" s="333">
        <v>5</v>
      </c>
      <c r="F65" s="333">
        <v>138744.499548978</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4</v>
      </c>
      <c r="F68" s="333">
        <v>223189.75789834</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117542</v>
      </c>
      <c r="E73" s="333">
        <v>118416.21315705837</v>
      </c>
      <c r="F73" s="333">
        <v>116167</v>
      </c>
    </row>
    <row r="74" spans="1:6">
      <c r="A74" s="1194" t="s">
        <v>64</v>
      </c>
      <c r="B74" s="1194" t="s">
        <v>775</v>
      </c>
      <c r="C74" s="1205" t="s">
        <v>776</v>
      </c>
      <c r="D74" s="333">
        <v>3154</v>
      </c>
      <c r="E74" s="333">
        <v>3101.8343753963222</v>
      </c>
      <c r="F74" s="333">
        <v>3118.5</v>
      </c>
    </row>
    <row r="75" spans="1:6">
      <c r="A75" s="1194" t="s">
        <v>65</v>
      </c>
      <c r="B75" s="1194" t="s">
        <v>773</v>
      </c>
      <c r="C75" s="1205" t="s">
        <v>777</v>
      </c>
      <c r="D75" s="333">
        <v>115226566</v>
      </c>
      <c r="E75" s="333">
        <v>116088564.82258341</v>
      </c>
      <c r="F75" s="333">
        <v>113878487</v>
      </c>
    </row>
    <row r="76" spans="1:6">
      <c r="A76" s="1194" t="s">
        <v>65</v>
      </c>
      <c r="B76" s="1194" t="s">
        <v>775</v>
      </c>
      <c r="C76" s="1205" t="s">
        <v>778</v>
      </c>
      <c r="D76" s="333">
        <v>3598700.7516092756</v>
      </c>
      <c r="E76" s="333">
        <v>3578291.7587102335</v>
      </c>
      <c r="F76" s="333">
        <v>3607655.2161429245</v>
      </c>
    </row>
    <row r="77" spans="1:6">
      <c r="A77" s="1194" t="s">
        <v>66</v>
      </c>
      <c r="B77" s="1194" t="s">
        <v>773</v>
      </c>
      <c r="C77" s="1205" t="s">
        <v>779</v>
      </c>
      <c r="D77" s="333">
        <v>179182882</v>
      </c>
      <c r="E77" s="333">
        <v>171623225.25651011</v>
      </c>
      <c r="F77" s="333">
        <v>175603492</v>
      </c>
    </row>
    <row r="78" spans="1:6">
      <c r="A78" s="1190" t="s">
        <v>66</v>
      </c>
      <c r="B78" s="1190" t="s">
        <v>775</v>
      </c>
      <c r="C78" s="1190" t="s">
        <v>780</v>
      </c>
      <c r="D78" s="1190">
        <v>14631396</v>
      </c>
      <c r="E78" s="1190">
        <v>14276582.24247011</v>
      </c>
      <c r="F78" s="336">
        <v>14486859</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833548.49678144872</v>
      </c>
      <c r="C83" s="333">
        <v>767178.27014698542</v>
      </c>
      <c r="D83" s="333">
        <v>771791.56771415123</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1220.8281490168456</v>
      </c>
    </row>
    <row r="92" spans="1:6">
      <c r="A92" s="1190" t="s">
        <v>69</v>
      </c>
      <c r="B92" s="336">
        <v>997.2960343893518</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4478</v>
      </c>
    </row>
    <row r="98" spans="1:6">
      <c r="A98" s="1194" t="s">
        <v>72</v>
      </c>
      <c r="B98" s="333">
        <v>4</v>
      </c>
    </row>
    <row r="99" spans="1:6">
      <c r="A99" s="1194" t="s">
        <v>73</v>
      </c>
      <c r="B99" s="333">
        <v>69</v>
      </c>
    </row>
    <row r="100" spans="1:6">
      <c r="A100" s="1194" t="s">
        <v>74</v>
      </c>
      <c r="B100" s="333">
        <v>697</v>
      </c>
    </row>
    <row r="101" spans="1:6">
      <c r="A101" s="1194" t="s">
        <v>75</v>
      </c>
      <c r="B101" s="333">
        <v>74</v>
      </c>
    </row>
    <row r="102" spans="1:6">
      <c r="A102" s="1194" t="s">
        <v>76</v>
      </c>
      <c r="B102" s="333">
        <v>108</v>
      </c>
    </row>
    <row r="103" spans="1:6">
      <c r="A103" s="1194" t="s">
        <v>77</v>
      </c>
      <c r="B103" s="333">
        <v>166</v>
      </c>
    </row>
    <row r="104" spans="1:6">
      <c r="A104" s="1194" t="s">
        <v>78</v>
      </c>
      <c r="B104" s="333">
        <v>2953</v>
      </c>
    </row>
    <row r="105" spans="1:6">
      <c r="A105" s="1190" t="s">
        <v>79</v>
      </c>
      <c r="B105" s="1190">
        <v>9</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1</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6</v>
      </c>
      <c r="C123" s="333">
        <v>10</v>
      </c>
    </row>
    <row r="124" spans="1:6">
      <c r="A124" s="1190" t="s">
        <v>89</v>
      </c>
      <c r="B124" s="333">
        <v>0</v>
      </c>
      <c r="C124" s="333">
        <v>1</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42</v>
      </c>
    </row>
    <row r="130" spans="1:6">
      <c r="A130" s="1194" t="s">
        <v>296</v>
      </c>
      <c r="B130" s="333">
        <v>0</v>
      </c>
    </row>
    <row r="131" spans="1:6">
      <c r="A131" s="1194" t="s">
        <v>297</v>
      </c>
      <c r="B131" s="333">
        <v>0</v>
      </c>
    </row>
    <row r="132" spans="1:6">
      <c r="A132" s="1190" t="s">
        <v>298</v>
      </c>
      <c r="B132" s="336">
        <v>3</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103466.64644513864</v>
      </c>
      <c r="C3" s="43" t="s">
        <v>171</v>
      </c>
      <c r="D3" s="43"/>
      <c r="E3" s="156"/>
      <c r="F3" s="43"/>
      <c r="G3" s="43"/>
      <c r="H3" s="43"/>
      <c r="I3" s="43"/>
      <c r="J3" s="43"/>
      <c r="K3" s="96"/>
    </row>
    <row r="4" spans="1:11">
      <c r="A4" s="364" t="s">
        <v>172</v>
      </c>
      <c r="B4" s="49">
        <f>IF(ISERROR('SEAP template'!B69),0,'SEAP template'!B69)</f>
        <v>2218.1241834061975</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0.21626218872095471</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2106.0630000000001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2106.0630000000001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0.21626218872095471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455.46179396422008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44628.192808293003</v>
      </c>
      <c r="C5" s="17">
        <f>IF(ISERROR('Eigen informatie GS &amp; warmtenet'!B57),0,'Eigen informatie GS &amp; warmtenet'!B57)</f>
        <v>0</v>
      </c>
      <c r="D5" s="30">
        <f>(SUM(HH_hh_gas_kWh,HH_rest_gas_kWh)/1000)*0.902</f>
        <v>114108.17358602631</v>
      </c>
      <c r="E5" s="17">
        <f>B46*B57</f>
        <v>2925.6331447263065</v>
      </c>
      <c r="F5" s="17">
        <f>B51*B62</f>
        <v>32960.444021549127</v>
      </c>
      <c r="G5" s="18"/>
      <c r="H5" s="17"/>
      <c r="I5" s="17"/>
      <c r="J5" s="17">
        <f>B50*B61+C50*C61</f>
        <v>0</v>
      </c>
      <c r="K5" s="17"/>
      <c r="L5" s="17"/>
      <c r="M5" s="17"/>
      <c r="N5" s="17">
        <f>B48*B59+C48*C59</f>
        <v>9078.2554161042426</v>
      </c>
      <c r="O5" s="17">
        <f>B69*B70*B71</f>
        <v>82.856666666666683</v>
      </c>
      <c r="P5" s="17">
        <f>B77*B78*B79/1000-B77*B78*B79/1000/B80</f>
        <v>171.6</v>
      </c>
    </row>
    <row r="6" spans="1:16">
      <c r="A6" s="16" t="s">
        <v>633</v>
      </c>
      <c r="B6" s="830">
        <f>kWh_PV_kleiner_dan_10kW</f>
        <v>1220.8281490168456</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45849.020957309847</v>
      </c>
      <c r="C8" s="21">
        <f>C5</f>
        <v>0</v>
      </c>
      <c r="D8" s="21">
        <f>D5</f>
        <v>114108.17358602631</v>
      </c>
      <c r="E8" s="21">
        <f>E5</f>
        <v>2925.6331447263065</v>
      </c>
      <c r="F8" s="21">
        <f>F5</f>
        <v>32960.444021549127</v>
      </c>
      <c r="G8" s="21"/>
      <c r="H8" s="21"/>
      <c r="I8" s="21"/>
      <c r="J8" s="21">
        <f>J5</f>
        <v>0</v>
      </c>
      <c r="K8" s="21"/>
      <c r="L8" s="21">
        <f>L5</f>
        <v>0</v>
      </c>
      <c r="M8" s="21">
        <f>M5</f>
        <v>0</v>
      </c>
      <c r="N8" s="21">
        <f>N5</f>
        <v>9078.2554161042426</v>
      </c>
      <c r="O8" s="21">
        <f>O5</f>
        <v>82.856666666666683</v>
      </c>
      <c r="P8" s="21">
        <f>P5</f>
        <v>171.6</v>
      </c>
    </row>
    <row r="9" spans="1:16">
      <c r="B9" s="19"/>
      <c r="C9" s="19"/>
      <c r="D9" s="260"/>
      <c r="E9" s="19"/>
      <c r="F9" s="19"/>
      <c r="G9" s="19"/>
      <c r="H9" s="19"/>
      <c r="I9" s="19"/>
      <c r="J9" s="19"/>
      <c r="K9" s="19"/>
      <c r="L9" s="19"/>
      <c r="M9" s="19"/>
      <c r="N9" s="19"/>
      <c r="O9" s="19"/>
      <c r="P9" s="19"/>
    </row>
    <row r="10" spans="1:16">
      <c r="A10" s="24" t="s">
        <v>215</v>
      </c>
      <c r="B10" s="25">
        <f ca="1">'EF ele_warmte'!B12</f>
        <v>0.21626218872095471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9915.4096229407496</v>
      </c>
      <c r="C12" s="23">
        <f ca="1">C10*C8</f>
        <v>0</v>
      </c>
      <c r="D12" s="23">
        <f>D8*D10</f>
        <v>23049.851064377315</v>
      </c>
      <c r="E12" s="23">
        <f>E10*E8</f>
        <v>664.11872385287154</v>
      </c>
      <c r="F12" s="23">
        <f>F10*F8</f>
        <v>8800.4385537536182</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4478</v>
      </c>
      <c r="C18" s="167" t="s">
        <v>111</v>
      </c>
      <c r="D18" s="229"/>
      <c r="E18" s="15"/>
    </row>
    <row r="19" spans="1:7">
      <c r="A19" s="172" t="s">
        <v>72</v>
      </c>
      <c r="B19" s="37">
        <f>aantalw2001_ander</f>
        <v>4</v>
      </c>
      <c r="C19" s="167" t="s">
        <v>111</v>
      </c>
      <c r="D19" s="230"/>
      <c r="E19" s="15"/>
    </row>
    <row r="20" spans="1:7">
      <c r="A20" s="172" t="s">
        <v>73</v>
      </c>
      <c r="B20" s="37">
        <f>aantalw2001_propaan</f>
        <v>69</v>
      </c>
      <c r="C20" s="168">
        <f>IF(ISERROR(B20/SUM($B$20,$B$21,$B$22)*100),0,B20/SUM($B$20,$B$21,$B$22)*100)</f>
        <v>8.2142857142857135</v>
      </c>
      <c r="D20" s="230"/>
      <c r="E20" s="15"/>
    </row>
    <row r="21" spans="1:7">
      <c r="A21" s="172" t="s">
        <v>74</v>
      </c>
      <c r="B21" s="37">
        <f>aantalw2001_elektriciteit</f>
        <v>697</v>
      </c>
      <c r="C21" s="168">
        <f>IF(ISERROR(B21/SUM($B$20,$B$21,$B$22)*100),0,B21/SUM($B$20,$B$21,$B$22)*100)</f>
        <v>82.976190476190482</v>
      </c>
      <c r="D21" s="230"/>
      <c r="E21" s="15"/>
    </row>
    <row r="22" spans="1:7">
      <c r="A22" s="172" t="s">
        <v>75</v>
      </c>
      <c r="B22" s="37">
        <f>aantalw2001_hout</f>
        <v>74</v>
      </c>
      <c r="C22" s="168">
        <f>IF(ISERROR(B22/SUM($B$20,$B$21,$B$22)*100),0,B22/SUM($B$20,$B$21,$B$22)*100)</f>
        <v>8.8095238095238102</v>
      </c>
      <c r="D22" s="230"/>
      <c r="E22" s="15"/>
    </row>
    <row r="23" spans="1:7">
      <c r="A23" s="172" t="s">
        <v>76</v>
      </c>
      <c r="B23" s="37">
        <f>aantalw2001_niet_gespec</f>
        <v>108</v>
      </c>
      <c r="C23" s="167" t="s">
        <v>111</v>
      </c>
      <c r="D23" s="229"/>
      <c r="E23" s="15"/>
    </row>
    <row r="24" spans="1:7">
      <c r="A24" s="172" t="s">
        <v>77</v>
      </c>
      <c r="B24" s="37">
        <f>aantalw2001_steenkool</f>
        <v>166</v>
      </c>
      <c r="C24" s="167" t="s">
        <v>111</v>
      </c>
      <c r="D24" s="230"/>
      <c r="E24" s="15"/>
    </row>
    <row r="25" spans="1:7">
      <c r="A25" s="172" t="s">
        <v>78</v>
      </c>
      <c r="B25" s="37">
        <f>aantalw2001_stookolie</f>
        <v>2953</v>
      </c>
      <c r="C25" s="167" t="s">
        <v>111</v>
      </c>
      <c r="D25" s="229"/>
      <c r="E25" s="52"/>
    </row>
    <row r="26" spans="1:7">
      <c r="A26" s="172" t="s">
        <v>79</v>
      </c>
      <c r="B26" s="37">
        <f>aantalw2001_WP</f>
        <v>9</v>
      </c>
      <c r="C26" s="167" t="s">
        <v>111</v>
      </c>
      <c r="D26" s="229"/>
      <c r="E26" s="15"/>
    </row>
    <row r="27" spans="1:7" s="15" customFormat="1">
      <c r="A27" s="172"/>
      <c r="B27" s="29"/>
      <c r="C27" s="36"/>
      <c r="D27" s="229"/>
    </row>
    <row r="28" spans="1:7" s="15" customFormat="1">
      <c r="A28" s="231" t="s">
        <v>713</v>
      </c>
      <c r="B28" s="37">
        <f>aantalHuishoudens2011</f>
        <v>9339</v>
      </c>
      <c r="C28" s="36"/>
      <c r="D28" s="229"/>
    </row>
    <row r="29" spans="1:7" s="15" customFormat="1">
      <c r="A29" s="231" t="s">
        <v>714</v>
      </c>
      <c r="B29" s="37">
        <f>SUM(HH_hh_gas_aantal,HH_rest_gas_aantal)</f>
        <v>6153</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6153</v>
      </c>
      <c r="C32" s="168">
        <f>IF(ISERROR(B32/SUM($B$32,$B$34,$B$35,$B$36,$B$38,$B$39)*100),0,B32/SUM($B$32,$B$34,$B$35,$B$36,$B$38,$B$39)*100)</f>
        <v>65.948553054662383</v>
      </c>
      <c r="D32" s="234"/>
      <c r="G32" s="15"/>
    </row>
    <row r="33" spans="1:7">
      <c r="A33" s="172" t="s">
        <v>72</v>
      </c>
      <c r="B33" s="34" t="s">
        <v>111</v>
      </c>
      <c r="C33" s="168"/>
      <c r="D33" s="234"/>
      <c r="G33" s="15"/>
    </row>
    <row r="34" spans="1:7">
      <c r="A34" s="172" t="s">
        <v>73</v>
      </c>
      <c r="B34" s="33">
        <f>IF((($B$28-$B$32-$B$39-$B$77-$B$38)*C20/100)&lt;0,0,($B$28-$B$32-$B$39-$B$77-$B$38)*C20/100)</f>
        <v>142.23035714285714</v>
      </c>
      <c r="C34" s="168">
        <f>IF(ISERROR(B34/SUM($B$32,$B$34,$B$35,$B$36,$B$38,$B$39)*100),0,B34/SUM($B$32,$B$34,$B$35,$B$36,$B$38,$B$39)*100)</f>
        <v>1.5244411269330884</v>
      </c>
      <c r="D34" s="234"/>
      <c r="G34" s="15"/>
    </row>
    <row r="35" spans="1:7">
      <c r="A35" s="172" t="s">
        <v>74</v>
      </c>
      <c r="B35" s="33">
        <f>IF((($B$28-$B$32-$B$39-$B$77-$B$38)*C21/100)&lt;0,0,($B$28-$B$32-$B$39-$B$77-$B$38)*C21/100)</f>
        <v>1436.7327380952381</v>
      </c>
      <c r="C35" s="168">
        <f>IF(ISERROR(B35/SUM($B$32,$B$34,$B$35,$B$36,$B$38,$B$39)*100),0,B35/SUM($B$32,$B$34,$B$35,$B$36,$B$38,$B$39)*100)</f>
        <v>15.399064716990763</v>
      </c>
      <c r="D35" s="234"/>
      <c r="G35" s="15"/>
    </row>
    <row r="36" spans="1:7">
      <c r="A36" s="172" t="s">
        <v>75</v>
      </c>
      <c r="B36" s="33">
        <f>IF((($B$28-$B$32-$B$39-$B$77-$B$38)*C22/100)&lt;0,0,($B$28-$B$32-$B$39-$B$77-$B$38)*C22/100)</f>
        <v>152.53690476190476</v>
      </c>
      <c r="C36" s="168">
        <f>IF(ISERROR(B36/SUM($B$32,$B$34,$B$35,$B$36,$B$38,$B$39)*100),0,B36/SUM($B$32,$B$34,$B$35,$B$36,$B$38,$B$39)*100)</f>
        <v>1.6349078752615729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1445.5</v>
      </c>
      <c r="C39" s="168">
        <f>IF(ISERROR(B39/SUM($B$32,$B$34,$B$35,$B$36,$B$38,$B$39)*100),0,B39/SUM($B$32,$B$34,$B$35,$B$36,$B$38,$B$39)*100)</f>
        <v>15.493033226152198</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6153</v>
      </c>
      <c r="C44" s="34" t="s">
        <v>111</v>
      </c>
      <c r="D44" s="175"/>
    </row>
    <row r="45" spans="1:7">
      <c r="A45" s="172" t="s">
        <v>72</v>
      </c>
      <c r="B45" s="33" t="str">
        <f t="shared" si="0"/>
        <v>-</v>
      </c>
      <c r="C45" s="34" t="s">
        <v>111</v>
      </c>
      <c r="D45" s="175"/>
    </row>
    <row r="46" spans="1:7">
      <c r="A46" s="172" t="s">
        <v>73</v>
      </c>
      <c r="B46" s="33">
        <f t="shared" si="0"/>
        <v>142.23035714285714</v>
      </c>
      <c r="C46" s="34" t="s">
        <v>111</v>
      </c>
      <c r="D46" s="175"/>
    </row>
    <row r="47" spans="1:7">
      <c r="A47" s="172" t="s">
        <v>74</v>
      </c>
      <c r="B47" s="33">
        <f t="shared" si="0"/>
        <v>1436.7327380952381</v>
      </c>
      <c r="C47" s="34" t="s">
        <v>111</v>
      </c>
      <c r="D47" s="175"/>
    </row>
    <row r="48" spans="1:7">
      <c r="A48" s="172" t="s">
        <v>75</v>
      </c>
      <c r="B48" s="33">
        <f t="shared" si="0"/>
        <v>152.53690476190476</v>
      </c>
      <c r="C48" s="33">
        <f>B48*10</f>
        <v>1525.3690476190477</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1445.5</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53</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9</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36356.020099651534</v>
      </c>
      <c r="C5" s="17">
        <f>IF(ISERROR('Eigen informatie GS &amp; warmtenet'!B58),0,'Eigen informatie GS &amp; warmtenet'!B58)</f>
        <v>0</v>
      </c>
      <c r="D5" s="30">
        <f>SUM(D6:D12)</f>
        <v>35494.97210516192</v>
      </c>
      <c r="E5" s="17">
        <f>SUM(E6:E12)</f>
        <v>732.41375965564839</v>
      </c>
      <c r="F5" s="17">
        <f>SUM(F6:F12)</f>
        <v>6658.5960712205761</v>
      </c>
      <c r="G5" s="18"/>
      <c r="H5" s="17"/>
      <c r="I5" s="17"/>
      <c r="J5" s="17">
        <f>SUM(J6:J12)</f>
        <v>0</v>
      </c>
      <c r="K5" s="17"/>
      <c r="L5" s="17"/>
      <c r="M5" s="17"/>
      <c r="N5" s="17">
        <f>SUM(N6:N12)</f>
        <v>784.25613218852152</v>
      </c>
      <c r="O5" s="17">
        <f>B38*B39*B40</f>
        <v>0</v>
      </c>
      <c r="P5" s="17">
        <f>B46*B47*B48/1000-B46*B47*B48/1000/B49</f>
        <v>0</v>
      </c>
      <c r="R5" s="32"/>
    </row>
    <row r="6" spans="1:18">
      <c r="A6" s="32" t="s">
        <v>54</v>
      </c>
      <c r="B6" s="37">
        <f>B26</f>
        <v>5500.9003707734</v>
      </c>
      <c r="C6" s="33"/>
      <c r="D6" s="37">
        <f>IF(ISERROR(TER_kantoor_gas_kWh/1000),0,TER_kantoor_gas_kWh/1000)*0.902</f>
        <v>15686.152389927527</v>
      </c>
      <c r="E6" s="33">
        <f>$C$26*'E Balans VL '!I12/100/3.6*1000000</f>
        <v>192.55315212539332</v>
      </c>
      <c r="F6" s="33">
        <f>$C$26*('E Balans VL '!L12+'E Balans VL '!N12)/100/3.6*1000000</f>
        <v>834.05459938290289</v>
      </c>
      <c r="G6" s="34"/>
      <c r="H6" s="33"/>
      <c r="I6" s="33"/>
      <c r="J6" s="33">
        <f>$C$26*('E Balans VL '!D12+'E Balans VL '!E12)/100/3.6*1000000</f>
        <v>0</v>
      </c>
      <c r="K6" s="33"/>
      <c r="L6" s="33"/>
      <c r="M6" s="33"/>
      <c r="N6" s="33">
        <f>$C$26*'E Balans VL '!Y12/100/3.6*1000000</f>
        <v>42.520238131646593</v>
      </c>
      <c r="O6" s="33"/>
      <c r="P6" s="33"/>
      <c r="R6" s="32"/>
    </row>
    <row r="7" spans="1:18">
      <c r="A7" s="32" t="s">
        <v>53</v>
      </c>
      <c r="B7" s="37">
        <f t="shared" ref="B7:B12" si="0">B27</f>
        <v>2043.5756796266598</v>
      </c>
      <c r="C7" s="33"/>
      <c r="D7" s="37">
        <f>IF(ISERROR(TER_horeca_gas_kWh/1000),0,TER_horeca_gas_kWh/1000)*0.902</f>
        <v>1833.9443190852242</v>
      </c>
      <c r="E7" s="33">
        <f>$C$27*'E Balans VL '!I9/100/3.6*1000000</f>
        <v>115.28484126975074</v>
      </c>
      <c r="F7" s="33">
        <f>$C$27*('E Balans VL '!L9+'E Balans VL '!N9)/100/3.6*1000000</f>
        <v>356.00219268397967</v>
      </c>
      <c r="G7" s="34"/>
      <c r="H7" s="33"/>
      <c r="I7" s="33"/>
      <c r="J7" s="33">
        <f>$C$27*('E Balans VL '!D9+'E Balans VL '!E9)/100/3.6*1000000</f>
        <v>0</v>
      </c>
      <c r="K7" s="33"/>
      <c r="L7" s="33"/>
      <c r="M7" s="33"/>
      <c r="N7" s="33">
        <f>$C$27*'E Balans VL '!Y9/100/3.6*1000000</f>
        <v>0</v>
      </c>
      <c r="O7" s="33"/>
      <c r="P7" s="33"/>
      <c r="R7" s="32"/>
    </row>
    <row r="8" spans="1:18">
      <c r="A8" s="6" t="s">
        <v>52</v>
      </c>
      <c r="B8" s="37">
        <f t="shared" si="0"/>
        <v>8609.8209565901489</v>
      </c>
      <c r="C8" s="33"/>
      <c r="D8" s="37">
        <f>IF(ISERROR(TER_handel_gas_kWh/1000),0,TER_handel_gas_kWh/1000)*0.902</f>
        <v>3526.6485424132975</v>
      </c>
      <c r="E8" s="33">
        <f>$C$28*'E Balans VL '!I13/100/3.6*1000000</f>
        <v>44.201946046011379</v>
      </c>
      <c r="F8" s="33">
        <f>$C$28*('E Balans VL '!L13+'E Balans VL '!N13)/100/3.6*1000000</f>
        <v>1327.5013561157423</v>
      </c>
      <c r="G8" s="34"/>
      <c r="H8" s="33"/>
      <c r="I8" s="33"/>
      <c r="J8" s="33">
        <f>$C$28*('E Balans VL '!D13+'E Balans VL '!E13)/100/3.6*1000000</f>
        <v>0</v>
      </c>
      <c r="K8" s="33"/>
      <c r="L8" s="33"/>
      <c r="M8" s="33"/>
      <c r="N8" s="33">
        <f>$C$28*'E Balans VL '!Y13/100/3.6*1000000</f>
        <v>4.0269183584084391</v>
      </c>
      <c r="O8" s="33"/>
      <c r="P8" s="33"/>
      <c r="R8" s="32"/>
    </row>
    <row r="9" spans="1:18">
      <c r="A9" s="32" t="s">
        <v>51</v>
      </c>
      <c r="B9" s="37">
        <f t="shared" si="0"/>
        <v>1792.3319946485499</v>
      </c>
      <c r="C9" s="33"/>
      <c r="D9" s="37">
        <f>IF(ISERROR(TER_gezond_gas_kWh/1000),0,TER_gezond_gas_kWh/1000)*0.902</f>
        <v>231.08875890771083</v>
      </c>
      <c r="E9" s="33">
        <f>$C$29*'E Balans VL '!I10/100/3.6*1000000</f>
        <v>0.74290884725083595</v>
      </c>
      <c r="F9" s="33">
        <f>$C$29*('E Balans VL '!L10+'E Balans VL '!N10)/100/3.6*1000000</f>
        <v>441.42566481221701</v>
      </c>
      <c r="G9" s="34"/>
      <c r="H9" s="33"/>
      <c r="I9" s="33"/>
      <c r="J9" s="33">
        <f>$C$29*('E Balans VL '!D10+'E Balans VL '!E10)/100/3.6*1000000</f>
        <v>0</v>
      </c>
      <c r="K9" s="33"/>
      <c r="L9" s="33"/>
      <c r="M9" s="33"/>
      <c r="N9" s="33">
        <f>$C$29*'E Balans VL '!Y10/100/3.6*1000000</f>
        <v>15.490184679702942</v>
      </c>
      <c r="O9" s="33"/>
      <c r="P9" s="33"/>
      <c r="R9" s="32"/>
    </row>
    <row r="10" spans="1:18">
      <c r="A10" s="32" t="s">
        <v>50</v>
      </c>
      <c r="B10" s="37">
        <f t="shared" si="0"/>
        <v>989.91981037667699</v>
      </c>
      <c r="C10" s="33"/>
      <c r="D10" s="37">
        <f>IF(ISERROR(TER_ander_gas_kWh/1000),0,TER_ander_gas_kWh/1000)*0.902</f>
        <v>384.9106814929516</v>
      </c>
      <c r="E10" s="33">
        <f>$C$30*'E Balans VL '!I14/100/3.6*1000000</f>
        <v>6.034575588048205</v>
      </c>
      <c r="F10" s="33">
        <f>$C$30*('E Balans VL '!L14+'E Balans VL '!N14)/100/3.6*1000000</f>
        <v>262.4413020940404</v>
      </c>
      <c r="G10" s="34"/>
      <c r="H10" s="33"/>
      <c r="I10" s="33"/>
      <c r="J10" s="33">
        <f>$C$30*('E Balans VL '!D14+'E Balans VL '!E14)/100/3.6*1000000</f>
        <v>0</v>
      </c>
      <c r="K10" s="33"/>
      <c r="L10" s="33"/>
      <c r="M10" s="33"/>
      <c r="N10" s="33">
        <f>$C$30*'E Balans VL '!Y14/100/3.6*1000000</f>
        <v>228.15512569915961</v>
      </c>
      <c r="O10" s="33"/>
      <c r="P10" s="33"/>
      <c r="R10" s="32"/>
    </row>
    <row r="11" spans="1:18">
      <c r="A11" s="32" t="s">
        <v>55</v>
      </c>
      <c r="B11" s="37">
        <f t="shared" si="0"/>
        <v>0</v>
      </c>
      <c r="C11" s="33"/>
      <c r="D11" s="37">
        <f>IF(ISERROR(TER_onderwijs_gas_kWh/1000),0,TER_onderwijs_gas_kWh/1000)*0.902</f>
        <v>1360.9562611548856</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261</v>
      </c>
      <c r="B12" s="37">
        <f t="shared" si="0"/>
        <v>17419.471287636101</v>
      </c>
      <c r="C12" s="33"/>
      <c r="D12" s="37">
        <f>IF(ISERROR(TER_rest_gas_kWh/1000),0,TER_rest_gas_kWh/1000)*0.902</f>
        <v>12471.271152180321</v>
      </c>
      <c r="E12" s="33">
        <f>$C$32*'E Balans VL '!I8/100/3.6*1000000</f>
        <v>373.59633577919391</v>
      </c>
      <c r="F12" s="33">
        <f>$C$32*('E Balans VL '!L8+'E Balans VL '!N8)/100/3.6*1000000</f>
        <v>3437.1709561316939</v>
      </c>
      <c r="G12" s="34"/>
      <c r="H12" s="33"/>
      <c r="I12" s="33"/>
      <c r="J12" s="33">
        <f>$C$32*('E Balans VL '!D8+'E Balans VL '!E8)/100/3.6*1000000</f>
        <v>0</v>
      </c>
      <c r="K12" s="33"/>
      <c r="L12" s="33"/>
      <c r="M12" s="33"/>
      <c r="N12" s="33">
        <f>$C$32*'E Balans VL '!Y8/100/3.6*1000000</f>
        <v>494.06366531960396</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36356.020099651534</v>
      </c>
      <c r="C16" s="21">
        <f ca="1">C5+C13+C14</f>
        <v>0</v>
      </c>
      <c r="D16" s="21">
        <f t="shared" ref="D16:N16" ca="1" si="1">MAX((D5+D13+D14),0)</f>
        <v>35494.97210516192</v>
      </c>
      <c r="E16" s="21">
        <f t="shared" si="1"/>
        <v>732.41375965564839</v>
      </c>
      <c r="F16" s="21">
        <f t="shared" ca="1" si="1"/>
        <v>6658.5960712205761</v>
      </c>
      <c r="G16" s="21">
        <f t="shared" si="1"/>
        <v>0</v>
      </c>
      <c r="H16" s="21">
        <f t="shared" si="1"/>
        <v>0</v>
      </c>
      <c r="I16" s="21">
        <f t="shared" si="1"/>
        <v>0</v>
      </c>
      <c r="J16" s="21">
        <f t="shared" si="1"/>
        <v>0</v>
      </c>
      <c r="K16" s="21">
        <f t="shared" si="1"/>
        <v>0</v>
      </c>
      <c r="L16" s="21">
        <f t="shared" ca="1" si="1"/>
        <v>0</v>
      </c>
      <c r="M16" s="21">
        <f t="shared" si="1"/>
        <v>0</v>
      </c>
      <c r="N16" s="21">
        <f t="shared" ca="1" si="1"/>
        <v>784.25613218852152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0.21626218872095471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7862.4324799336628</v>
      </c>
      <c r="C20" s="23">
        <f t="shared" ref="C20:P20" ca="1" si="2">C16*C18</f>
        <v>0</v>
      </c>
      <c r="D20" s="23">
        <f t="shared" ca="1" si="2"/>
        <v>7169.984365242708</v>
      </c>
      <c r="E20" s="23">
        <f t="shared" si="2"/>
        <v>166.25792344183219</v>
      </c>
      <c r="F20" s="23">
        <f t="shared" ca="1" si="2"/>
        <v>1777.8451510158939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5500.9003707734</v>
      </c>
      <c r="C26" s="39">
        <f>IF(ISERROR(B26*3.6/1000000/'E Balans VL '!Z12*100),0,B26*3.6/1000000/'E Balans VL '!Z12*100)</f>
        <v>0.11575732574633814</v>
      </c>
      <c r="D26" s="238" t="s">
        <v>720</v>
      </c>
      <c r="F26" s="6"/>
    </row>
    <row r="27" spans="1:18">
      <c r="A27" s="232" t="s">
        <v>53</v>
      </c>
      <c r="B27" s="33">
        <f>IF(ISERROR(TER_horeca_ele_kWh/1000),0,TER_horeca_ele_kWh/1000)</f>
        <v>2043.5756796266598</v>
      </c>
      <c r="C27" s="39">
        <f>IF(ISERROR(B27*3.6/1000000/'E Balans VL '!Z9*100),0,B27*3.6/1000000/'E Balans VL '!Z9*100)</f>
        <v>0.1730238103995077</v>
      </c>
      <c r="D27" s="238" t="s">
        <v>720</v>
      </c>
      <c r="F27" s="6"/>
    </row>
    <row r="28" spans="1:18">
      <c r="A28" s="172" t="s">
        <v>52</v>
      </c>
      <c r="B28" s="33">
        <f>IF(ISERROR(TER_handel_ele_kWh/1000),0,TER_handel_ele_kWh/1000)</f>
        <v>8609.8209565901489</v>
      </c>
      <c r="C28" s="39">
        <f>IF(ISERROR(B28*3.6/1000000/'E Balans VL '!Z13*100),0,B28*3.6/1000000/'E Balans VL '!Z13*100)</f>
        <v>0.23836170262537265</v>
      </c>
      <c r="D28" s="238" t="s">
        <v>720</v>
      </c>
      <c r="F28" s="6"/>
    </row>
    <row r="29" spans="1:18">
      <c r="A29" s="232" t="s">
        <v>51</v>
      </c>
      <c r="B29" s="33">
        <f>IF(ISERROR(TER_gezond_ele_kWh/1000),0,TER_gezond_ele_kWh/1000)</f>
        <v>1792.3319946485499</v>
      </c>
      <c r="C29" s="39">
        <f>IF(ISERROR(B29*3.6/1000000/'E Balans VL '!Z10*100),0,B29*3.6/1000000/'E Balans VL '!Z10*100)</f>
        <v>0.23298328898747611</v>
      </c>
      <c r="D29" s="238" t="s">
        <v>720</v>
      </c>
      <c r="F29" s="6"/>
    </row>
    <row r="30" spans="1:18">
      <c r="A30" s="232" t="s">
        <v>50</v>
      </c>
      <c r="B30" s="33">
        <f>IF(ISERROR(TER_ander_ele_kWh/1000),0,TER_ander_ele_kWh/1000)</f>
        <v>989.91981037667699</v>
      </c>
      <c r="C30" s="39">
        <f>IF(ISERROR(B30*3.6/1000000/'E Balans VL '!Z14*100),0,B30*3.6/1000000/'E Balans VL '!Z14*100)</f>
        <v>7.6727863562351006E-2</v>
      </c>
      <c r="D30" s="238" t="s">
        <v>720</v>
      </c>
      <c r="F30" s="6"/>
    </row>
    <row r="31" spans="1:18">
      <c r="A31" s="232" t="s">
        <v>55</v>
      </c>
      <c r="B31" s="33">
        <f>IF(ISERROR(TER_onderwijs_ele_kWh/1000),0,TER_onderwijs_ele_kWh/1000)</f>
        <v>0</v>
      </c>
      <c r="C31" s="39">
        <f>IF(ISERROR(B31*3.6/1000000/'E Balans VL '!Z11*100),0,B31*3.6/1000000/'E Balans VL '!Z11*100)</f>
        <v>0</v>
      </c>
      <c r="D31" s="238" t="s">
        <v>720</v>
      </c>
    </row>
    <row r="32" spans="1:18">
      <c r="A32" s="232" t="s">
        <v>261</v>
      </c>
      <c r="B32" s="33">
        <f>IF(ISERROR(TER_rest_ele_kWh/1000),0,TER_rest_ele_kWh/1000)</f>
        <v>17419.471287636101</v>
      </c>
      <c r="C32" s="39">
        <f>IF(ISERROR(B32*3.6/1000000/'E Balans VL '!Z8*100),0,B32*3.6/1000000/'E Balans VL '!Z8*100)</f>
        <v>0.14363691744966489</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18956.339365109434</v>
      </c>
      <c r="C5" s="17">
        <f>IF(ISERROR('Eigen informatie GS &amp; warmtenet'!B59),0,'Eigen informatie GS &amp; warmtenet'!B59)</f>
        <v>0</v>
      </c>
      <c r="D5" s="30">
        <f>SUM(D6:D15)</f>
        <v>29444.946318862261</v>
      </c>
      <c r="E5" s="17">
        <f>SUM(E6:E15)</f>
        <v>213.75485169161897</v>
      </c>
      <c r="F5" s="17">
        <f>SUM(F6:F15)</f>
        <v>4365.3177846966073</v>
      </c>
      <c r="G5" s="18"/>
      <c r="H5" s="17"/>
      <c r="I5" s="17"/>
      <c r="J5" s="17">
        <f>SUM(J6:J15)</f>
        <v>110.00448505155983</v>
      </c>
      <c r="K5" s="17"/>
      <c r="L5" s="17"/>
      <c r="M5" s="17"/>
      <c r="N5" s="17">
        <f>SUM(N6:N15)</f>
        <v>365.66522804072071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963.67807016162396</v>
      </c>
      <c r="C9" s="33"/>
      <c r="D9" s="37">
        <f>IF( ISERROR(IND_andere_gas_kWh/1000),0,IND_andere_gas_kWh/1000)*0.902</f>
        <v>102.64354057396105</v>
      </c>
      <c r="E9" s="33">
        <f>C31*'E Balans VL '!I19/100/3.6*1000000</f>
        <v>16.186153731693071</v>
      </c>
      <c r="F9" s="33">
        <f>C31*'E Balans VL '!L19/100/3.6*1000000+C31*'E Balans VL '!N19/100/3.6*1000000</f>
        <v>753.34862824776098</v>
      </c>
      <c r="G9" s="34"/>
      <c r="H9" s="33"/>
      <c r="I9" s="33"/>
      <c r="J9" s="40">
        <f>C31*'E Balans VL '!D19/100/3.6*1000000+C31*'E Balans VL '!E19/100/3.6*1000000</f>
        <v>8.6915255171320274E-2</v>
      </c>
      <c r="K9" s="33"/>
      <c r="L9" s="33"/>
      <c r="M9" s="33"/>
      <c r="N9" s="33">
        <f>C31*'E Balans VL '!Y19/100/3.6*1000000</f>
        <v>71.424005852480775</v>
      </c>
      <c r="O9" s="33"/>
      <c r="P9" s="33"/>
      <c r="R9" s="32"/>
    </row>
    <row r="10" spans="1:18">
      <c r="A10" s="6" t="s">
        <v>41</v>
      </c>
      <c r="B10" s="37">
        <f t="shared" si="0"/>
        <v>129.95453195944</v>
      </c>
      <c r="C10" s="33"/>
      <c r="D10" s="37">
        <f>IF( ISERROR(IND_voed_gas_kWh/1000),0,IND_voed_gas_kWh/1000)*0.902</f>
        <v>75.133724641260315</v>
      </c>
      <c r="E10" s="33">
        <f>C32*'E Balans VL '!I20/100/3.6*1000000</f>
        <v>1.1856511469947713</v>
      </c>
      <c r="F10" s="33">
        <f>C32*'E Balans VL '!L20/100/3.6*1000000+C32*'E Balans VL '!N20/100/3.6*1000000</f>
        <v>20.965730744940508</v>
      </c>
      <c r="G10" s="34"/>
      <c r="H10" s="33"/>
      <c r="I10" s="33"/>
      <c r="J10" s="40">
        <f>C32*'E Balans VL '!D20/100/3.6*1000000+C32*'E Balans VL '!E20/100/3.6*1000000</f>
        <v>0.53523796492435161</v>
      </c>
      <c r="K10" s="33"/>
      <c r="L10" s="33"/>
      <c r="M10" s="33"/>
      <c r="N10" s="33">
        <f>C32*'E Balans VL '!Y20/100/3.6*1000000</f>
        <v>1.9011323305421706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1617.85156894127</v>
      </c>
      <c r="C13" s="33"/>
      <c r="D13" s="37">
        <f>IF( ISERROR(IND_papier_gas_kWh/1000),0,IND_papier_gas_kWh/1000)*0.902</f>
        <v>0</v>
      </c>
      <c r="E13" s="33">
        <f>C35*'E Balans VL '!I23/100/3.6*1000000</f>
        <v>49.777070559769115</v>
      </c>
      <c r="F13" s="33">
        <f>C35*'E Balans VL '!L23/100/3.6*1000000+C35*'E Balans VL '!N23/100/3.6*1000000</f>
        <v>343.52642865801414</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16244.855194047101</v>
      </c>
      <c r="C15" s="33"/>
      <c r="D15" s="37">
        <f>IF( ISERROR(IND_rest_gas_kWh/1000),0,IND_rest_gas_kWh/1000)*0.902</f>
        <v>29267.169053647041</v>
      </c>
      <c r="E15" s="33">
        <f>C37*'E Balans VL '!I15/100/3.6*1000000</f>
        <v>146.605976253162</v>
      </c>
      <c r="F15" s="33">
        <f>C37*'E Balans VL '!L15/100/3.6*1000000+C37*'E Balans VL '!N15/100/3.6*1000000</f>
        <v>3247.4769970458919</v>
      </c>
      <c r="G15" s="34"/>
      <c r="H15" s="33"/>
      <c r="I15" s="33"/>
      <c r="J15" s="40">
        <f>C37*'E Balans VL '!D15/100/3.6*1000000+C37*'E Balans VL '!E15/100/3.6*1000000</f>
        <v>109.38233183146416</v>
      </c>
      <c r="K15" s="33"/>
      <c r="L15" s="33"/>
      <c r="M15" s="33"/>
      <c r="N15" s="33">
        <f>C37*'E Balans VL '!Y15/100/3.6*1000000</f>
        <v>292.34008985769776</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18956.339365109434</v>
      </c>
      <c r="C18" s="21">
        <f>C5+C16</f>
        <v>0</v>
      </c>
      <c r="D18" s="21">
        <f>MAX((D5+D16),0)</f>
        <v>29444.946318862261</v>
      </c>
      <c r="E18" s="21">
        <f>MAX((E5+E16),0)</f>
        <v>213.75485169161897</v>
      </c>
      <c r="F18" s="21">
        <f>MAX((F5+F16),0)</f>
        <v>4365.3177846966073</v>
      </c>
      <c r="G18" s="21"/>
      <c r="H18" s="21"/>
      <c r="I18" s="21"/>
      <c r="J18" s="21">
        <f>MAX((J5+J16),0)</f>
        <v>110.00448505155983</v>
      </c>
      <c r="K18" s="21"/>
      <c r="L18" s="21">
        <f>MAX((L5+L16),0)</f>
        <v>0</v>
      </c>
      <c r="M18" s="21"/>
      <c r="N18" s="21">
        <f>MAX((N5+N16),0)</f>
        <v>365.66522804072071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0.21626218872095471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4099.5394412357591</v>
      </c>
      <c r="C22" s="23">
        <f ca="1">C18*C20</f>
        <v>0</v>
      </c>
      <c r="D22" s="23">
        <f>D18*D20</f>
        <v>5947.8791564101775</v>
      </c>
      <c r="E22" s="23">
        <f>E18*E20</f>
        <v>48.522351333997506</v>
      </c>
      <c r="F22" s="23">
        <f>F18*F20</f>
        <v>1165.5398485139942</v>
      </c>
      <c r="G22" s="23"/>
      <c r="H22" s="23"/>
      <c r="I22" s="23"/>
      <c r="J22" s="23">
        <f>J18*J20</f>
        <v>38.941587708252179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963.67807016162396</v>
      </c>
      <c r="C31" s="39">
        <f>IF(ISERROR(B31*3.6/1000000/'E Balans VL '!Z19*100),0,B31*3.6/1000000/'E Balans VL '!Z19*100)</f>
        <v>4.2716029845290507E-2</v>
      </c>
      <c r="D31" s="238" t="s">
        <v>720</v>
      </c>
    </row>
    <row r="32" spans="1:18">
      <c r="A32" s="172" t="s">
        <v>41</v>
      </c>
      <c r="B32" s="37">
        <f>IF( ISERROR(IND_voed_ele_kWh/1000),0,IND_voed_ele_kWh/1000)</f>
        <v>129.95453195944</v>
      </c>
      <c r="C32" s="39">
        <f>IF(ISERROR(B32*3.6/1000000/'E Balans VL '!Z20*100),0,B32*3.6/1000000/'E Balans VL '!Z20*100)</f>
        <v>4.3408541587488646E-3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1617.85156894127</v>
      </c>
      <c r="C35" s="39">
        <f>IF(ISERROR(B35*3.6/1000000/'E Balans VL '!Z22*100),0,B35*3.6/1000000/'E Balans VL '!Z22*100)</f>
        <v>0.31465435906976202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16244.855194047101</v>
      </c>
      <c r="C37" s="39">
        <f>IF(ISERROR(B37*3.6/1000000/'E Balans VL '!Z15*100),0,B37*3.6/1000000/'E Balans VL '!Z15*100)</f>
        <v>0.12083525751079185</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196.85151123955171</v>
      </c>
      <c r="C5" s="17">
        <f>'Eigen informatie GS &amp; warmtenet'!B60</f>
        <v>0</v>
      </c>
      <c r="D5" s="30">
        <f>IF(ISERROR(SUM(LB_lb_gas_kWh,LB_rest_gas_kWh,onbekend_gas_kWh)/1000),0,SUM(LB_lb_gas_kWh,LB_rest_gas_kWh,onbekend_gas_kWh)/1000)*0.902</f>
        <v>5274.8099797967352</v>
      </c>
      <c r="E5" s="17">
        <f>B17*'E Balans VL '!I25/3.6*1000000/100</f>
        <v>2.0614716423148729</v>
      </c>
      <c r="F5" s="17">
        <f>B17*('E Balans VL '!L25/3.6*1000000+'E Balans VL '!N25/3.6*1000000)/100</f>
        <v>1011.0607052640214</v>
      </c>
      <c r="G5" s="18"/>
      <c r="H5" s="17"/>
      <c r="I5" s="17"/>
      <c r="J5" s="17">
        <f>('E Balans VL '!D25+'E Balans VL '!E25)/3.6*1000000*landbouw!B17/100</f>
        <v>17.580604363887446</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196.85151123955171</v>
      </c>
      <c r="C8" s="21">
        <f>C5+C6</f>
        <v>0</v>
      </c>
      <c r="D8" s="21">
        <f>MAX((D5+D6),0)</f>
        <v>5274.8099797967352</v>
      </c>
      <c r="E8" s="21">
        <f>MAX((E5+E6),0)</f>
        <v>2.0614716423148729</v>
      </c>
      <c r="F8" s="21">
        <f>MAX((F5+F6),0)</f>
        <v>1011.0607052640214</v>
      </c>
      <c r="G8" s="21"/>
      <c r="H8" s="21"/>
      <c r="I8" s="21"/>
      <c r="J8" s="21">
        <f>MAX((J5+J6),0)</f>
        <v>17.580604363887446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0.21626218872095471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42.57153867369307</v>
      </c>
      <c r="C12" s="23">
        <f ca="1">C8*C10</f>
        <v>0</v>
      </c>
      <c r="D12" s="23">
        <f>D8*D10</f>
        <v>1065.5116159189406</v>
      </c>
      <c r="E12" s="23">
        <f>E8*E10</f>
        <v>0.46795406280547619</v>
      </c>
      <c r="F12" s="23">
        <f>F8*F10</f>
        <v>269.95320830549372</v>
      </c>
      <c r="G12" s="23"/>
      <c r="H12" s="23"/>
      <c r="I12" s="23"/>
      <c r="J12" s="23">
        <f>J8*J10</f>
        <v>6.2235339448161557</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3.0299247516156237E-2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86.061345687554407</v>
      </c>
      <c r="C26" s="248">
        <f>B26*'GWP N2O_CH4'!B5</f>
        <v>1807.2882594386426</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12.973142530155004</v>
      </c>
      <c r="C27" s="248">
        <f>B27*'GWP N2O_CH4'!B5</f>
        <v>272.43599313325507</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1.2504205668785064</v>
      </c>
      <c r="C28" s="248">
        <f>B28*'GWP N2O_CH4'!B4</f>
        <v>387.63037573233697</v>
      </c>
      <c r="D28" s="50"/>
    </row>
    <row r="29" spans="1:4">
      <c r="A29" s="41" t="s">
        <v>278</v>
      </c>
      <c r="B29" s="248">
        <f>B34*'ha_N2O bodem landbouw'!B4</f>
        <v>7.8454383829853036</v>
      </c>
      <c r="C29" s="248">
        <f>B29*'GWP N2O_CH4'!B4</f>
        <v>2432.0858987254442</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1.2965617323967954E-3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8.4654425817667822E-6</v>
      </c>
      <c r="C5" s="446" t="s">
        <v>212</v>
      </c>
      <c r="D5" s="431">
        <f>SUM(D6:D11)</f>
        <v>4.8630889703367573E-5</v>
      </c>
      <c r="E5" s="431">
        <f>SUM(E6:E11)</f>
        <v>5.4310499748337878E-3</v>
      </c>
      <c r="F5" s="444" t="s">
        <v>212</v>
      </c>
      <c r="G5" s="431">
        <f>SUM(G6:G11)</f>
        <v>0.80166327958250216</v>
      </c>
      <c r="H5" s="431">
        <f>SUM(H6:H11)</f>
        <v>0.16427277425078832</v>
      </c>
      <c r="I5" s="446" t="s">
        <v>212</v>
      </c>
      <c r="J5" s="446" t="s">
        <v>212</v>
      </c>
      <c r="K5" s="446" t="s">
        <v>212</v>
      </c>
      <c r="L5" s="446" t="s">
        <v>212</v>
      </c>
      <c r="M5" s="431">
        <f>SUM(M6:M11)</f>
        <v>4.2217761551777658E-2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3.3784511631549664E-9</v>
      </c>
      <c r="C6" s="432"/>
      <c r="D6" s="432">
        <f>vkm_2011_GW_PW*SUMIFS(TableVerdeelsleutelVkm[CNG],TableVerdeelsleutelVkm[Voertuigtype],"Lichte voertuigen")*SUMIFS(TableECFTransport[EnergieConsumptieFactor (PJ per km)],TableECFTransport[Index],CONCATENATE($A6,"_CNG_CNG"))</f>
        <v>1.456411025363145E-8</v>
      </c>
      <c r="E6" s="434">
        <f>vkm_2011_GW_PW*SUMIFS(TableVerdeelsleutelVkm[LPG],TableVerdeelsleutelVkm[Voertuigtype],"Lichte voertuigen")*SUMIFS(TableECFTransport[EnergieConsumptieFactor (PJ per km)],TableECFTransport[Index],CONCATENATE($A6,"_LPG_LPG"))</f>
        <v>1.5153063083854078E-6</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1.8638683586982019E-4</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4.9071791386382775E-5</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1.0318925878285165E-5</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2.9495306766571389E-5</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1.0113531954700301E-8</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1.2741419876944793E-6</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3.3118997969155923E-6</v>
      </c>
      <c r="C8" s="432"/>
      <c r="D8" s="434">
        <f>vkm_2011_NGW_PW*SUMIFS(TableVerdeelsleutelVkm[CNG],TableVerdeelsleutelVkm[Voertuigtype],"Lichte voertuigen")*SUMIFS(TableECFTransport[EnergieConsumptieFactor (PJ per km)],TableECFTransport[Index],CONCATENATE($A8,"_CNG_CNG"))</f>
        <v>2.5613671549266913E-5</v>
      </c>
      <c r="E8" s="434">
        <f>vkm_2011_NGW_PW*SUMIFS(TableVerdeelsleutelVkm[LPG],TableVerdeelsleutelVkm[Voertuigtype],"Lichte voertuigen")*SUMIFS(TableECFTransport[EnergieConsumptieFactor (PJ per km)],TableECFTransport[Index],CONCATENATE($A8,"_LPG_LPG"))</f>
        <v>2.4332927737586323E-3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0.28388083916859197</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8.238094225906524E-2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1.6069995006102691E-2</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4.6763361248460512E-2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1.3929576791962699E-5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2.0199922013139113E-3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5.1501643336880359E-6</v>
      </c>
      <c r="C10" s="432"/>
      <c r="D10" s="434">
        <f>vkm_2011_SW_PW*SUMIFS(TableVerdeelsleutelVkm[CNG],TableVerdeelsleutelVkm[Voertuigtype],"Lichte voertuigen")*SUMIFS(TableECFTransport[EnergieConsumptieFactor (PJ per km)],TableECFTransport[Index],CONCATENATE($A10,"_CNG_CNG"))</f>
        <v>2.300265404384703E-5</v>
      </c>
      <c r="E10" s="434">
        <f>vkm_2011_SW_PW*SUMIFS(TableVerdeelsleutelVkm[LPG],TableVerdeelsleutelVkm[Voertuigtype],"Lichte voertuigen")*SUMIFS(TableECFTransport[EnergieConsumptieFactor (PJ per km)],TableECFTransport[Index],CONCATENATE($A10,"_LPG_LPG"))</f>
        <v>2.99624189476677E-3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0.33881922951510207</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8.1780534758016291E-2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1.8414580978523172E-2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0.13198396750771116</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4.8285751996476058E-5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5.7016002979718991E-3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2.3515118282685505</v>
      </c>
      <c r="C14" s="21"/>
      <c r="D14" s="21">
        <f t="shared" ref="D14:M14" si="0">((D5)*10^9/3600)+D12</f>
        <v>13.508580473157659</v>
      </c>
      <c r="E14" s="21">
        <f t="shared" si="0"/>
        <v>1508.6249930093854</v>
      </c>
      <c r="F14" s="21"/>
      <c r="G14" s="21">
        <f t="shared" si="0"/>
        <v>222684.24432847282</v>
      </c>
      <c r="H14" s="21">
        <f t="shared" si="0"/>
        <v>45631.326180774537</v>
      </c>
      <c r="I14" s="21"/>
      <c r="J14" s="21"/>
      <c r="K14" s="21"/>
      <c r="L14" s="21"/>
      <c r="M14" s="21">
        <f t="shared" si="0"/>
        <v>11727.155986604907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0.21626218872095471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0.50854309478457049</v>
      </c>
      <c r="C18" s="23"/>
      <c r="D18" s="23">
        <f t="shared" ref="D18:M18" si="1">D14*D16</f>
        <v>2.7287332555778474</v>
      </c>
      <c r="E18" s="23">
        <f t="shared" si="1"/>
        <v>342.45787341313053</v>
      </c>
      <c r="F18" s="23"/>
      <c r="G18" s="23">
        <f t="shared" si="1"/>
        <v>59456.693235702245</v>
      </c>
      <c r="H18" s="23">
        <f t="shared" si="1"/>
        <v>11362.200219012859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1.0944812563049145E-2</v>
      </c>
      <c r="H50" s="322">
        <f t="shared" si="2"/>
        <v>0</v>
      </c>
      <c r="I50" s="322">
        <f t="shared" si="2"/>
        <v>0</v>
      </c>
      <c r="J50" s="322">
        <f t="shared" si="2"/>
        <v>0</v>
      </c>
      <c r="K50" s="322">
        <f t="shared" si="2"/>
        <v>0</v>
      </c>
      <c r="L50" s="322">
        <f t="shared" si="2"/>
        <v>0</v>
      </c>
      <c r="M50" s="322">
        <f t="shared" si="2"/>
        <v>4.6652981008107696E-4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1.0944812563049145E-2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4.6652981008107696E-4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3040.2257119580959</v>
      </c>
      <c r="H54" s="21">
        <f t="shared" si="3"/>
        <v>0</v>
      </c>
      <c r="I54" s="21">
        <f t="shared" si="3"/>
        <v>0</v>
      </c>
      <c r="J54" s="21">
        <f t="shared" si="3"/>
        <v>0</v>
      </c>
      <c r="K54" s="21">
        <f t="shared" si="3"/>
        <v>0</v>
      </c>
      <c r="L54" s="21">
        <f t="shared" si="3"/>
        <v>0</v>
      </c>
      <c r="M54" s="21">
        <f t="shared" si="3"/>
        <v>129.59161391141026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0.21626218872095471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811.74026509281168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2218.1241834061975</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2218.1241834061975</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38462.083099651536</v>
      </c>
      <c r="D10" s="702">
        <f ca="1">tertiair!C16</f>
        <v>0</v>
      </c>
      <c r="E10" s="702">
        <f ca="1">tertiair!D16</f>
        <v>35494.97210516192</v>
      </c>
      <c r="F10" s="702">
        <f>tertiair!E16</f>
        <v>732.41375965564839</v>
      </c>
      <c r="G10" s="702">
        <f ca="1">tertiair!F16</f>
        <v>6658.5960712205761</v>
      </c>
      <c r="H10" s="702">
        <f>tertiair!G16</f>
        <v>0</v>
      </c>
      <c r="I10" s="702">
        <f>tertiair!H16</f>
        <v>0</v>
      </c>
      <c r="J10" s="702">
        <f>tertiair!I16</f>
        <v>0</v>
      </c>
      <c r="K10" s="702">
        <f>tertiair!J16</f>
        <v>0</v>
      </c>
      <c r="L10" s="702">
        <f>tertiair!K16</f>
        <v>0</v>
      </c>
      <c r="M10" s="702">
        <f ca="1">tertiair!L16</f>
        <v>0</v>
      </c>
      <c r="N10" s="702">
        <f>tertiair!M16</f>
        <v>0</v>
      </c>
      <c r="O10" s="702">
        <f ca="1">tertiair!N16</f>
        <v>784.25613218852152</v>
      </c>
      <c r="P10" s="702">
        <f>tertiair!O16</f>
        <v>0</v>
      </c>
      <c r="Q10" s="703">
        <f>tertiair!P16</f>
        <v>0</v>
      </c>
      <c r="R10" s="705">
        <f ca="1">SUM(C10:Q10)</f>
        <v>82132.321167878195</v>
      </c>
      <c r="S10" s="67"/>
    </row>
    <row r="11" spans="1:19" s="457" customFormat="1">
      <c r="A11" s="858" t="s">
        <v>226</v>
      </c>
      <c r="B11" s="863"/>
      <c r="C11" s="702">
        <f>huishoudens!B8</f>
        <v>45849.020957309847</v>
      </c>
      <c r="D11" s="702">
        <f>huishoudens!C8</f>
        <v>0</v>
      </c>
      <c r="E11" s="702">
        <f>huishoudens!D8</f>
        <v>114108.17358602631</v>
      </c>
      <c r="F11" s="702">
        <f>huishoudens!E8</f>
        <v>2925.6331447263065</v>
      </c>
      <c r="G11" s="702">
        <f>huishoudens!F8</f>
        <v>32960.444021549127</v>
      </c>
      <c r="H11" s="702">
        <f>huishoudens!G8</f>
        <v>0</v>
      </c>
      <c r="I11" s="702">
        <f>huishoudens!H8</f>
        <v>0</v>
      </c>
      <c r="J11" s="702">
        <f>huishoudens!I8</f>
        <v>0</v>
      </c>
      <c r="K11" s="702">
        <f>huishoudens!J8</f>
        <v>0</v>
      </c>
      <c r="L11" s="702">
        <f>huishoudens!K8</f>
        <v>0</v>
      </c>
      <c r="M11" s="702">
        <f>huishoudens!L8</f>
        <v>0</v>
      </c>
      <c r="N11" s="702">
        <f>huishoudens!M8</f>
        <v>0</v>
      </c>
      <c r="O11" s="702">
        <f>huishoudens!N8</f>
        <v>9078.2554161042426</v>
      </c>
      <c r="P11" s="702">
        <f>huishoudens!O8</f>
        <v>82.856666666666683</v>
      </c>
      <c r="Q11" s="703">
        <f>huishoudens!P8</f>
        <v>171.6</v>
      </c>
      <c r="R11" s="705">
        <f>SUM(C11:Q11)</f>
        <v>205175.98379238253</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18956.339365109434</v>
      </c>
      <c r="D13" s="702">
        <f>industrie!C18</f>
        <v>0</v>
      </c>
      <c r="E13" s="702">
        <f>industrie!D18</f>
        <v>29444.946318862261</v>
      </c>
      <c r="F13" s="702">
        <f>industrie!E18</f>
        <v>213.75485169161897</v>
      </c>
      <c r="G13" s="702">
        <f>industrie!F18</f>
        <v>4365.3177846966073</v>
      </c>
      <c r="H13" s="702">
        <f>industrie!G18</f>
        <v>0</v>
      </c>
      <c r="I13" s="702">
        <f>industrie!H18</f>
        <v>0</v>
      </c>
      <c r="J13" s="702">
        <f>industrie!I18</f>
        <v>0</v>
      </c>
      <c r="K13" s="702">
        <f>industrie!J18</f>
        <v>110.00448505155983</v>
      </c>
      <c r="L13" s="702">
        <f>industrie!K18</f>
        <v>0</v>
      </c>
      <c r="M13" s="702">
        <f>industrie!L18</f>
        <v>0</v>
      </c>
      <c r="N13" s="702">
        <f>industrie!M18</f>
        <v>0</v>
      </c>
      <c r="O13" s="702">
        <f>industrie!N18</f>
        <v>365.66522804072071</v>
      </c>
      <c r="P13" s="702">
        <f>industrie!O18</f>
        <v>0</v>
      </c>
      <c r="Q13" s="703">
        <f>industrie!P18</f>
        <v>0</v>
      </c>
      <c r="R13" s="705">
        <f>SUM(C13:Q13)</f>
        <v>53456.02803345221</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103267.44342207082</v>
      </c>
      <c r="D15" s="707">
        <f t="shared" ref="D15:Q15" ca="1" si="0">SUM(D9:D14)</f>
        <v>0</v>
      </c>
      <c r="E15" s="707">
        <f t="shared" ca="1" si="0"/>
        <v>179048.09201005049</v>
      </c>
      <c r="F15" s="707">
        <f t="shared" si="0"/>
        <v>3871.8017560735739</v>
      </c>
      <c r="G15" s="707">
        <f t="shared" ca="1" si="0"/>
        <v>43984.357877466311</v>
      </c>
      <c r="H15" s="707">
        <f t="shared" si="0"/>
        <v>0</v>
      </c>
      <c r="I15" s="707">
        <f t="shared" si="0"/>
        <v>0</v>
      </c>
      <c r="J15" s="707">
        <f t="shared" si="0"/>
        <v>0</v>
      </c>
      <c r="K15" s="707">
        <f t="shared" si="0"/>
        <v>110.00448505155983</v>
      </c>
      <c r="L15" s="707">
        <f t="shared" si="0"/>
        <v>0</v>
      </c>
      <c r="M15" s="707">
        <f t="shared" ca="1" si="0"/>
        <v>0</v>
      </c>
      <c r="N15" s="707">
        <f t="shared" si="0"/>
        <v>0</v>
      </c>
      <c r="O15" s="707">
        <f t="shared" ca="1" si="0"/>
        <v>10228.176776333486</v>
      </c>
      <c r="P15" s="707">
        <f t="shared" si="0"/>
        <v>82.856666666666683</v>
      </c>
      <c r="Q15" s="708">
        <f t="shared" si="0"/>
        <v>171.6</v>
      </c>
      <c r="R15" s="709">
        <f ca="1">SUM(R9:R14)</f>
        <v>340764.33299371297</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3040.2257119580959</v>
      </c>
      <c r="I18" s="702">
        <f>transport!H54</f>
        <v>0</v>
      </c>
      <c r="J18" s="702">
        <f>transport!I54</f>
        <v>0</v>
      </c>
      <c r="K18" s="702">
        <f>transport!J54</f>
        <v>0</v>
      </c>
      <c r="L18" s="702">
        <f>transport!K54</f>
        <v>0</v>
      </c>
      <c r="M18" s="702">
        <f>transport!L54</f>
        <v>0</v>
      </c>
      <c r="N18" s="702">
        <f>transport!M54</f>
        <v>129.59161391141026</v>
      </c>
      <c r="O18" s="702">
        <f>transport!N54</f>
        <v>0</v>
      </c>
      <c r="P18" s="702">
        <f>transport!O54</f>
        <v>0</v>
      </c>
      <c r="Q18" s="703">
        <f>transport!P54</f>
        <v>0</v>
      </c>
      <c r="R18" s="705">
        <f>SUM(C18:Q18)</f>
        <v>3169.817325869506</v>
      </c>
      <c r="S18" s="67"/>
    </row>
    <row r="19" spans="1:19" s="457" customFormat="1" ht="15" thickBot="1">
      <c r="A19" s="858" t="s">
        <v>308</v>
      </c>
      <c r="B19" s="863"/>
      <c r="C19" s="711">
        <f>transport!B14</f>
        <v>2.3515118282685505</v>
      </c>
      <c r="D19" s="711">
        <f>transport!C14</f>
        <v>0</v>
      </c>
      <c r="E19" s="711">
        <f>transport!D14</f>
        <v>13.508580473157659</v>
      </c>
      <c r="F19" s="711">
        <f>transport!E14</f>
        <v>1508.6249930093854</v>
      </c>
      <c r="G19" s="711">
        <f>transport!F14</f>
        <v>0</v>
      </c>
      <c r="H19" s="711">
        <f>transport!G14</f>
        <v>222684.24432847282</v>
      </c>
      <c r="I19" s="711">
        <f>transport!H14</f>
        <v>45631.326180774537</v>
      </c>
      <c r="J19" s="711">
        <f>transport!I14</f>
        <v>0</v>
      </c>
      <c r="K19" s="711">
        <f>transport!J14</f>
        <v>0</v>
      </c>
      <c r="L19" s="711">
        <f>transport!K14</f>
        <v>0</v>
      </c>
      <c r="M19" s="711">
        <f>transport!L14</f>
        <v>0</v>
      </c>
      <c r="N19" s="711">
        <f>transport!M14</f>
        <v>11727.155986604907</v>
      </c>
      <c r="O19" s="711">
        <f>transport!N14</f>
        <v>0</v>
      </c>
      <c r="P19" s="711">
        <f>transport!O14</f>
        <v>0</v>
      </c>
      <c r="Q19" s="712">
        <f>transport!P14</f>
        <v>0</v>
      </c>
      <c r="R19" s="713">
        <f>SUM(C19:Q19)</f>
        <v>281567.21158116311</v>
      </c>
      <c r="S19" s="67"/>
    </row>
    <row r="20" spans="1:19" s="457" customFormat="1" ht="15.75" thickBot="1">
      <c r="A20" s="714" t="s">
        <v>231</v>
      </c>
      <c r="B20" s="866"/>
      <c r="C20" s="861">
        <f>SUM(C17:C19)</f>
        <v>2.3515118282685505</v>
      </c>
      <c r="D20" s="715">
        <f t="shared" ref="D20:R20" si="1">SUM(D17:D19)</f>
        <v>0</v>
      </c>
      <c r="E20" s="715">
        <f t="shared" si="1"/>
        <v>13.508580473157659</v>
      </c>
      <c r="F20" s="715">
        <f t="shared" si="1"/>
        <v>1508.6249930093854</v>
      </c>
      <c r="G20" s="715">
        <f t="shared" si="1"/>
        <v>0</v>
      </c>
      <c r="H20" s="715">
        <f t="shared" si="1"/>
        <v>225724.47004043093</v>
      </c>
      <c r="I20" s="715">
        <f t="shared" si="1"/>
        <v>45631.326180774537</v>
      </c>
      <c r="J20" s="715">
        <f t="shared" si="1"/>
        <v>0</v>
      </c>
      <c r="K20" s="715">
        <f t="shared" si="1"/>
        <v>0</v>
      </c>
      <c r="L20" s="715">
        <f t="shared" si="1"/>
        <v>0</v>
      </c>
      <c r="M20" s="715">
        <f t="shared" si="1"/>
        <v>0</v>
      </c>
      <c r="N20" s="715">
        <f t="shared" si="1"/>
        <v>11856.747600516317</v>
      </c>
      <c r="O20" s="715">
        <f t="shared" si="1"/>
        <v>0</v>
      </c>
      <c r="P20" s="715">
        <f t="shared" si="1"/>
        <v>0</v>
      </c>
      <c r="Q20" s="716">
        <f t="shared" si="1"/>
        <v>0</v>
      </c>
      <c r="R20" s="717">
        <f t="shared" si="1"/>
        <v>284737.02890703263</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196.85151123955171</v>
      </c>
      <c r="D22" s="711">
        <f>+landbouw!C8</f>
        <v>0</v>
      </c>
      <c r="E22" s="711">
        <f>+landbouw!D8</f>
        <v>5274.8099797967352</v>
      </c>
      <c r="F22" s="711">
        <f>+landbouw!E8</f>
        <v>2.0614716423148729</v>
      </c>
      <c r="G22" s="711">
        <f>+landbouw!F8</f>
        <v>1011.0607052640214</v>
      </c>
      <c r="H22" s="711">
        <f>+landbouw!G8</f>
        <v>0</v>
      </c>
      <c r="I22" s="711">
        <f>+landbouw!H8</f>
        <v>0</v>
      </c>
      <c r="J22" s="711">
        <f>+landbouw!I8</f>
        <v>0</v>
      </c>
      <c r="K22" s="711">
        <f>+landbouw!J8</f>
        <v>17.580604363887446</v>
      </c>
      <c r="L22" s="711">
        <f>+landbouw!K8</f>
        <v>0</v>
      </c>
      <c r="M22" s="711">
        <f>+landbouw!L8</f>
        <v>0</v>
      </c>
      <c r="N22" s="711">
        <f>+landbouw!M8</f>
        <v>0</v>
      </c>
      <c r="O22" s="711">
        <f>+landbouw!N8</f>
        <v>0</v>
      </c>
      <c r="P22" s="711">
        <f>+landbouw!O8</f>
        <v>0</v>
      </c>
      <c r="Q22" s="712">
        <f>+landbouw!P8</f>
        <v>0</v>
      </c>
      <c r="R22" s="713">
        <f>SUM(C22:Q22)</f>
        <v>6502.3642723065113</v>
      </c>
      <c r="S22" s="67"/>
    </row>
    <row r="23" spans="1:19" s="457" customFormat="1" ht="17.25" thickTop="1" thickBot="1">
      <c r="A23" s="718" t="s">
        <v>116</v>
      </c>
      <c r="B23" s="852"/>
      <c r="C23" s="719">
        <f ca="1">C20+C15+C22</f>
        <v>103466.64644513864</v>
      </c>
      <c r="D23" s="719">
        <f t="shared" ref="D23:Q23" ca="1" si="2">D20+D15+D22</f>
        <v>0</v>
      </c>
      <c r="E23" s="719">
        <f t="shared" ca="1" si="2"/>
        <v>184336.41057032038</v>
      </c>
      <c r="F23" s="719">
        <f t="shared" si="2"/>
        <v>5382.488220725274</v>
      </c>
      <c r="G23" s="719">
        <f t="shared" ca="1" si="2"/>
        <v>44995.41858273033</v>
      </c>
      <c r="H23" s="719">
        <f t="shared" si="2"/>
        <v>225724.47004043093</v>
      </c>
      <c r="I23" s="719">
        <f t="shared" si="2"/>
        <v>45631.326180774537</v>
      </c>
      <c r="J23" s="719">
        <f t="shared" si="2"/>
        <v>0</v>
      </c>
      <c r="K23" s="719">
        <f t="shared" si="2"/>
        <v>127.58508941544727</v>
      </c>
      <c r="L23" s="719">
        <f t="shared" si="2"/>
        <v>0</v>
      </c>
      <c r="M23" s="719">
        <f t="shared" ca="1" si="2"/>
        <v>0</v>
      </c>
      <c r="N23" s="719">
        <f t="shared" si="2"/>
        <v>11856.747600516317</v>
      </c>
      <c r="O23" s="719">
        <f t="shared" ca="1" si="2"/>
        <v>10228.176776333486</v>
      </c>
      <c r="P23" s="719">
        <f t="shared" si="2"/>
        <v>82.856666666666683</v>
      </c>
      <c r="Q23" s="720">
        <f t="shared" si="2"/>
        <v>171.6</v>
      </c>
      <c r="R23" s="721">
        <f ca="1">R20+R15+R22</f>
        <v>632003.72617305222</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8317.8942738978822</v>
      </c>
      <c r="D36" s="702">
        <f ca="1">tertiair!C20</f>
        <v>0</v>
      </c>
      <c r="E36" s="702">
        <f ca="1">tertiair!D20</f>
        <v>7169.984365242708</v>
      </c>
      <c r="F36" s="702">
        <f>tertiair!E20</f>
        <v>166.25792344183219</v>
      </c>
      <c r="G36" s="702">
        <f ca="1">tertiair!F20</f>
        <v>1777.8451510158939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17431.981713598318</v>
      </c>
    </row>
    <row r="37" spans="1:18">
      <c r="A37" s="873" t="s">
        <v>226</v>
      </c>
      <c r="B37" s="880"/>
      <c r="C37" s="702">
        <f ca="1">huishoudens!B12</f>
        <v>9915.4096229407496</v>
      </c>
      <c r="D37" s="702">
        <f ca="1">huishoudens!C12</f>
        <v>0</v>
      </c>
      <c r="E37" s="702">
        <f>huishoudens!D12</f>
        <v>23049.851064377315</v>
      </c>
      <c r="F37" s="702">
        <f>huishoudens!E12</f>
        <v>664.11872385287154</v>
      </c>
      <c r="G37" s="702">
        <f>huishoudens!F12</f>
        <v>8800.4385537536182</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42429.817964924558</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4099.5394412357591</v>
      </c>
      <c r="D39" s="702">
        <f ca="1">industrie!C22</f>
        <v>0</v>
      </c>
      <c r="E39" s="702">
        <f>industrie!D22</f>
        <v>5947.8791564101775</v>
      </c>
      <c r="F39" s="702">
        <f>industrie!E22</f>
        <v>48.522351333997506</v>
      </c>
      <c r="G39" s="702">
        <f>industrie!F22</f>
        <v>1165.5398485139942</v>
      </c>
      <c r="H39" s="702">
        <f>industrie!G22</f>
        <v>0</v>
      </c>
      <c r="I39" s="702">
        <f>industrie!H22</f>
        <v>0</v>
      </c>
      <c r="J39" s="702">
        <f>industrie!I22</f>
        <v>0</v>
      </c>
      <c r="K39" s="702">
        <f>industrie!J22</f>
        <v>38.941587708252179</v>
      </c>
      <c r="L39" s="702">
        <f>industrie!K22</f>
        <v>0</v>
      </c>
      <c r="M39" s="702">
        <f>industrie!L22</f>
        <v>0</v>
      </c>
      <c r="N39" s="702">
        <f>industrie!M22</f>
        <v>0</v>
      </c>
      <c r="O39" s="702">
        <f>industrie!N22</f>
        <v>0</v>
      </c>
      <c r="P39" s="702">
        <f>industrie!O22</f>
        <v>0</v>
      </c>
      <c r="Q39" s="812">
        <f>industrie!P22</f>
        <v>0</v>
      </c>
      <c r="R39" s="906">
        <f ca="1">SUM(C39:Q39)</f>
        <v>11300.422385202181</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22332.843338074392</v>
      </c>
      <c r="D41" s="747">
        <f t="shared" ref="D41:R41" ca="1" si="4">SUM(D35:D40)</f>
        <v>0</v>
      </c>
      <c r="E41" s="747">
        <f t="shared" ca="1" si="4"/>
        <v>36167.714586030197</v>
      </c>
      <c r="F41" s="747">
        <f t="shared" si="4"/>
        <v>878.89899862870129</v>
      </c>
      <c r="G41" s="747">
        <f t="shared" ca="1" si="4"/>
        <v>11743.823553283506</v>
      </c>
      <c r="H41" s="747">
        <f t="shared" si="4"/>
        <v>0</v>
      </c>
      <c r="I41" s="747">
        <f t="shared" si="4"/>
        <v>0</v>
      </c>
      <c r="J41" s="747">
        <f t="shared" si="4"/>
        <v>0</v>
      </c>
      <c r="K41" s="747">
        <f t="shared" si="4"/>
        <v>38.941587708252179</v>
      </c>
      <c r="L41" s="747">
        <f t="shared" si="4"/>
        <v>0</v>
      </c>
      <c r="M41" s="747">
        <f t="shared" ca="1" si="4"/>
        <v>0</v>
      </c>
      <c r="N41" s="747">
        <f t="shared" si="4"/>
        <v>0</v>
      </c>
      <c r="O41" s="747">
        <f t="shared" ca="1" si="4"/>
        <v>0</v>
      </c>
      <c r="P41" s="747">
        <f t="shared" si="4"/>
        <v>0</v>
      </c>
      <c r="Q41" s="748">
        <f t="shared" si="4"/>
        <v>0</v>
      </c>
      <c r="R41" s="749">
        <f t="shared" ca="1" si="4"/>
        <v>71162.222063725058</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811.74026509281168</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811.74026509281168</v>
      </c>
    </row>
    <row r="45" spans="1:18" ht="15" thickBot="1">
      <c r="A45" s="876" t="s">
        <v>308</v>
      </c>
      <c r="B45" s="886"/>
      <c r="C45" s="711">
        <f ca="1">transport!B18</f>
        <v>0.50854309478457049</v>
      </c>
      <c r="D45" s="711">
        <f>transport!C18</f>
        <v>0</v>
      </c>
      <c r="E45" s="711">
        <f>transport!D18</f>
        <v>2.7287332555778474</v>
      </c>
      <c r="F45" s="711">
        <f>transport!E18</f>
        <v>342.45787341313053</v>
      </c>
      <c r="G45" s="711">
        <f>transport!F18</f>
        <v>0</v>
      </c>
      <c r="H45" s="711">
        <f>transport!G18</f>
        <v>59456.693235702245</v>
      </c>
      <c r="I45" s="711">
        <f>transport!H18</f>
        <v>11362.200219012859</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71164.588604478602</v>
      </c>
    </row>
    <row r="46" spans="1:18" ht="15.75" thickBot="1">
      <c r="A46" s="874" t="s">
        <v>231</v>
      </c>
      <c r="B46" s="887"/>
      <c r="C46" s="747">
        <f t="shared" ref="C46:R46" ca="1" si="5">SUM(C43:C45)</f>
        <v>0.50854309478457049</v>
      </c>
      <c r="D46" s="747">
        <f t="shared" ca="1" si="5"/>
        <v>0</v>
      </c>
      <c r="E46" s="747">
        <f t="shared" si="5"/>
        <v>2.7287332555778474</v>
      </c>
      <c r="F46" s="747">
        <f t="shared" si="5"/>
        <v>342.45787341313053</v>
      </c>
      <c r="G46" s="747">
        <f t="shared" si="5"/>
        <v>0</v>
      </c>
      <c r="H46" s="747">
        <f t="shared" si="5"/>
        <v>60268.433500795058</v>
      </c>
      <c r="I46" s="747">
        <f t="shared" si="5"/>
        <v>11362.200219012859</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71976.328869571415</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42.57153867369307</v>
      </c>
      <c r="D48" s="702">
        <f ca="1">+landbouw!C12</f>
        <v>0</v>
      </c>
      <c r="E48" s="702">
        <f>+landbouw!D12</f>
        <v>1065.5116159189406</v>
      </c>
      <c r="F48" s="702">
        <f>+landbouw!E12</f>
        <v>0.46795406280547619</v>
      </c>
      <c r="G48" s="702">
        <f>+landbouw!F12</f>
        <v>269.95320830549372</v>
      </c>
      <c r="H48" s="702">
        <f>+landbouw!G12</f>
        <v>0</v>
      </c>
      <c r="I48" s="702">
        <f>+landbouw!H12</f>
        <v>0</v>
      </c>
      <c r="J48" s="702">
        <f>+landbouw!I12</f>
        <v>0</v>
      </c>
      <c r="K48" s="702">
        <f>+landbouw!J12</f>
        <v>6.2235339448161557</v>
      </c>
      <c r="L48" s="702">
        <f>+landbouw!K12</f>
        <v>0</v>
      </c>
      <c r="M48" s="702">
        <f>+landbouw!L12</f>
        <v>0</v>
      </c>
      <c r="N48" s="702">
        <f>+landbouw!M12</f>
        <v>0</v>
      </c>
      <c r="O48" s="702">
        <f>+landbouw!N12</f>
        <v>0</v>
      </c>
      <c r="P48" s="702">
        <f>+landbouw!O12</f>
        <v>0</v>
      </c>
      <c r="Q48" s="703">
        <f>+landbouw!P12</f>
        <v>0</v>
      </c>
      <c r="R48" s="745">
        <f ca="1">SUM(C48:Q48)</f>
        <v>1384.7278509057492</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22375.923419842868</v>
      </c>
      <c r="D53" s="757">
        <f t="shared" ref="D53:Q53" ca="1" si="6">D41+D46+D48</f>
        <v>0</v>
      </c>
      <c r="E53" s="757">
        <f t="shared" ca="1" si="6"/>
        <v>37235.954935204718</v>
      </c>
      <c r="F53" s="757">
        <f t="shared" si="6"/>
        <v>1221.8248261046374</v>
      </c>
      <c r="G53" s="757">
        <f t="shared" ca="1" si="6"/>
        <v>12013.776761589001</v>
      </c>
      <c r="H53" s="757">
        <f t="shared" si="6"/>
        <v>60268.433500795058</v>
      </c>
      <c r="I53" s="757">
        <f t="shared" si="6"/>
        <v>11362.200219012859</v>
      </c>
      <c r="J53" s="757">
        <f t="shared" si="6"/>
        <v>0</v>
      </c>
      <c r="K53" s="757">
        <f t="shared" si="6"/>
        <v>45.165121653068333</v>
      </c>
      <c r="L53" s="757">
        <f t="shared" si="6"/>
        <v>0</v>
      </c>
      <c r="M53" s="757">
        <f t="shared" ca="1" si="6"/>
        <v>0</v>
      </c>
      <c r="N53" s="757">
        <f t="shared" si="6"/>
        <v>0</v>
      </c>
      <c r="O53" s="757">
        <f t="shared" ca="1" si="6"/>
        <v>0</v>
      </c>
      <c r="P53" s="757">
        <f>P41+P46+P48</f>
        <v>0</v>
      </c>
      <c r="Q53" s="758">
        <f t="shared" si="6"/>
        <v>0</v>
      </c>
      <c r="R53" s="759">
        <f ca="1">R41+R46+R48</f>
        <v>144523.27878420221</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0.21626218872095468</v>
      </c>
      <c r="D55" s="823">
        <f t="shared" ca="1" si="7"/>
        <v>0</v>
      </c>
      <c r="E55" s="823">
        <f t="shared" ca="1" si="7"/>
        <v>0.20200000000000001</v>
      </c>
      <c r="F55" s="823">
        <f t="shared" si="7"/>
        <v>0.22700000000000004</v>
      </c>
      <c r="G55" s="823">
        <f t="shared" ca="1" si="7"/>
        <v>0.26700000000000007</v>
      </c>
      <c r="H55" s="823">
        <f t="shared" si="7"/>
        <v>0.26700000000000002</v>
      </c>
      <c r="I55" s="823">
        <f t="shared" si="7"/>
        <v>0.24899999999999997</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2218.1241834061975</v>
      </c>
      <c r="C66" s="779">
        <f>'lokale energieproductie'!B6</f>
        <v>2218.1241834061975</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2218.1241834061975</v>
      </c>
      <c r="C69" s="787">
        <f>SUM(C64:C68)</f>
        <v>2218.1241834061975</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45849.020957309847</v>
      </c>
      <c r="C4" s="461">
        <f>huishoudens!C8</f>
        <v>0</v>
      </c>
      <c r="D4" s="461">
        <f>huishoudens!D8</f>
        <v>114108.17358602631</v>
      </c>
      <c r="E4" s="461">
        <f>huishoudens!E8</f>
        <v>2925.6331447263065</v>
      </c>
      <c r="F4" s="461">
        <f>huishoudens!F8</f>
        <v>32960.444021549127</v>
      </c>
      <c r="G4" s="461">
        <f>huishoudens!G8</f>
        <v>0</v>
      </c>
      <c r="H4" s="461">
        <f>huishoudens!H8</f>
        <v>0</v>
      </c>
      <c r="I4" s="461">
        <f>huishoudens!I8</f>
        <v>0</v>
      </c>
      <c r="J4" s="461">
        <f>huishoudens!J8</f>
        <v>0</v>
      </c>
      <c r="K4" s="461">
        <f>huishoudens!K8</f>
        <v>0</v>
      </c>
      <c r="L4" s="461">
        <f>huishoudens!L8</f>
        <v>0</v>
      </c>
      <c r="M4" s="461">
        <f>huishoudens!M8</f>
        <v>0</v>
      </c>
      <c r="N4" s="461">
        <f>huishoudens!N8</f>
        <v>9078.2554161042426</v>
      </c>
      <c r="O4" s="461">
        <f>huishoudens!O8</f>
        <v>82.856666666666683</v>
      </c>
      <c r="P4" s="462">
        <f>huishoudens!P8</f>
        <v>171.6</v>
      </c>
      <c r="Q4" s="463">
        <f>SUM(B4:P4)</f>
        <v>205175.98379238253</v>
      </c>
    </row>
    <row r="5" spans="1:17">
      <c r="A5" s="460" t="s">
        <v>156</v>
      </c>
      <c r="B5" s="461">
        <f ca="1">tertiair!B16</f>
        <v>36356.020099651534</v>
      </c>
      <c r="C5" s="461">
        <f ca="1">tertiair!C16</f>
        <v>0</v>
      </c>
      <c r="D5" s="461">
        <f ca="1">tertiair!D16</f>
        <v>35494.97210516192</v>
      </c>
      <c r="E5" s="461">
        <f>tertiair!E16</f>
        <v>732.41375965564839</v>
      </c>
      <c r="F5" s="461">
        <f ca="1">tertiair!F16</f>
        <v>6658.5960712205761</v>
      </c>
      <c r="G5" s="461">
        <f>tertiair!G16</f>
        <v>0</v>
      </c>
      <c r="H5" s="461">
        <f>tertiair!H16</f>
        <v>0</v>
      </c>
      <c r="I5" s="461">
        <f>tertiair!I16</f>
        <v>0</v>
      </c>
      <c r="J5" s="461">
        <f>tertiair!J16</f>
        <v>0</v>
      </c>
      <c r="K5" s="461">
        <f>tertiair!K16</f>
        <v>0</v>
      </c>
      <c r="L5" s="461">
        <f ca="1">tertiair!L16</f>
        <v>0</v>
      </c>
      <c r="M5" s="461">
        <f>tertiair!M16</f>
        <v>0</v>
      </c>
      <c r="N5" s="461">
        <f ca="1">tertiair!N16</f>
        <v>784.25613218852152</v>
      </c>
      <c r="O5" s="461">
        <f>tertiair!O16</f>
        <v>0</v>
      </c>
      <c r="P5" s="462">
        <f>tertiair!P16</f>
        <v>0</v>
      </c>
      <c r="Q5" s="460">
        <f t="shared" ref="Q5:Q13" ca="1" si="0">SUM(B5:P5)</f>
        <v>80026.258167878201</v>
      </c>
    </row>
    <row r="6" spans="1:17">
      <c r="A6" s="460" t="s">
        <v>195</v>
      </c>
      <c r="B6" s="461">
        <f>'openbare verlichting'!B8</f>
        <v>2106.0630000000001</v>
      </c>
      <c r="C6" s="461"/>
      <c r="D6" s="461"/>
      <c r="E6" s="461"/>
      <c r="F6" s="461"/>
      <c r="G6" s="461"/>
      <c r="H6" s="461"/>
      <c r="I6" s="461"/>
      <c r="J6" s="461"/>
      <c r="K6" s="461"/>
      <c r="L6" s="461"/>
      <c r="M6" s="461"/>
      <c r="N6" s="461"/>
      <c r="O6" s="461"/>
      <c r="P6" s="462"/>
      <c r="Q6" s="460">
        <f t="shared" si="0"/>
        <v>2106.0630000000001</v>
      </c>
    </row>
    <row r="7" spans="1:17">
      <c r="A7" s="460" t="s">
        <v>112</v>
      </c>
      <c r="B7" s="461">
        <f>landbouw!B8</f>
        <v>196.85151123955171</v>
      </c>
      <c r="C7" s="461">
        <f>landbouw!C8</f>
        <v>0</v>
      </c>
      <c r="D7" s="461">
        <f>landbouw!D8</f>
        <v>5274.8099797967352</v>
      </c>
      <c r="E7" s="461">
        <f>landbouw!E8</f>
        <v>2.0614716423148729</v>
      </c>
      <c r="F7" s="461">
        <f>landbouw!F8</f>
        <v>1011.0607052640214</v>
      </c>
      <c r="G7" s="461">
        <f>landbouw!G8</f>
        <v>0</v>
      </c>
      <c r="H7" s="461">
        <f>landbouw!H8</f>
        <v>0</v>
      </c>
      <c r="I7" s="461">
        <f>landbouw!I8</f>
        <v>0</v>
      </c>
      <c r="J7" s="461">
        <f>landbouw!J8</f>
        <v>17.580604363887446</v>
      </c>
      <c r="K7" s="461">
        <f>landbouw!K8</f>
        <v>0</v>
      </c>
      <c r="L7" s="461">
        <f>landbouw!L8</f>
        <v>0</v>
      </c>
      <c r="M7" s="461">
        <f>landbouw!M8</f>
        <v>0</v>
      </c>
      <c r="N7" s="461">
        <f>landbouw!N8</f>
        <v>0</v>
      </c>
      <c r="O7" s="461">
        <f>landbouw!O8</f>
        <v>0</v>
      </c>
      <c r="P7" s="462">
        <f>landbouw!P8</f>
        <v>0</v>
      </c>
      <c r="Q7" s="460">
        <f t="shared" si="0"/>
        <v>6502.3642723065113</v>
      </c>
    </row>
    <row r="8" spans="1:17">
      <c r="A8" s="460" t="s">
        <v>656</v>
      </c>
      <c r="B8" s="461">
        <f>industrie!B18</f>
        <v>18956.339365109434</v>
      </c>
      <c r="C8" s="461">
        <f>industrie!C18</f>
        <v>0</v>
      </c>
      <c r="D8" s="461">
        <f>industrie!D18</f>
        <v>29444.946318862261</v>
      </c>
      <c r="E8" s="461">
        <f>industrie!E18</f>
        <v>213.75485169161897</v>
      </c>
      <c r="F8" s="461">
        <f>industrie!F18</f>
        <v>4365.3177846966073</v>
      </c>
      <c r="G8" s="461">
        <f>industrie!G18</f>
        <v>0</v>
      </c>
      <c r="H8" s="461">
        <f>industrie!H18</f>
        <v>0</v>
      </c>
      <c r="I8" s="461">
        <f>industrie!I18</f>
        <v>0</v>
      </c>
      <c r="J8" s="461">
        <f>industrie!J18</f>
        <v>110.00448505155983</v>
      </c>
      <c r="K8" s="461">
        <f>industrie!K18</f>
        <v>0</v>
      </c>
      <c r="L8" s="461">
        <f>industrie!L18</f>
        <v>0</v>
      </c>
      <c r="M8" s="461">
        <f>industrie!M18</f>
        <v>0</v>
      </c>
      <c r="N8" s="461">
        <f>industrie!N18</f>
        <v>365.66522804072071</v>
      </c>
      <c r="O8" s="461">
        <f>industrie!O18</f>
        <v>0</v>
      </c>
      <c r="P8" s="462">
        <f>industrie!P18</f>
        <v>0</v>
      </c>
      <c r="Q8" s="460">
        <f t="shared" si="0"/>
        <v>53456.02803345221</v>
      </c>
    </row>
    <row r="9" spans="1:17" s="466" customFormat="1">
      <c r="A9" s="464" t="s">
        <v>574</v>
      </c>
      <c r="B9" s="465">
        <f>transport!B14</f>
        <v>2.3515118282685505</v>
      </c>
      <c r="C9" s="465">
        <f>transport!C14</f>
        <v>0</v>
      </c>
      <c r="D9" s="465">
        <f>transport!D14</f>
        <v>13.508580473157659</v>
      </c>
      <c r="E9" s="465">
        <f>transport!E14</f>
        <v>1508.6249930093854</v>
      </c>
      <c r="F9" s="465">
        <f>transport!F14</f>
        <v>0</v>
      </c>
      <c r="G9" s="465">
        <f>transport!G14</f>
        <v>222684.24432847282</v>
      </c>
      <c r="H9" s="465">
        <f>transport!H14</f>
        <v>45631.326180774537</v>
      </c>
      <c r="I9" s="465">
        <f>transport!I14</f>
        <v>0</v>
      </c>
      <c r="J9" s="465">
        <f>transport!J14</f>
        <v>0</v>
      </c>
      <c r="K9" s="465">
        <f>transport!K14</f>
        <v>0</v>
      </c>
      <c r="L9" s="465">
        <f>transport!L14</f>
        <v>0</v>
      </c>
      <c r="M9" s="465">
        <f>transport!M14</f>
        <v>11727.155986604907</v>
      </c>
      <c r="N9" s="465">
        <f>transport!N14</f>
        <v>0</v>
      </c>
      <c r="O9" s="465">
        <f>transport!O14</f>
        <v>0</v>
      </c>
      <c r="P9" s="465">
        <f>transport!P14</f>
        <v>0</v>
      </c>
      <c r="Q9" s="464">
        <f>SUM(B9:P9)</f>
        <v>281567.21158116311</v>
      </c>
    </row>
    <row r="10" spans="1:17">
      <c r="A10" s="460" t="s">
        <v>564</v>
      </c>
      <c r="B10" s="461">
        <f>transport!B54</f>
        <v>0</v>
      </c>
      <c r="C10" s="461">
        <f>transport!C54</f>
        <v>0</v>
      </c>
      <c r="D10" s="461">
        <f>transport!D54</f>
        <v>0</v>
      </c>
      <c r="E10" s="461">
        <f>transport!E54</f>
        <v>0</v>
      </c>
      <c r="F10" s="461">
        <f>transport!F54</f>
        <v>0</v>
      </c>
      <c r="G10" s="461">
        <f>transport!G54</f>
        <v>3040.2257119580959</v>
      </c>
      <c r="H10" s="461">
        <f>transport!H54</f>
        <v>0</v>
      </c>
      <c r="I10" s="461">
        <f>transport!I54</f>
        <v>0</v>
      </c>
      <c r="J10" s="461">
        <f>transport!J54</f>
        <v>0</v>
      </c>
      <c r="K10" s="461">
        <f>transport!K54</f>
        <v>0</v>
      </c>
      <c r="L10" s="461">
        <f>transport!L54</f>
        <v>0</v>
      </c>
      <c r="M10" s="461">
        <f>transport!M54</f>
        <v>129.59161391141026</v>
      </c>
      <c r="N10" s="461">
        <f>transport!N54</f>
        <v>0</v>
      </c>
      <c r="O10" s="461">
        <f>transport!O54</f>
        <v>0</v>
      </c>
      <c r="P10" s="462">
        <f>transport!P54</f>
        <v>0</v>
      </c>
      <c r="Q10" s="460">
        <f t="shared" si="0"/>
        <v>3169.817325869506</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103466.64644513863</v>
      </c>
      <c r="C14" s="471">
        <f t="shared" ref="C14:Q14" ca="1" si="1">SUM(C4:C13)</f>
        <v>0</v>
      </c>
      <c r="D14" s="471">
        <f t="shared" ca="1" si="1"/>
        <v>184336.41057032038</v>
      </c>
      <c r="E14" s="471">
        <f t="shared" si="1"/>
        <v>5382.488220725274</v>
      </c>
      <c r="F14" s="471">
        <f t="shared" ca="1" si="1"/>
        <v>44995.41858273033</v>
      </c>
      <c r="G14" s="471">
        <f t="shared" si="1"/>
        <v>225724.47004043093</v>
      </c>
      <c r="H14" s="471">
        <f t="shared" si="1"/>
        <v>45631.326180774537</v>
      </c>
      <c r="I14" s="471">
        <f t="shared" si="1"/>
        <v>0</v>
      </c>
      <c r="J14" s="471">
        <f t="shared" si="1"/>
        <v>127.58508941544727</v>
      </c>
      <c r="K14" s="471">
        <f t="shared" si="1"/>
        <v>0</v>
      </c>
      <c r="L14" s="471">
        <f t="shared" ca="1" si="1"/>
        <v>0</v>
      </c>
      <c r="M14" s="471">
        <f t="shared" si="1"/>
        <v>11856.747600516317</v>
      </c>
      <c r="N14" s="471">
        <f t="shared" ca="1" si="1"/>
        <v>10228.176776333486</v>
      </c>
      <c r="O14" s="471">
        <f t="shared" si="1"/>
        <v>82.856666666666683</v>
      </c>
      <c r="P14" s="472">
        <f t="shared" si="1"/>
        <v>171.6</v>
      </c>
      <c r="Q14" s="472">
        <f t="shared" ca="1" si="1"/>
        <v>632003.72617305198</v>
      </c>
    </row>
    <row r="16" spans="1:17">
      <c r="A16" s="474" t="s">
        <v>569</v>
      </c>
      <c r="B16" s="828">
        <f ca="1">huishoudens!B10</f>
        <v>0.21626218872095471</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9915.4096229407496</v>
      </c>
      <c r="C21" s="461">
        <f t="shared" ref="C21:C30" ca="1" si="3">C4*$C$16</f>
        <v>0</v>
      </c>
      <c r="D21" s="461">
        <f t="shared" ref="D21:D30" si="4">D4*$D$16</f>
        <v>23049.851064377315</v>
      </c>
      <c r="E21" s="461">
        <f t="shared" ref="E21:E30" si="5">E4*$E$16</f>
        <v>664.11872385287154</v>
      </c>
      <c r="F21" s="461">
        <f t="shared" ref="F21:F30" si="6">F4*$F$16</f>
        <v>8800.4385537536182</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42429.817964924558</v>
      </c>
    </row>
    <row r="22" spans="1:17">
      <c r="A22" s="460" t="s">
        <v>156</v>
      </c>
      <c r="B22" s="461">
        <f t="shared" ca="1" si="2"/>
        <v>7862.4324799336628</v>
      </c>
      <c r="C22" s="461">
        <f t="shared" ca="1" si="3"/>
        <v>0</v>
      </c>
      <c r="D22" s="461">
        <f t="shared" ca="1" si="4"/>
        <v>7169.984365242708</v>
      </c>
      <c r="E22" s="461">
        <f t="shared" si="5"/>
        <v>166.25792344183219</v>
      </c>
      <c r="F22" s="461">
        <f t="shared" ca="1" si="6"/>
        <v>1777.8451510158939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16976.519919634098</v>
      </c>
    </row>
    <row r="23" spans="1:17">
      <c r="A23" s="460" t="s">
        <v>195</v>
      </c>
      <c r="B23" s="461">
        <f t="shared" ca="1" si="2"/>
        <v>455.46179396422008</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455.46179396422008</v>
      </c>
    </row>
    <row r="24" spans="1:17">
      <c r="A24" s="460" t="s">
        <v>112</v>
      </c>
      <c r="B24" s="461">
        <f t="shared" ca="1" si="2"/>
        <v>42.57153867369307</v>
      </c>
      <c r="C24" s="461">
        <f t="shared" ca="1" si="3"/>
        <v>0</v>
      </c>
      <c r="D24" s="461">
        <f t="shared" si="4"/>
        <v>1065.5116159189406</v>
      </c>
      <c r="E24" s="461">
        <f t="shared" si="5"/>
        <v>0.46795406280547619</v>
      </c>
      <c r="F24" s="461">
        <f t="shared" si="6"/>
        <v>269.95320830549372</v>
      </c>
      <c r="G24" s="461">
        <f t="shared" si="7"/>
        <v>0</v>
      </c>
      <c r="H24" s="461">
        <f t="shared" si="8"/>
        <v>0</v>
      </c>
      <c r="I24" s="461">
        <f t="shared" si="9"/>
        <v>0</v>
      </c>
      <c r="J24" s="461">
        <f t="shared" si="10"/>
        <v>6.2235339448161557</v>
      </c>
      <c r="K24" s="461">
        <f t="shared" si="11"/>
        <v>0</v>
      </c>
      <c r="L24" s="461">
        <f t="shared" si="12"/>
        <v>0</v>
      </c>
      <c r="M24" s="461">
        <f t="shared" si="13"/>
        <v>0</v>
      </c>
      <c r="N24" s="461">
        <f t="shared" si="14"/>
        <v>0</v>
      </c>
      <c r="O24" s="461">
        <f t="shared" si="15"/>
        <v>0</v>
      </c>
      <c r="P24" s="462">
        <f t="shared" si="16"/>
        <v>0</v>
      </c>
      <c r="Q24" s="460">
        <f t="shared" ca="1" si="17"/>
        <v>1384.7278509057492</v>
      </c>
    </row>
    <row r="25" spans="1:17">
      <c r="A25" s="460" t="s">
        <v>656</v>
      </c>
      <c r="B25" s="461">
        <f t="shared" ca="1" si="2"/>
        <v>4099.5394412357591</v>
      </c>
      <c r="C25" s="461">
        <f t="shared" ca="1" si="3"/>
        <v>0</v>
      </c>
      <c r="D25" s="461">
        <f t="shared" si="4"/>
        <v>5947.8791564101775</v>
      </c>
      <c r="E25" s="461">
        <f t="shared" si="5"/>
        <v>48.522351333997506</v>
      </c>
      <c r="F25" s="461">
        <f t="shared" si="6"/>
        <v>1165.5398485139942</v>
      </c>
      <c r="G25" s="461">
        <f t="shared" si="7"/>
        <v>0</v>
      </c>
      <c r="H25" s="461">
        <f t="shared" si="8"/>
        <v>0</v>
      </c>
      <c r="I25" s="461">
        <f t="shared" si="9"/>
        <v>0</v>
      </c>
      <c r="J25" s="461">
        <f t="shared" si="10"/>
        <v>38.941587708252179</v>
      </c>
      <c r="K25" s="461">
        <f t="shared" si="11"/>
        <v>0</v>
      </c>
      <c r="L25" s="461">
        <f t="shared" si="12"/>
        <v>0</v>
      </c>
      <c r="M25" s="461">
        <f t="shared" si="13"/>
        <v>0</v>
      </c>
      <c r="N25" s="461">
        <f t="shared" si="14"/>
        <v>0</v>
      </c>
      <c r="O25" s="461">
        <f t="shared" si="15"/>
        <v>0</v>
      </c>
      <c r="P25" s="462">
        <f t="shared" si="16"/>
        <v>0</v>
      </c>
      <c r="Q25" s="460">
        <f t="shared" ca="1" si="17"/>
        <v>11300.422385202181</v>
      </c>
    </row>
    <row r="26" spans="1:17" s="466" customFormat="1">
      <c r="A26" s="464" t="s">
        <v>574</v>
      </c>
      <c r="B26" s="822">
        <f t="shared" ca="1" si="2"/>
        <v>0.50854309478457049</v>
      </c>
      <c r="C26" s="465">
        <f t="shared" ca="1" si="3"/>
        <v>0</v>
      </c>
      <c r="D26" s="465">
        <f t="shared" si="4"/>
        <v>2.7287332555778474</v>
      </c>
      <c r="E26" s="465">
        <f t="shared" si="5"/>
        <v>342.45787341313053</v>
      </c>
      <c r="F26" s="465">
        <f t="shared" si="6"/>
        <v>0</v>
      </c>
      <c r="G26" s="465">
        <f t="shared" si="7"/>
        <v>59456.693235702245</v>
      </c>
      <c r="H26" s="465">
        <f t="shared" si="8"/>
        <v>11362.200219012859</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71164.588604478602</v>
      </c>
    </row>
    <row r="27" spans="1:17">
      <c r="A27" s="460" t="s">
        <v>564</v>
      </c>
      <c r="B27" s="461">
        <f t="shared" ca="1" si="2"/>
        <v>0</v>
      </c>
      <c r="C27" s="461">
        <f t="shared" ca="1" si="3"/>
        <v>0</v>
      </c>
      <c r="D27" s="461">
        <f t="shared" si="4"/>
        <v>0</v>
      </c>
      <c r="E27" s="461">
        <f t="shared" si="5"/>
        <v>0</v>
      </c>
      <c r="F27" s="461">
        <f t="shared" si="6"/>
        <v>0</v>
      </c>
      <c r="G27" s="461">
        <f t="shared" si="7"/>
        <v>811.74026509281168</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811.74026509281168</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22375.923419842868</v>
      </c>
      <c r="C31" s="471">
        <f t="shared" ca="1" si="18"/>
        <v>0</v>
      </c>
      <c r="D31" s="471">
        <f t="shared" ca="1" si="18"/>
        <v>37235.954935204725</v>
      </c>
      <c r="E31" s="471">
        <f t="shared" si="18"/>
        <v>1221.8248261046372</v>
      </c>
      <c r="F31" s="471">
        <f t="shared" ca="1" si="18"/>
        <v>12013.776761588999</v>
      </c>
      <c r="G31" s="471">
        <f t="shared" si="18"/>
        <v>60268.433500795058</v>
      </c>
      <c r="H31" s="471">
        <f t="shared" si="18"/>
        <v>11362.200219012859</v>
      </c>
      <c r="I31" s="471">
        <f t="shared" si="18"/>
        <v>0</v>
      </c>
      <c r="J31" s="471">
        <f t="shared" si="18"/>
        <v>45.165121653068333</v>
      </c>
      <c r="K31" s="471">
        <f t="shared" si="18"/>
        <v>0</v>
      </c>
      <c r="L31" s="471">
        <f t="shared" ca="1" si="18"/>
        <v>0</v>
      </c>
      <c r="M31" s="471">
        <f t="shared" si="18"/>
        <v>0</v>
      </c>
      <c r="N31" s="471">
        <f t="shared" ca="1" si="18"/>
        <v>0</v>
      </c>
      <c r="O31" s="471">
        <f t="shared" si="18"/>
        <v>0</v>
      </c>
      <c r="P31" s="472">
        <f t="shared" si="18"/>
        <v>0</v>
      </c>
      <c r="Q31" s="472">
        <f t="shared" ca="1" si="18"/>
        <v>144523.27878420224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0.21626218872095471</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0.21626218872095471</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0.21626218872095471</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2018-06-27T09:00:01Z</dcterms:modified>
</cp:coreProperties>
</file>