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J8" i="18" l="1"/>
  <c r="F13" i="15"/>
  <c r="D6" i="17"/>
  <c r="D8" s="1"/>
  <c r="N16" i="16"/>
  <c r="B11"/>
  <c r="L68" i="14"/>
  <c r="B97" i="18"/>
  <c r="O80" i="14"/>
  <c r="F16" i="16"/>
  <c r="D13" i="15"/>
  <c r="D12" i="22"/>
  <c r="E17" i="14"/>
  <c r="D13" i="48"/>
  <c r="D31" i="20"/>
  <c r="E43" i="14" s="1"/>
  <c r="I101" i="18"/>
  <c r="H16" s="1"/>
  <c r="I78" i="14" s="1"/>
  <c r="E101" i="18"/>
  <c r="E16" s="1"/>
  <c r="F78" i="14" s="1"/>
  <c r="F101" i="18"/>
  <c r="H101"/>
  <c r="J16" s="1"/>
  <c r="K78" i="14" s="1"/>
  <c r="K81" s="1"/>
  <c r="D101" i="18"/>
  <c r="G101"/>
  <c r="I16" s="1"/>
  <c r="J78" i="14" s="1"/>
  <c r="C101" i="18"/>
  <c r="B101"/>
  <c r="C16" s="1"/>
  <c r="D78" i="14"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N9"/>
  <c r="N15" s="1"/>
  <c r="I11" i="48"/>
  <c r="M11"/>
  <c r="M28" s="1"/>
  <c r="M19" i="19"/>
  <c r="N35" i="14" s="1"/>
  <c r="J7" i="15"/>
  <c r="O5" i="16"/>
  <c r="B7" i="18"/>
  <c r="B67" i="14" s="1"/>
  <c r="I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H69"/>
  <c r="P20"/>
  <c r="K20"/>
  <c r="L20"/>
  <c r="G20"/>
  <c r="L69"/>
  <c r="D5" i="15"/>
  <c r="B8"/>
  <c r="J8"/>
  <c r="F12"/>
  <c r="I20"/>
  <c r="J36" i="14"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D67"/>
  <c r="E9" i="18"/>
  <c r="F69" i="14"/>
  <c r="C9" i="18"/>
  <c r="H9"/>
  <c r="B10" i="48"/>
  <c r="C18" i="14"/>
  <c r="F7" i="48"/>
  <c r="F24" s="1"/>
  <c r="J12" i="17"/>
  <c r="K48" i="14" s="1"/>
  <c r="P24" i="48"/>
  <c r="E5" i="17"/>
  <c r="C8"/>
  <c r="G24" i="48"/>
  <c r="K14"/>
  <c r="I24"/>
  <c r="G81" i="14"/>
  <c r="D79"/>
  <c r="H79"/>
  <c r="H81" s="1"/>
  <c r="L79"/>
  <c r="L81" s="1"/>
  <c r="F79"/>
  <c r="F81" s="1"/>
  <c r="J79"/>
  <c r="J81" s="1"/>
  <c r="E68"/>
  <c r="E69" s="1"/>
  <c r="I68"/>
  <c r="I69" s="1"/>
  <c r="M68"/>
  <c r="M69" s="1"/>
  <c r="D19" i="18"/>
  <c r="H19"/>
  <c r="L19"/>
  <c r="B68" i="14"/>
  <c r="G68"/>
  <c r="G69" s="1"/>
  <c r="K68"/>
  <c r="E81"/>
  <c r="I81"/>
  <c r="M81"/>
  <c r="B19" i="18"/>
  <c r="F19"/>
  <c r="D11" i="14"/>
  <c r="C4" i="48"/>
  <c r="M8" i="18"/>
  <c r="M17"/>
  <c r="M18"/>
  <c r="D13" i="14"/>
  <c r="D7" i="48" l="1"/>
  <c r="D24" s="1"/>
  <c r="D12" i="17"/>
  <c r="E48" i="14" s="1"/>
  <c r="E22"/>
  <c r="J41"/>
  <c r="G13" i="48"/>
  <c r="G30" s="1"/>
  <c r="E19" i="18"/>
  <c r="L5" i="17"/>
  <c r="L8" s="1"/>
  <c r="C78" i="14"/>
  <c r="D16" i="15"/>
  <c r="O78" i="14"/>
  <c r="N8" i="17"/>
  <c r="N5"/>
  <c r="G31" i="20"/>
  <c r="H43" i="14" s="1"/>
  <c r="B35" i="13"/>
  <c r="D81" i="14"/>
  <c r="O79"/>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C14" s="1"/>
  <c r="M19" i="18"/>
  <c r="L7" i="48" l="1"/>
  <c r="L24" s="1"/>
  <c r="L12" i="17"/>
  <c r="M48" i="14" s="1"/>
  <c r="M22"/>
  <c r="E19"/>
  <c r="E20" s="1"/>
  <c r="O81"/>
  <c r="B17" i="6" s="1"/>
  <c r="O22" i="14"/>
  <c r="N12" i="17"/>
  <c r="O48" i="14" s="1"/>
  <c r="N7" i="48"/>
  <c r="N24" s="1"/>
  <c r="C81" i="14"/>
  <c r="E13"/>
  <c r="R22"/>
  <c r="E20" i="15"/>
  <c r="F36" i="14" s="1"/>
  <c r="E16" i="15"/>
  <c r="K67" i="14"/>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E23" i="14" l="1"/>
  <c r="M9" i="48"/>
  <c r="N19" i="14"/>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F13" l="1"/>
  <c r="F15" s="1"/>
  <c r="F23" s="1"/>
  <c r="O13"/>
  <c r="O15" s="1"/>
  <c r="N22" i="16"/>
  <c r="O39" i="14" s="1"/>
  <c r="O41" s="1"/>
  <c r="E55"/>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<sst xmlns="http://schemas.openxmlformats.org/spreadsheetml/2006/main" count="2047" uniqueCount="902">
  <si>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</si>
  <si>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</si>
  <si>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</si>
  <si>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</si>
  <si>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</si>
  <si>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</si>
  <si>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</si>
  <si>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</si>
  <si>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</si>
  <si>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</si>
  <si>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</si>
  <si>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</si>
  <si>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</si>
  <si>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</si>
  <si>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</si>
  <si>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</si>
  <si>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</si>
  <si>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</si>
  <si>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</si>
  <si>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</si>
  <si>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</si>
  <si>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</si>
  <si>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</si>
  <si>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</si>
  <si>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</si>
  <si>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</si>
  <si>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</si>
  <si>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</si>
  <si>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</si>
  <si>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</si>
  <si>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</si>
  <si>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</si>
  <si>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</si>
  <si>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</si>
  <si>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</si>
  <si>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</si>
  <si>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</si>
  <si>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</si>
  <si>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</si>
  <si>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</si>
  <si>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</si>
  <si>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</si>
  <si>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</si>
  <si>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</si>
  <si>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</si>
  <si>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</si>
  <si>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</si>
  <si>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</si>
  <si>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</si>
  <si>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</si>
  <si>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</si>
  <si>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</si>
  <si>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</si>
  <si>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</si>
  <si>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</si>
  <si>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</si>
  <si>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</si>
  <si>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</si>
  <si>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</si>
  <si>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</si>
  <si>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</si>
  <si>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</si>
  <si>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</si>
  <si>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</si>
  <si>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</si>
  <si>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</si>
  <si>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</si>
  <si>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</si>
  <si>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</si>
  <si>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</si>
  <si>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</si>
  <si>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</si>
  <si>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</si>
  <si>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</si>
  <si>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</si>
  <si>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</si>
  <si>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</si>
  <si>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</si>
  <si>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</si>
  <si>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</si>
  <si>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</si>
  <si>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</si>
  <si>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</si>
  <si>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</si>
  <si>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</si>
  <si>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</si>
  <si>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</si>
  <si>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</si>
  <si>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</si>
  <si>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</si>
  <si>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</si>
  <si>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</si>
  <si>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</si>
  <si>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</si>
  <si>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</si>
  <si>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</si>
  <si>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</si>
  <si>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</si>
  <si>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</si>
  <si>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</si>
  <si>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</si>
  <si>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</si>
  <si>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</si>
  <si>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</si>
  <si>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</si>
  <si>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</si>
  <si>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</si>
  <si>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</si>
  <si>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</si>
  <si>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</si>
  <si>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</si>
  <si>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</si>
  <si>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</si>
  <si>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</si>
  <si>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</si>
  <si>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</si>
  <si>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</si>
  <si>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</si>
  <si>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</si>
  <si>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</si>
  <si>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</si>
  <si>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</si>
  <si>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</si>
  <si>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</si>
  <si>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</si>
  <si>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</si>
  <si>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</si>
  <si>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</si>
  <si>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</si>
  <si>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</si>
  <si>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</si>
  <si>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</si>
  <si>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</si>
  <si>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</si>
  <si>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</si>
  <si>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</si>
  <si>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</si>
  <si>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</si>
  <si>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</si>
  <si>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</si>
  <si>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</si>
  <si>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</si>
  <si>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</si>
  <si>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</si>
  <si>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</si>
  <si>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</si>
  <si>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</si>
  <si>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</si>
  <si>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</si>
  <si>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</si>
  <si>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</si>
  <si>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</si>
  <si>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</si>
  <si>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</si>
  <si>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</si>
  <si>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</si>
  <si>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</si>
  <si>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</si>
  <si>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</si>
  <si>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</si>
  <si>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</si>
  <si>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</si>
  <si>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</si>
  <si>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</si>
  <si>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</si>
  <si>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</si>
  <si>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</si>
  <si>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</si>
  <si>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</si>
  <si>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</si>
  <si>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</si>
  <si>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</si>
  <si>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</si>
  <si>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</si>
  <si>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</si>
  <si>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</si>
  <si>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</si>
  <si>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</si>
  <si>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</si>
  <si>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</si>
  <si>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</si>
  <si>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</si>
  <si>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</si>
  <si>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</si>
  <si>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</si>
  <si>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</si>
  <si>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</si>
  <si>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</si>
  <si>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</si>
  <si>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</si>
  <si>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</si>
  <si>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</si>
  <si>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</si>
  <si>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</si>
  <si>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</si>
  <si>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</si>
  <si>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</si>
  <si>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</si>
  <si>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</si>
  <si>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</si>
  <si>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</si>
  <si>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</si>
  <si>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</si>
  <si>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</si>
  <si>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</si>
  <si>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</si>
  <si>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</si>
  <si>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</si>
  <si>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</si>
  <si>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</si>
  <si>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</si>
  <si>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</si>
  <si>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</si>
  <si>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</si>
  <si>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</si>
  <si>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</si>
  <si>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</si>
  <si>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</si>
  <si>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</si>
  <si>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</si>
  <si>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</si>
  <si>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</si>
  <si>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</si>
  <si>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</si>
  <si>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</si>
  <si>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</si>
  <si>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</si>
  <si>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</si>
  <si>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</si>
  <si>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</si>
  <si>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</si>
  <si>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</si>
  <si>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</si>
  <si>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</si>
  <si>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</si>
  <si>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</si>
  <si>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</si>
  <si>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</si>
  <si>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</si>
  <si>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</si>
  <si>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</si>
  <si>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</si>
  <si>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</si>
  <si>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</si>
  <si>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</si>
  <si>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</si>
  <si>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</si>
  <si>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</si>
  <si>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</si>
  <si>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</si>
  <si>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</si>
  <si>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</si>
  <si>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</si>
  <si>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</si>
  <si>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</si>
  <si>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</si>
  <si>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</si>
  <si>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</si>
  <si>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</si>
  <si>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</si>
  <si>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</si>
  <si>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</si>
  <si>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</si>
  <si>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</si>
  <si>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</si>
  <si>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</si>
  <si>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</si>
  <si>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</si>
  <si>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</si>
  <si>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</si>
  <si>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</si>
  <si>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</si>
  <si>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</si>
  <si>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</si>
  <si>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</si>
  <si>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</si>
  <si>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</si>
  <si>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</si>
  <si>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</si>
  <si>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</si>
  <si>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</si>
  <si>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</si>
  <si>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</si>
  <si>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</si>
  <si>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</si>
  <si>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</si>
  <si>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</si>
  <si>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</si>
  <si>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</si>
  <si>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</si>
  <si>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</si>
  <si>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</si>
  <si>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</si>
  <si>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</si>
  <si>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</si>
  <si>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</si>
  <si>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</si>
  <si>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</si>
  <si>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</si>
  <si>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</si>
  <si>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</si>
  <si>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</si>
  <si>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</si>
  <si>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</si>
  <si>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</si>
  <si>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</si>
  <si>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</si>
  <si>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</si>
  <si>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</si>
  <si>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</si>
  <si>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</si>
  <si>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</si>
  <si>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</si>
  <si>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</si>
  <si>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</si>
  <si>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</si>
  <si>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</si>
  <si>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</si>
  <si>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</si>
  <si>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</si>
  <si>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</si>
  <si>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</si>
  <si>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</si>
  <si>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</si>
  <si>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</si>
  <si>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</si>
  <si>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</si>
  <si>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</si>
  <si>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</si>
  <si>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</si>
  <si>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</si>
  <si>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</si>
  <si>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</si>
  <si>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</si>
  <si>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</si>
  <si>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</si>
  <si>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</si>
  <si>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</si>
  <si>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</si>
  <si>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</si>
  <si>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</si>
  <si>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</si>
  <si>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</si>
  <si>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</si>
  <si>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</si>
  <si>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</si>
  <si>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</si>
  <si>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</si>
  <si>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</si>
  <si>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</si>
  <si>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</si>
  <si>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</si>
  <si>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</si>
  <si>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</si>
  <si>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</si>
  <si>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</si>
  <si>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</si>
  <si>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</si>
  <si>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</si>
  <si>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</si>
  <si>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</si>
  <si>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</si>
  <si>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</si>
  <si>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</si>
  <si>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</si>
  <si>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</si>
  <si>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</si>
  <si>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</si>
  <si>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</si>
  <si>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</si>
  <si>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</si>
  <si>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</si>
  <si>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</si>
  <si>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</si>
  <si>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</si>
  <si>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</si>
  <si>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</si>
  <si>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</si>
  <si>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</si>
  <si>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</si>
  <si>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</si>
  <si>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</si>
  <si>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</si>
  <si>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</si>
  <si>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</si>
  <si>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</si>
  <si>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</si>
  <si>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</si>
  <si>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</si>
  <si>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</si>
  <si>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</si>
  <si>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</si>
  <si>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</si>
  <si>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</si>
  <si>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</si>
  <si>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</si>
  <si>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</si>
  <si>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</si>
  <si>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</si>
  <si>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</si>
  <si>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</si>
  <si>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</si>
  <si>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</si>
  <si>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</si>
  <si>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</si>
  <si>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</si>
  <si>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</si>
  <si>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</si>
  <si>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</si>
  <si>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</si>
  <si>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</si>
  <si>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</si>
  <si>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</si>
  <si>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</si>
  <si>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</si>
  <si>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</si>
  <si>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</si>
  <si>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</si>
  <si>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</si>
  <si>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</si>
  <si>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</si>
  <si>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</si>
  <si>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</si>
  <si>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</si>
  <si>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</si>
  <si>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</si>
  <si>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</si>
  <si>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</si>
  <si>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</si>
  <si>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</si>
  <si>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</si>
  <si>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</si>
  <si>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</si>
  <si>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</si>
  <si>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</si>
  <si>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</si>
  <si>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</si>
  <si>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</si>
  <si>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</si>
  <si>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</si>
  <si>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</si>
  <si>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</si>
  <si>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</si>
  <si>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</si>
  <si>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</si>
  <si>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</si>
  <si>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</si>
  <si>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</si>
  <si>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</si>
  <si>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</si>
  <si>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</si>
  <si>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</si>
  <si>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</si>
  <si>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</si>
  <si>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</si>
  <si>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</si>
  <si>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</si>
  <si>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</si>
  <si>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</si>
  <si>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</si>
  <si>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</si>
  <si>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</si>
  <si>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</si>
  <si>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</si>
  <si>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</si>
  <si>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</si>
  <si>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</si>
  <si>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</si>
  <si>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</si>
  <si>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</si>
  <si>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</si>
  <si>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</si>
  <si>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</si>
  <si>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</si>
  <si>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</si>
  <si>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</si>
  <si>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</si>
  <si>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</si>
  <si>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</si>
  <si>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</si>
  <si>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</si>
  <si>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</si>
  <si>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</si>
  <si>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</si>
  <si>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</si>
  <si>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</si>
  <si>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</si>
  <si>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</si>
  <si>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</si>
  <si>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</si>
  <si>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</si>
  <si>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</si>
  <si>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</si>
  <si>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</si>
  <si>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</si>
  <si>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</si>
  <si>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</si>
  <si>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</si>
  <si>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</si>
  <si>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</si>
  <si>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</si>
  <si>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</si>
  <si>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</si>
  <si>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</si>
  <si>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</si>
  <si>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</si>
  <si>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</si>
  <si>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</si>
  <si>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</si>
  <si>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</si>
  <si>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</si>
  <si>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</si>
  <si>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</si>
  <si>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</si>
  <si>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</si>
  <si>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</si>
  <si>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</si>
  <si>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</si>
  <si>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</si>
  <si>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</si>
  <si>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</si>
  <si>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</si>
  <si>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</si>
  <si>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</si>
  <si>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</si>
  <si>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</si>
  <si>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</si>
  <si>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</si>
  <si>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</si>
  <si>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</si>
  <si>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</si>
  <si>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</si>
  <si>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</si>
  <si>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</si>
  <si>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</si>
  <si>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</si>
  <si>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</si>
  <si>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</si>
  <si>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</si>
  <si>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</si>
  <si>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</si>
  <si>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</si>
  <si>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</si>
  <si>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</si>
  <si>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</si>
  <si>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</si>
  <si>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</si>
  <si>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</si>
  <si>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</si>
  <si>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</si>
  <si>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</si>
  <si>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</si>
  <si>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</si>
  <si>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</si>
  <si>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</si>
  <si>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</si>
  <si>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</si>
  <si>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</si>
  <si>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</si>
  <si>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</si>
  <si>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</si>
  <si>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</si>
  <si>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</si>
  <si>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</si>
  <si>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</si>
  <si>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</si>
  <si>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</si>
  <si>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</si>
  <si>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</si>
  <si>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</si>
  <si>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</si>
  <si>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</si>
  <si>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</si>
  <si>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</si>
  <si>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</si>
  <si>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</si>
  <si>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</si>
  <si>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</si>
  <si>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</si>
  <si>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</si>
  <si>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</si>
  <si>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</si>
  <si>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</si>
  <si>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</si>
  <si>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</si>
  <si>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</si>
  <si>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</si>
  <si>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</si>
  <si>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</si>
  <si>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</si>
  <si>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</si>
  <si>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</si>
  <si>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</si>
  <si>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</si>
  <si>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</si>
  <si>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</si>
  <si>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</si>
  <si>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</si>
  <si>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</si>
  <si>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</si>
  <si>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</si>
  <si>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</si>
  <si>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</si>
  <si>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</si>
  <si>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</si>
  <si>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</si>
  <si>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</si>
  <si>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</si>
  <si>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</si>
  <si>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</si>
  <si>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</si>
  <si>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</si>
  <si>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</si>
  <si>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</si>
  <si>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</si>
  <si>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</si>
  <si>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</si>
  <si>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</si>
  <si>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</si>
  <si>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</si>
  <si>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</si>
  <si>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</si>
  <si>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</si>
  <si>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</si>
  <si>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</si>
  <si>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</si>
  <si>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</si>
  <si>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</si>
  <si>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</si>
  <si>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</si>
  <si>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</si>
  <si>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</si>
  <si>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</si>
  <si>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</si>
  <si>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</si>
  <si>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</si>
  <si>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</si>
  <si>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</si>
  <si>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</si>
  <si>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</si>
  <si>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</si>
  <si>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</si>
  <si>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</si>
  <si>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</si>
  <si>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</si>
  <si>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</si>
  <si>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</si>
  <si>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</si>
  <si>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</si>
  <si>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</si>
  <si>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</si>
  <si>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</si>
  <si>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</si>
  <si>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</si>
  <si>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</si>
  <si>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</si>
  <si>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</si>
  <si>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</si>
  <si>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</si>
  <si>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</si>
  <si>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</si>
  <si>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</si>
  <si>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</si>
  <si>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</si>
  <si>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</si>
  <si>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</si>
  <si>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</si>
  <si>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</si>
  <si>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</si>
  <si>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</si>
  <si>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</si>
  <si>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</si>
  <si>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</si>
  <si>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</si>
  <si>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</si>
  <si>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</si>
  <si>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</si>
  <si>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</si>
  <si>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</si>
  <si>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</si>
  <si>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</si>
  <si>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</si>
  <si>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</si>
  <si>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</si>
  <si>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</si>
  <si>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</si>
  <si>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</si>
  <si>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</si>
  <si>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</si>
  <si>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</si>
  <si>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</si>
  <si>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</si>
  <si>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</si>
  <si>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</si>
  <si>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</si>
  <si>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</si>
  <si>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</si>
  <si>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</si>
  <si>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</si>
  <si>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</si>
  <si>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</si>
  <si>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</si>
  <si>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</si>
  <si>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</si>
  <si>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</si>
  <si>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</si>
  <si>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</si>
  <si>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</si>
  <si>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</si>
  <si>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</si>
  <si>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</si>
  <si>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</si>
  <si>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</si>
  <si>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</si>
  <si>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</si>
  <si>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</si>
  <si>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</si>
  <si>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</si>
  <si>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</si>
  <si>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</si>
  <si>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</si>
  <si>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</si>
  <si>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</si>
  <si>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</si>
  <si>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</si>
  <si>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</si>
  <si>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</si>
  <si>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</si>
  <si>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</si>
  <si>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</si>
  <si>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</si>
  <si>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</si>
  <si>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</si>
  <si>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</si>
  <si>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</si>
  <si>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</si>
  <si>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</si>
  <si>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</si>
  <si>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</si>
  <si>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</si>
  <si>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</si>
  <si>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</si>
  <si>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</si>
  <si>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</si>
  <si>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</si>
  <si>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</si>
  <si>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</si>
  <si>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</si>
  <si>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</si>
  <si>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</si>
  <si>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</si>
  <si>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</si>
  <si>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</si>
  <si>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</si>
  <si>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</si>
  <si>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</si>
  <si>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</si>
  <si>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</si>
  <si>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</si>
  <si>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</si>
  <si>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</si>
  <si>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</si>
  <si>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</si>
  <si>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</si>
  <si>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</si>
  <si>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</si>
  <si>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</si>
  <si>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</si>
  <si>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</si>
  <si>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</si>
  <si>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</si>
  <si>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</si>
  <si>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</si>
  <si>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</si>
  <si>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</si>
  <si>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</si>
  <si>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</si>
  <si>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</si>
  <si>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</si>
  <si>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</si>
  <si>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</si>
  <si>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</si>
  <si>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</si>
  <si>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</si>
  <si>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</si>
  <si>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</si>
  <si>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</si>
  <si>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</si>
  <si>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</si>
  <si>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</si>
  <si>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</si>
  <si>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</si>
  <si>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</si>
  <si>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</si>
  <si>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</si>
  <si>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</si>
  <si>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</si>
  <si>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</si>
  <si>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</si>
  <si>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</si>
  <si>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</si>
  <si>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</si>
  <si>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</si>
  <si>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</si>
  <si>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</si>
  <si>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</si>
  <si>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</si>
  <si>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</si>
  <si>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</si>
  <si>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</si>
  <si>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</si>
  <si>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</si>
  <si>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</si>
  <si>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</si>
  <si>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</si>
  <si>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</si>
  <si>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</si>
  <si>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</si>
  <si>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</si>
  <si>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</si>
  <si>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</si>
  <si>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</si>
  <si>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</si>
  <si>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</si>
  <si>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</si>
  <si>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</si>
  <si>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</si>
  <si>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</si>
  <si>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</si>
  <si>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</si>
  <si>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</si>
  <si>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</si>
  <si>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</si>
  <si>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</si>
  <si>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</si>
  <si>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</si>
  <si>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</si>
  <si>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</si>
  <si>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</si>
  <si>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</si>
  <si>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</si>
  <si>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</si>
  <si>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</si>
  <si>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</si>
  <si>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</si>
  <si>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</si>
  <si>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</si>
  <si>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</si>
  <si>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</si>
  <si>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</si>
  <si>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</si>
  <si>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</si>
  <si>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</si>
  <si>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</si>
  <si>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</si>
  <si>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</si>
  <si>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</si>
  <si>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</si>
  <si>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</si>
  <si>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</si>
  <si>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</si>
  <si>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</si>
  <si>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</si>
  <si>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</si>
  <si>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</si>
  <si>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</si>
  <si>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</si>
  <si>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</si>
  <si>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</si>
  <si>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</si>
  <si>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</si>
  <si>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</si>
  <si>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</si>
  <si>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</si>
  <si>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</si>
  <si>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</si>
  <si>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</si>
  <si>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</si>
  <si>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</si>
  <si>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</si>
  <si>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</si>
  <si>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</si>
  <si>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</si>
  <si>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</si>
  <si>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</si>
  <si>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23002</t>
  </si>
  <si>
    <t>ASSE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</si>
  <si>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</si>
  <si>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</si>
  <si>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</si>
  <si>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</si>
  <si>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</si>
  <si>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</si>
  <si>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</si>
  <si>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Becker Electrogroep</t>
  </si>
  <si>
    <t>Breker 13, 1730 Asse</t>
  </si>
  <si>
    <t>BMS-0093 Costermans</t>
  </si>
  <si>
    <t>biomassa uit land- of bosbouw</t>
  </si>
  <si>
    <t>niet WKK interne verbrandingsmotor (vloeibaar)</t>
  </si>
  <si>
    <t>Koelarenveld 4 , 2861 Onze-Lieve-Vrouw-Waver</t>
  </si>
  <si>
    <t>Iverlek</t>
  </si>
  <si>
    <t>BMS-0020 De Becker Asse PPO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</si>
</sst>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23002</v>
      </c>
      <c r="B6" s="396"/>
      <c r="C6" s="397"/>
    </row>
    <row r="7" spans="1:7" s="394" customFormat="1" ht="15.75" customHeight="1">
      <c r="A7" s="398" t="str">
        <f>txtMunicipality</f>
        <v>ASSE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12628</v>
      </c>
      <c r="C9" s="336">
        <v>13543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2383</v>
      </c>
    </row>
    <row r="15" spans="1:6">
      <c r="A15" s="1194" t="s">
        <v>185</v>
      </c>
      <c r="B15" s="333">
        <v>811</v>
      </c>
    </row>
    <row r="16" spans="1:6">
      <c r="A16" s="1194" t="s">
        <v>6</v>
      </c>
      <c r="B16" s="333">
        <v>235</v>
      </c>
    </row>
    <row r="17" spans="1:6">
      <c r="A17" s="1194" t="s">
        <v>7</v>
      </c>
      <c r="B17" s="333">
        <v>459</v>
      </c>
    </row>
    <row r="18" spans="1:6">
      <c r="A18" s="1194" t="s">
        <v>8</v>
      </c>
      <c r="B18" s="333">
        <v>509</v>
      </c>
    </row>
    <row r="19" spans="1:6">
      <c r="A19" s="1194" t="s">
        <v>9</v>
      </c>
      <c r="B19" s="333">
        <v>508</v>
      </c>
    </row>
    <row r="20" spans="1:6">
      <c r="A20" s="1194" t="s">
        <v>10</v>
      </c>
      <c r="B20" s="333">
        <v>483</v>
      </c>
    </row>
    <row r="21" spans="1:6">
      <c r="A21" s="1194" t="s">
        <v>11</v>
      </c>
      <c r="B21" s="333">
        <v>237</v>
      </c>
    </row>
    <row r="22" spans="1:6">
      <c r="A22" s="1194" t="s">
        <v>12</v>
      </c>
      <c r="B22" s="333">
        <v>3447</v>
      </c>
    </row>
    <row r="23" spans="1:6">
      <c r="A23" s="1194" t="s">
        <v>13</v>
      </c>
      <c r="B23" s="333">
        <v>11</v>
      </c>
    </row>
    <row r="24" spans="1:6">
      <c r="A24" s="1194" t="s">
        <v>14</v>
      </c>
      <c r="B24" s="333">
        <v>1</v>
      </c>
    </row>
    <row r="25" spans="1:6">
      <c r="A25" s="1194" t="s">
        <v>15</v>
      </c>
      <c r="B25" s="333">
        <v>94</v>
      </c>
    </row>
    <row r="26" spans="1:6">
      <c r="A26" s="1194" t="s">
        <v>16</v>
      </c>
      <c r="B26" s="333">
        <v>308</v>
      </c>
    </row>
    <row r="27" spans="1:6">
      <c r="A27" s="1194" t="s">
        <v>17</v>
      </c>
      <c r="B27" s="333">
        <v>0</v>
      </c>
    </row>
    <row r="28" spans="1:6">
      <c r="A28" s="1194" t="s">
        <v>18</v>
      </c>
      <c r="B28" s="333">
        <v>73671</v>
      </c>
    </row>
    <row r="29" spans="1:6">
      <c r="A29" s="1194" t="s">
        <v>888</v>
      </c>
      <c r="B29" s="333">
        <v>349</v>
      </c>
    </row>
    <row r="30" spans="1:6">
      <c r="A30" s="1190" t="s">
        <v>889</v>
      </c>
      <c r="B30" s="1190">
        <v>96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7</v>
      </c>
      <c r="F38" s="333">
        <v>322436.57749347598</v>
      </c>
    </row>
    <row r="39" spans="1:6">
      <c r="A39" s="1194" t="s">
        <v>30</v>
      </c>
      <c r="B39" s="1194" t="s">
        <v>31</v>
      </c>
      <c r="C39" s="333">
        <v>6978</v>
      </c>
      <c r="D39" s="333">
        <v>118572009.504922</v>
      </c>
      <c r="E39" s="333">
        <v>12619</v>
      </c>
      <c r="F39" s="333">
        <v>51025147.667776503</v>
      </c>
    </row>
    <row r="40" spans="1:6">
      <c r="A40" s="1194" t="s">
        <v>30</v>
      </c>
      <c r="B40" s="1194" t="s">
        <v>29</v>
      </c>
      <c r="C40" s="333">
        <v>0</v>
      </c>
      <c r="D40" s="333">
        <v>0</v>
      </c>
      <c r="E40" s="333">
        <v>0</v>
      </c>
      <c r="F40" s="333">
        <v>0</v>
      </c>
    </row>
    <row r="41" spans="1:6">
      <c r="A41" s="1194" t="s">
        <v>32</v>
      </c>
      <c r="B41" s="1194" t="s">
        <v>33</v>
      </c>
      <c r="C41" s="333">
        <v>53</v>
      </c>
      <c r="D41" s="333">
        <v>2292524.23339498</v>
      </c>
      <c r="E41" s="333">
        <v>198</v>
      </c>
      <c r="F41" s="333">
        <v>1533691.36061135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92417.944552440196</v>
      </c>
    </row>
    <row r="45" spans="1:6">
      <c r="A45" s="1194" t="s">
        <v>32</v>
      </c>
      <c r="B45" s="1194" t="s">
        <v>37</v>
      </c>
      <c r="C45" s="333">
        <v>3</v>
      </c>
      <c r="D45" s="333">
        <v>64299.794635526399</v>
      </c>
      <c r="E45" s="333">
        <v>6</v>
      </c>
      <c r="F45" s="333">
        <v>50430.030572089301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40</v>
      </c>
      <c r="D48" s="333">
        <v>3839876.6024482101</v>
      </c>
      <c r="E48" s="333">
        <v>53</v>
      </c>
      <c r="F48" s="333">
        <v>5193828.8464313401</v>
      </c>
    </row>
    <row r="49" spans="1:6">
      <c r="A49" s="1194" t="s">
        <v>32</v>
      </c>
      <c r="B49" s="1194" t="s">
        <v>40</v>
      </c>
      <c r="C49" s="333">
        <v>0</v>
      </c>
      <c r="D49" s="333">
        <v>0</v>
      </c>
      <c r="E49" s="333">
        <v>0</v>
      </c>
      <c r="F49" s="333">
        <v>0</v>
      </c>
    </row>
    <row r="50" spans="1:6">
      <c r="A50" s="1194" t="s">
        <v>32</v>
      </c>
      <c r="B50" s="1194" t="s">
        <v>41</v>
      </c>
      <c r="C50" s="333">
        <v>12</v>
      </c>
      <c r="D50" s="333">
        <v>6653536.8776334198</v>
      </c>
      <c r="E50" s="333">
        <v>14</v>
      </c>
      <c r="F50" s="333">
        <v>4517196.2430865597</v>
      </c>
    </row>
    <row r="51" spans="1:6">
      <c r="A51" s="1194" t="s">
        <v>42</v>
      </c>
      <c r="B51" s="1194" t="s">
        <v>43</v>
      </c>
      <c r="C51" s="333">
        <v>6</v>
      </c>
      <c r="D51" s="333">
        <v>716560.46857042401</v>
      </c>
      <c r="E51" s="333">
        <v>86</v>
      </c>
      <c r="F51" s="333">
        <v>947086.77405356197</v>
      </c>
    </row>
    <row r="52" spans="1:6">
      <c r="A52" s="1194" t="s">
        <v>42</v>
      </c>
      <c r="B52" s="1194" t="s">
        <v>29</v>
      </c>
      <c r="C52" s="333">
        <v>6</v>
      </c>
      <c r="D52" s="333">
        <v>411370.12519842002</v>
      </c>
      <c r="E52" s="333">
        <v>8</v>
      </c>
      <c r="F52" s="333">
        <v>78122.370734970595</v>
      </c>
    </row>
    <row r="53" spans="1:6">
      <c r="A53" s="1194" t="s">
        <v>44</v>
      </c>
      <c r="B53" s="1194" t="s">
        <v>45</v>
      </c>
      <c r="C53" s="333">
        <v>342</v>
      </c>
      <c r="D53" s="333">
        <v>6840436.8920847997</v>
      </c>
      <c r="E53" s="333">
        <v>600</v>
      </c>
      <c r="F53" s="333">
        <v>2606798.4776907698</v>
      </c>
    </row>
    <row r="54" spans="1:6">
      <c r="A54" s="1194" t="s">
        <v>46</v>
      </c>
      <c r="B54" s="1194" t="s">
        <v>47</v>
      </c>
      <c r="C54" s="333">
        <v>0</v>
      </c>
      <c r="D54" s="333">
        <v>0</v>
      </c>
      <c r="E54" s="333">
        <v>1</v>
      </c>
      <c r="F54" s="333">
        <v>2038823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54</v>
      </c>
      <c r="D57" s="333">
        <v>4431587.3659269996</v>
      </c>
      <c r="E57" s="333">
        <v>116</v>
      </c>
      <c r="F57" s="333">
        <v>2317784.3027018402</v>
      </c>
    </row>
    <row r="58" spans="1:6">
      <c r="A58" s="1194" t="s">
        <v>49</v>
      </c>
      <c r="B58" s="1194" t="s">
        <v>51</v>
      </c>
      <c r="C58" s="333">
        <v>21</v>
      </c>
      <c r="D58" s="333">
        <v>697816.08327903505</v>
      </c>
      <c r="E58" s="333">
        <v>43</v>
      </c>
      <c r="F58" s="333">
        <v>1026123.59592326</v>
      </c>
    </row>
    <row r="59" spans="1:6">
      <c r="A59" s="1194" t="s">
        <v>49</v>
      </c>
      <c r="B59" s="1194" t="s">
        <v>52</v>
      </c>
      <c r="C59" s="333">
        <v>156</v>
      </c>
      <c r="D59" s="333">
        <v>26529808.563772101</v>
      </c>
      <c r="E59" s="333">
        <v>420</v>
      </c>
      <c r="F59" s="333">
        <v>48605788.081136897</v>
      </c>
    </row>
    <row r="60" spans="1:6">
      <c r="A60" s="1194" t="s">
        <v>49</v>
      </c>
      <c r="B60" s="1194" t="s">
        <v>53</v>
      </c>
      <c r="C60" s="333">
        <v>63</v>
      </c>
      <c r="D60" s="333">
        <v>2773829.3903520699</v>
      </c>
      <c r="E60" s="333">
        <v>101</v>
      </c>
      <c r="F60" s="333">
        <v>2226400.7814754299</v>
      </c>
    </row>
    <row r="61" spans="1:6">
      <c r="A61" s="1194" t="s">
        <v>49</v>
      </c>
      <c r="B61" s="1194" t="s">
        <v>54</v>
      </c>
      <c r="C61" s="333">
        <v>235</v>
      </c>
      <c r="D61" s="333">
        <v>22195674.1880266</v>
      </c>
      <c r="E61" s="333">
        <v>749</v>
      </c>
      <c r="F61" s="333">
        <v>16242475.0892774</v>
      </c>
    </row>
    <row r="62" spans="1:6">
      <c r="A62" s="1194" t="s">
        <v>49</v>
      </c>
      <c r="B62" s="1194" t="s">
        <v>55</v>
      </c>
      <c r="C62" s="333">
        <v>6</v>
      </c>
      <c r="D62" s="333">
        <v>2219393.7647814001</v>
      </c>
      <c r="E62" s="333">
        <v>9</v>
      </c>
      <c r="F62" s="333">
        <v>277304.655307504</v>
      </c>
    </row>
    <row r="63" spans="1:6">
      <c r="A63" s="1194" t="s">
        <v>49</v>
      </c>
      <c r="B63" s="1194" t="s">
        <v>29</v>
      </c>
      <c r="C63" s="333">
        <v>205</v>
      </c>
      <c r="D63" s="333">
        <v>24354653.525724798</v>
      </c>
      <c r="E63" s="333">
        <v>198</v>
      </c>
      <c r="F63" s="333">
        <v>21670986.712657701</v>
      </c>
    </row>
    <row r="64" spans="1:6">
      <c r="A64" s="1194" t="s">
        <v>56</v>
      </c>
      <c r="B64" s="1194" t="s">
        <v>57</v>
      </c>
      <c r="C64" s="333">
        <v>0</v>
      </c>
      <c r="D64" s="333">
        <v>0</v>
      </c>
      <c r="E64" s="333">
        <v>0</v>
      </c>
      <c r="F64" s="333">
        <v>0</v>
      </c>
    </row>
    <row r="65" spans="1:6">
      <c r="A65" s="1194" t="s">
        <v>56</v>
      </c>
      <c r="B65" s="1194" t="s">
        <v>29</v>
      </c>
      <c r="C65" s="333">
        <v>4</v>
      </c>
      <c r="D65" s="333">
        <v>140677.56702471801</v>
      </c>
      <c r="E65" s="333">
        <v>6</v>
      </c>
      <c r="F65" s="333">
        <v>145353.167595515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11</v>
      </c>
      <c r="D68" s="333">
        <v>616076.13692133105</v>
      </c>
      <c r="E68" s="333">
        <v>31</v>
      </c>
      <c r="F68" s="333">
        <v>1716541.1826557501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146462282</v>
      </c>
      <c r="E73" s="333">
        <v>150246757.46871951</v>
      </c>
      <c r="F73" s="333">
        <v>145753399</v>
      </c>
    </row>
    <row r="74" spans="1:6">
      <c r="A74" s="1194" t="s">
        <v>64</v>
      </c>
      <c r="B74" s="1194" t="s">
        <v>775</v>
      </c>
      <c r="C74" s="1205" t="s">
        <v>776</v>
      </c>
      <c r="D74" s="333">
        <v>11996176.738695968</v>
      </c>
      <c r="E74" s="333">
        <v>12375903.96425138</v>
      </c>
      <c r="F74" s="333">
        <v>12208349.691463459</v>
      </c>
    </row>
    <row r="75" spans="1:6">
      <c r="A75" s="1194" t="s">
        <v>65</v>
      </c>
      <c r="B75" s="1194" t="s">
        <v>773</v>
      </c>
      <c r="C75" s="1205" t="s">
        <v>777</v>
      </c>
      <c r="D75" s="333">
        <v>61616381</v>
      </c>
      <c r="E75" s="333">
        <v>63109571.028129458</v>
      </c>
      <c r="F75" s="333">
        <v>61531806</v>
      </c>
    </row>
    <row r="76" spans="1:6">
      <c r="A76" s="1194" t="s">
        <v>65</v>
      </c>
      <c r="B76" s="1194" t="s">
        <v>775</v>
      </c>
      <c r="C76" s="1205" t="s">
        <v>778</v>
      </c>
      <c r="D76" s="333">
        <v>3237060.7386959684</v>
      </c>
      <c r="E76" s="333">
        <v>3477958.7019442003</v>
      </c>
      <c r="F76" s="333">
        <v>3364784.6914634593</v>
      </c>
    </row>
    <row r="77" spans="1:6">
      <c r="A77" s="1194" t="s">
        <v>66</v>
      </c>
      <c r="B77" s="1194" t="s">
        <v>773</v>
      </c>
      <c r="C77" s="1205" t="s">
        <v>779</v>
      </c>
      <c r="D77" s="333">
        <v>140466208</v>
      </c>
      <c r="E77" s="333">
        <v>146876525.53910089</v>
      </c>
      <c r="F77" s="333">
        <v>145093812</v>
      </c>
    </row>
    <row r="78" spans="1:6">
      <c r="A78" s="1190" t="s">
        <v>66</v>
      </c>
      <c r="B78" s="1190" t="s">
        <v>775</v>
      </c>
      <c r="C78" s="1190" t="s">
        <v>780</v>
      </c>
      <c r="D78" s="1190">
        <v>16498091</v>
      </c>
      <c r="E78" s="1190">
        <v>17757833.428267155</v>
      </c>
      <c r="F78" s="336">
        <v>17201691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1442152.5226080634</v>
      </c>
      <c r="C83" s="333">
        <v>1327322.9834312252</v>
      </c>
      <c r="D83" s="333">
        <v>1335304.6170730817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1718.3362844453591</v>
      </c>
    </row>
    <row r="92" spans="1:6">
      <c r="A92" s="1190" t="s">
        <v>69</v>
      </c>
      <c r="B92" s="336">
        <v>3543.246135252205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4799</v>
      </c>
    </row>
    <row r="98" spans="1:6">
      <c r="A98" s="1194" t="s">
        <v>72</v>
      </c>
      <c r="B98" s="333">
        <v>4</v>
      </c>
    </row>
    <row r="99" spans="1:6">
      <c r="A99" s="1194" t="s">
        <v>73</v>
      </c>
      <c r="B99" s="333">
        <v>99</v>
      </c>
    </row>
    <row r="100" spans="1:6">
      <c r="A100" s="1194" t="s">
        <v>74</v>
      </c>
      <c r="B100" s="333">
        <v>830</v>
      </c>
    </row>
    <row r="101" spans="1:6">
      <c r="A101" s="1194" t="s">
        <v>75</v>
      </c>
      <c r="B101" s="333">
        <v>75</v>
      </c>
    </row>
    <row r="102" spans="1:6">
      <c r="A102" s="1194" t="s">
        <v>76</v>
      </c>
      <c r="B102" s="333">
        <v>177</v>
      </c>
    </row>
    <row r="103" spans="1:6">
      <c r="A103" s="1194" t="s">
        <v>77</v>
      </c>
      <c r="B103" s="333">
        <v>217</v>
      </c>
    </row>
    <row r="104" spans="1:6">
      <c r="A104" s="1194" t="s">
        <v>78</v>
      </c>
      <c r="B104" s="333">
        <v>4999</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12</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45</v>
      </c>
    </row>
    <row r="130" spans="1:6">
      <c r="A130" s="1194" t="s">
        <v>296</v>
      </c>
      <c r="B130" s="333">
        <v>2</v>
      </c>
    </row>
    <row r="131" spans="1:6">
      <c r="A131" s="1194" t="s">
        <v>297</v>
      </c>
      <c r="B131" s="333">
        <v>0</v>
      </c>
    </row>
    <row r="132" spans="1:6">
      <c r="A132" s="1190" t="s">
        <v>298</v>
      </c>
      <c r="B132" s="336">
        <v>14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159564.72653286401</v>
      </c>
      <c r="C3" s="43" t="s">
        <v>171</v>
      </c>
      <c r="D3" s="43"/>
      <c r="E3" s="156"/>
      <c r="F3" s="43"/>
      <c r="G3" s="43"/>
      <c r="H3" s="43"/>
      <c r="I3" s="43"/>
      <c r="J3" s="43"/>
      <c r="K3" s="96"/>
    </row>
    <row r="4" spans="1:11">
      <c r="A4" s="364" t="s">
        <v>172</v>
      </c>
      <c r="B4" s="49">
        <f>IF(ISERROR('SEAP template'!B69),0,'SEAP template'!B69)</f>
        <v>33071.582419697566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0.17519526687655598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2038.8230000000001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0.17519526687655598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357.19213959906051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51025.147667776502</v>
      </c>
      <c r="C5" s="17">
        <f>IF(ISERROR('Eigen informatie GS &amp; warmtenet'!B57),0,'Eigen informatie GS &amp; warmtenet'!B57)</f>
        <v>0</v>
      </c>
      <c r="D5" s="30">
        <f>(SUM(HH_hh_gas_kWh,HH_rest_gas_kWh)/1000)*0.902</f>
        <v>106951.95257343964</v>
      </c>
      <c r="E5" s="17">
        <f>B46*B57</f>
        <v>5239.2638262796027</v>
      </c>
      <c r="F5" s="17">
        <f>B51*B62</f>
        <v>69270.51739402565</v>
      </c>
      <c r="G5" s="18"/>
      <c r="H5" s="17"/>
      <c r="I5" s="17"/>
      <c r="J5" s="17">
        <f>B50*B61+C50*C61</f>
        <v>0</v>
      </c>
      <c r="K5" s="17"/>
      <c r="L5" s="17"/>
      <c r="M5" s="17"/>
      <c r="N5" s="17">
        <f>B48*B59+C48*C59</f>
        <v>11484.080758051599</v>
      </c>
      <c r="O5" s="17">
        <f>B69*B70*B71</f>
        <v>89.11</v>
      </c>
      <c r="P5" s="17">
        <f>B77*B78*B79/1000-B77*B78*B79/1000/B80</f>
        <v>552.93333333333339</v>
      </c>
    </row>
    <row r="6" spans="1:16">
      <c r="A6" s="16" t="s">
        <v>633</v>
      </c>
      <c r="B6" s="830">
        <f>kWh_PV_kleiner_dan_10kW</f>
        <v>1718.3362844453591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52743.483952221861</v>
      </c>
      <c r="C8" s="21">
        <f>C5</f>
        <v>0</v>
      </c>
      <c r="D8" s="21">
        <f>D5</f>
        <v>106951.95257343964</v>
      </c>
      <c r="E8" s="21">
        <f>E5</f>
        <v>5239.2638262796027</v>
      </c>
      <c r="F8" s="21">
        <f>F5</f>
        <v>69270.51739402565</v>
      </c>
      <c r="G8" s="21"/>
      <c r="H8" s="21"/>
      <c r="I8" s="21"/>
      <c r="J8" s="21">
        <f>J5</f>
        <v>0</v>
      </c>
      <c r="K8" s="21"/>
      <c r="L8" s="21">
        <f>L5</f>
        <v>0</v>
      </c>
      <c r="M8" s="21">
        <f>M5</f>
        <v>0</v>
      </c>
      <c r="N8" s="21">
        <f>N5</f>
        <v>11484.080758051599</v>
      </c>
      <c r="O8" s="21">
        <f>O5</f>
        <v>89.11</v>
      </c>
      <c r="P8" s="21">
        <f>P5</f>
        <v>552.93333333333339</v>
      </c>
    </row>
    <row r="9" spans="1:16">
      <c r="B9" s="19"/>
      <c r="C9" s="19"/>
      <c r="D9" s="260"/>
      <c r="E9" s="19"/>
      <c r="F9" s="19"/>
      <c r="G9" s="19"/>
      <c r="H9" s="19"/>
      <c r="I9" s="19"/>
      <c r="J9" s="19"/>
      <c r="K9" s="19"/>
      <c r="L9" s="19"/>
      <c r="M9" s="19"/>
      <c r="N9" s="19"/>
      <c r="O9" s="19"/>
      <c r="P9" s="19"/>
    </row>
    <row r="10" spans="1:16">
      <c r="A10" s="24" t="s">
        <v>215</v>
      </c>
      <c r="B10" s="25">
        <f ca="1">'EF ele_warmte'!B12</f>
        <v>0.17519526687655598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9240.4087470088562</v>
      </c>
      <c r="C12" s="23">
        <f ca="1">C10*C8</f>
        <v>0</v>
      </c>
      <c r="D12" s="23">
        <f>D8*D10</f>
        <v>21604.294419834809</v>
      </c>
      <c r="E12" s="23">
        <f>E10*E8</f>
        <v>1189.3128885654698</v>
      </c>
      <c r="F12" s="23">
        <f>F10*F8</f>
        <v>18495.228144204848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4799</v>
      </c>
      <c r="C18" s="167" t="s">
        <v>111</v>
      </c>
      <c r="D18" s="229"/>
      <c r="E18" s="15"/>
    </row>
    <row r="19" spans="1:7">
      <c r="A19" s="172" t="s">
        <v>72</v>
      </c>
      <c r="B19" s="37">
        <f>aantalw2001_ander</f>
        <v>4</v>
      </c>
      <c r="C19" s="167" t="s">
        <v>111</v>
      </c>
      <c r="D19" s="230"/>
      <c r="E19" s="15"/>
    </row>
    <row r="20" spans="1:7">
      <c r="A20" s="172" t="s">
        <v>73</v>
      </c>
      <c r="B20" s="37">
        <f>aantalw2001_propaan</f>
        <v>99</v>
      </c>
      <c r="C20" s="168">
        <f>IF(ISERROR(B20/SUM($B$20,$B$21,$B$22)*100),0,B20/SUM($B$20,$B$21,$B$22)*100)</f>
        <v>9.860557768924302</v>
      </c>
      <c r="D20" s="230"/>
      <c r="E20" s="15"/>
    </row>
    <row r="21" spans="1:7">
      <c r="A21" s="172" t="s">
        <v>74</v>
      </c>
      <c r="B21" s="37">
        <f>aantalw2001_elektriciteit</f>
        <v>830</v>
      </c>
      <c r="C21" s="168">
        <f>IF(ISERROR(B21/SUM($B$20,$B$21,$B$22)*100),0,B21/SUM($B$20,$B$21,$B$22)*100)</f>
        <v>82.669322709163353</v>
      </c>
      <c r="D21" s="230"/>
      <c r="E21" s="15"/>
    </row>
    <row r="22" spans="1:7">
      <c r="A22" s="172" t="s">
        <v>75</v>
      </c>
      <c r="B22" s="37">
        <f>aantalw2001_hout</f>
        <v>75</v>
      </c>
      <c r="C22" s="168">
        <f>IF(ISERROR(B22/SUM($B$20,$B$21,$B$22)*100),0,B22/SUM($B$20,$B$21,$B$22)*100)</f>
        <v>7.4701195219123511</v>
      </c>
      <c r="D22" s="230"/>
      <c r="E22" s="15"/>
    </row>
    <row r="23" spans="1:7">
      <c r="A23" s="172" t="s">
        <v>76</v>
      </c>
      <c r="B23" s="37">
        <f>aantalw2001_niet_gespec</f>
        <v>177</v>
      </c>
      <c r="C23" s="167" t="s">
        <v>111</v>
      </c>
      <c r="D23" s="229"/>
      <c r="E23" s="15"/>
    </row>
    <row r="24" spans="1:7">
      <c r="A24" s="172" t="s">
        <v>77</v>
      </c>
      <c r="B24" s="37">
        <f>aantalw2001_steenkool</f>
        <v>217</v>
      </c>
      <c r="C24" s="167" t="s">
        <v>111</v>
      </c>
      <c r="D24" s="230"/>
      <c r="E24" s="15"/>
    </row>
    <row r="25" spans="1:7">
      <c r="A25" s="172" t="s">
        <v>78</v>
      </c>
      <c r="B25" s="37">
        <f>aantalw2001_stookolie</f>
        <v>4999</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12628</v>
      </c>
      <c r="C28" s="36"/>
      <c r="D28" s="229"/>
    </row>
    <row r="29" spans="1:7" s="15" customFormat="1">
      <c r="A29" s="231" t="s">
        <v>714</v>
      </c>
      <c r="B29" s="37">
        <f>SUM(HH_hh_gas_aantal,HH_rest_gas_aantal)</f>
        <v>6978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6978</v>
      </c>
      <c r="C32" s="168">
        <f>IF(ISERROR(B32/SUM($B$32,$B$34,$B$35,$B$36,$B$38,$B$39)*100),0,B32/SUM($B$32,$B$34,$B$35,$B$36,$B$38,$B$39)*100)</f>
        <v>55.385348043495519</v>
      </c>
      <c r="D32" s="234"/>
      <c r="G32" s="15"/>
    </row>
    <row r="33" spans="1:7">
      <c r="A33" s="172" t="s">
        <v>72</v>
      </c>
      <c r="B33" s="34" t="s">
        <v>111</v>
      </c>
      <c r="C33" s="168"/>
      <c r="D33" s="234"/>
      <c r="G33" s="15"/>
    </row>
    <row r="34" spans="1:7">
      <c r="A34" s="172" t="s">
        <v>73</v>
      </c>
      <c r="B34" s="33">
        <f>IF((($B$28-$B$32-$B$39-$B$77-$B$38)*C20/100)&lt;0,0,($B$28-$B$32-$B$39-$B$77-$B$38)*C20/100)</f>
        <v>254.70806772908367</v>
      </c>
      <c r="C34" s="168">
        <f>IF(ISERROR(B34/SUM($B$32,$B$34,$B$35,$B$36,$B$38,$B$39)*100),0,B34/SUM($B$32,$B$34,$B$35,$B$36,$B$38,$B$39)*100)</f>
        <v>2.0216530496792102</v>
      </c>
      <c r="D34" s="234"/>
      <c r="G34" s="15"/>
    </row>
    <row r="35" spans="1:7">
      <c r="A35" s="172" t="s">
        <v>74</v>
      </c>
      <c r="B35" s="33">
        <f>IF((($B$28-$B$32-$B$39-$B$77-$B$38)*C21/100)&lt;0,0,($B$28-$B$32-$B$39-$B$77-$B$38)*C21/100)</f>
        <v>2135.4312749003989</v>
      </c>
      <c r="C35" s="168">
        <f>IF(ISERROR(B35/SUM($B$32,$B$34,$B$35,$B$36,$B$38,$B$39)*100),0,B35/SUM($B$32,$B$34,$B$35,$B$36,$B$38,$B$39)*100)</f>
        <v>16.949212436704492</v>
      </c>
      <c r="D35" s="234"/>
      <c r="G35" s="15"/>
    </row>
    <row r="36" spans="1:7">
      <c r="A36" s="172" t="s">
        <v>75</v>
      </c>
      <c r="B36" s="33">
        <f>IF((($B$28-$B$32-$B$39-$B$77-$B$38)*C22/100)&lt;0,0,($B$28-$B$32-$B$39-$B$77-$B$38)*C22/100)</f>
        <v>192.96065737051799</v>
      </c>
      <c r="C36" s="168">
        <f>IF(ISERROR(B36/SUM($B$32,$B$34,$B$35,$B$36,$B$38,$B$39)*100),0,B36/SUM($B$32,$B$34,$B$35,$B$36,$B$38,$B$39)*100)</f>
        <v>1.5315553406660687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3037.8999999999996</v>
      </c>
      <c r="C39" s="168">
        <f>IF(ISERROR(B39/SUM($B$32,$B$34,$B$35,$B$36,$B$38,$B$39)*100),0,B39/SUM($B$32,$B$34,$B$35,$B$36,$B$38,$B$39)*100)</f>
        <v>24.112231129454717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6978</v>
      </c>
      <c r="C44" s="34" t="s">
        <v>111</v>
      </c>
      <c r="D44" s="175"/>
    </row>
    <row r="45" spans="1:7">
      <c r="A45" s="172" t="s">
        <v>72</v>
      </c>
      <c r="B45" s="33" t="str">
        <f t="shared" si="0"/>
        <v>-</v>
      </c>
      <c r="C45" s="34" t="s">
        <v>111</v>
      </c>
      <c r="D45" s="175"/>
    </row>
    <row r="46" spans="1:7">
      <c r="A46" s="172" t="s">
        <v>73</v>
      </c>
      <c r="B46" s="33">
        <f t="shared" si="0"/>
        <v>254.70806772908367</v>
      </c>
      <c r="C46" s="34" t="s">
        <v>111</v>
      </c>
      <c r="D46" s="175"/>
    </row>
    <row r="47" spans="1:7">
      <c r="A47" s="172" t="s">
        <v>74</v>
      </c>
      <c r="B47" s="33">
        <f t="shared" si="0"/>
        <v>2135.4312749003989</v>
      </c>
      <c r="C47" s="34" t="s">
        <v>111</v>
      </c>
      <c r="D47" s="175"/>
    </row>
    <row r="48" spans="1:7">
      <c r="A48" s="172" t="s">
        <v>75</v>
      </c>
      <c r="B48" s="33">
        <f t="shared" si="0"/>
        <v>192.96065737051799</v>
      </c>
      <c r="C48" s="33">
        <f>B48*10</f>
        <v>1929.6065737051799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3037.8999999999996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92366.863218480037</v>
      </c>
      <c r="C5" s="17">
        <f>IF(ISERROR('Eigen informatie GS &amp; warmtenet'!B58),0,'Eigen informatie GS &amp; warmtenet'!B58)</f>
        <v>0</v>
      </c>
      <c r="D5" s="30">
        <f>SUM(D6:D12)</f>
        <v>75048.892119440425</v>
      </c>
      <c r="E5" s="17">
        <f>SUM(E6:E12)</f>
        <v>1423.2310347591265</v>
      </c>
      <c r="F5" s="17">
        <f>SUM(F6:F12)</f>
        <v>15688.759940442742</v>
      </c>
      <c r="G5" s="18"/>
      <c r="H5" s="17"/>
      <c r="I5" s="17"/>
      <c r="J5" s="17">
        <f>SUM(J6:J12)</f>
        <v>0</v>
      </c>
      <c r="K5" s="17"/>
      <c r="L5" s="17"/>
      <c r="M5" s="17"/>
      <c r="N5" s="17">
        <f>SUM(N6:N12)</f>
        <v>1306.8157240602677</v>
      </c>
      <c r="O5" s="17">
        <f>B38*B39*B40</f>
        <v>3.1266666666666669</v>
      </c>
      <c r="P5" s="17">
        <f>B46*B47*B48/1000-B46*B47*B48/1000/B49</f>
        <v>0</v>
      </c>
      <c r="R5" s="32"/>
    </row>
    <row r="6" spans="1:18">
      <c r="A6" s="32" t="s">
        <v>54</v>
      </c>
      <c r="B6" s="37">
        <f>B26</f>
        <v>16242.475089277399</v>
      </c>
      <c r="C6" s="33"/>
      <c r="D6" s="37">
        <f>IF(ISERROR(TER_kantoor_gas_kWh/1000),0,TER_kantoor_gas_kWh/1000)*0.902</f>
        <v>20020.498117599993</v>
      </c>
      <c r="E6" s="33">
        <f>$C$26*'E Balans VL '!I12/100/3.6*1000000</f>
        <v>568.55052190643937</v>
      </c>
      <c r="F6" s="33">
        <f>$C$26*('E Balans VL '!L12+'E Balans VL '!N12)/100/3.6*1000000</f>
        <v>2462.7079460574532</v>
      </c>
      <c r="G6" s="34"/>
      <c r="H6" s="33"/>
      <c r="I6" s="33"/>
      <c r="J6" s="33">
        <f>$C$26*('E Balans VL '!D12+'E Balans VL '!E12)/100/3.6*1000000</f>
        <v>0</v>
      </c>
      <c r="K6" s="33"/>
      <c r="L6" s="33"/>
      <c r="M6" s="33"/>
      <c r="N6" s="33">
        <f>$C$26*'E Balans VL '!Y12/100/3.6*1000000</f>
        <v>125.54924868532258</v>
      </c>
      <c r="O6" s="33"/>
      <c r="P6" s="33"/>
      <c r="R6" s="32"/>
    </row>
    <row r="7" spans="1:18">
      <c r="A7" s="32" t="s">
        <v>53</v>
      </c>
      <c r="B7" s="37">
        <f t="shared" ref="B7:B12" si="0">B27</f>
        <v>2226.40078147543</v>
      </c>
      <c r="C7" s="33"/>
      <c r="D7" s="37">
        <f>IF(ISERROR(TER_horeca_gas_kWh/1000),0,TER_horeca_gas_kWh/1000)*0.902</f>
        <v>2501.994110097567</v>
      </c>
      <c r="E7" s="33">
        <f>$C$27*'E Balans VL '!I9/100/3.6*1000000</f>
        <v>125.59860799583161</v>
      </c>
      <c r="F7" s="33">
        <f>$C$27*('E Balans VL '!L9+'E Balans VL '!N9)/100/3.6*1000000</f>
        <v>387.85133719313961</v>
      </c>
      <c r="G7" s="34"/>
      <c r="H7" s="33"/>
      <c r="I7" s="33"/>
      <c r="J7" s="33">
        <f>$C$27*('E Balans VL '!D9+'E Balans VL '!E9)/100/3.6*1000000</f>
        <v>0</v>
      </c>
      <c r="K7" s="33"/>
      <c r="L7" s="33"/>
      <c r="M7" s="33"/>
      <c r="N7" s="33">
        <f>$C$27*'E Balans VL '!Y9/100/3.6*1000000</f>
        <v>0</v>
      </c>
      <c r="O7" s="33"/>
      <c r="P7" s="33"/>
      <c r="R7" s="32"/>
    </row>
    <row r="8" spans="1:18">
      <c r="A8" s="6" t="s">
        <v>52</v>
      </c>
      <c r="B8" s="37">
        <f t="shared" si="0"/>
        <v>48605.788081136896</v>
      </c>
      <c r="C8" s="33"/>
      <c r="D8" s="37">
        <f>IF(ISERROR(TER_handel_gas_kWh/1000),0,TER_handel_gas_kWh/1000)*0.902</f>
        <v>23929.887324522435</v>
      </c>
      <c r="E8" s="33">
        <f>$C$28*'E Balans VL '!I13/100/3.6*1000000</f>
        <v>249.53717773210946</v>
      </c>
      <c r="F8" s="33">
        <f>$C$28*('E Balans VL '!L13+'E Balans VL '!N13)/100/3.6*1000000</f>
        <v>7494.2614855881902</v>
      </c>
      <c r="G8" s="34"/>
      <c r="H8" s="33"/>
      <c r="I8" s="33"/>
      <c r="J8" s="33">
        <f>$C$28*('E Balans VL '!D13+'E Balans VL '!E13)/100/3.6*1000000</f>
        <v>0</v>
      </c>
      <c r="K8" s="33"/>
      <c r="L8" s="33"/>
      <c r="M8" s="33"/>
      <c r="N8" s="33">
        <f>$C$28*'E Balans VL '!Y13/100/3.6*1000000</f>
        <v>22.733520399053482</v>
      </c>
      <c r="O8" s="33"/>
      <c r="P8" s="33"/>
      <c r="R8" s="32"/>
    </row>
    <row r="9" spans="1:18">
      <c r="A9" s="32" t="s">
        <v>51</v>
      </c>
      <c r="B9" s="37">
        <f t="shared" si="0"/>
        <v>1026.1235959232599</v>
      </c>
      <c r="C9" s="33"/>
      <c r="D9" s="37">
        <f>IF(ISERROR(TER_gezond_gas_kWh/1000),0,TER_gezond_gas_kWh/1000)*0.902</f>
        <v>629.43010711768966</v>
      </c>
      <c r="E9" s="33">
        <f>$C$29*'E Balans VL '!I10/100/3.6*1000000</f>
        <v>0.42532092271985067</v>
      </c>
      <c r="F9" s="33">
        <f>$C$29*('E Balans VL '!L10+'E Balans VL '!N10)/100/3.6*1000000</f>
        <v>252.71952510045222</v>
      </c>
      <c r="G9" s="34"/>
      <c r="H9" s="33"/>
      <c r="I9" s="33"/>
      <c r="J9" s="33">
        <f>$C$29*('E Balans VL '!D10+'E Balans VL '!E10)/100/3.6*1000000</f>
        <v>0</v>
      </c>
      <c r="K9" s="33"/>
      <c r="L9" s="33"/>
      <c r="M9" s="33"/>
      <c r="N9" s="33">
        <f>$C$29*'E Balans VL '!Y10/100/3.6*1000000</f>
        <v>8.8682476530632481</v>
      </c>
      <c r="O9" s="33"/>
      <c r="P9" s="33"/>
      <c r="R9" s="32"/>
    </row>
    <row r="10" spans="1:18">
      <c r="A10" s="32" t="s">
        <v>50</v>
      </c>
      <c r="B10" s="37">
        <f t="shared" si="0"/>
        <v>2317.7843027018403</v>
      </c>
      <c r="C10" s="33"/>
      <c r="D10" s="37">
        <f>IF(ISERROR(TER_ander_gas_kWh/1000),0,TER_ander_gas_kWh/1000)*0.902</f>
        <v>3997.2918040661534</v>
      </c>
      <c r="E10" s="33">
        <f>$C$30*'E Balans VL '!I14/100/3.6*1000000</f>
        <v>14.129270295261279</v>
      </c>
      <c r="F10" s="33">
        <f>$C$30*('E Balans VL '!L14+'E Balans VL '!N14)/100/3.6*1000000</f>
        <v>614.47636868964116</v>
      </c>
      <c r="G10" s="34"/>
      <c r="H10" s="33"/>
      <c r="I10" s="33"/>
      <c r="J10" s="33">
        <f>$C$30*('E Balans VL '!D14+'E Balans VL '!E14)/100/3.6*1000000</f>
        <v>0</v>
      </c>
      <c r="K10" s="33"/>
      <c r="L10" s="33"/>
      <c r="M10" s="33"/>
      <c r="N10" s="33">
        <f>$C$30*'E Balans VL '!Y14/100/3.6*1000000</f>
        <v>534.19919814035939</v>
      </c>
      <c r="O10" s="33"/>
      <c r="P10" s="33"/>
      <c r="R10" s="32"/>
    </row>
    <row r="11" spans="1:18">
      <c r="A11" s="32" t="s">
        <v>55</v>
      </c>
      <c r="B11" s="37">
        <f t="shared" si="0"/>
        <v>277.30465530750399</v>
      </c>
      <c r="C11" s="33"/>
      <c r="D11" s="37">
        <f>IF(ISERROR(TER_onderwijs_gas_kWh/1000),0,TER_onderwijs_gas_kWh/1000)*0.902</f>
        <v>2001.8931758328229</v>
      </c>
      <c r="E11" s="33">
        <f>$C$31*'E Balans VL '!I11/100/3.6*1000000</f>
        <v>0.21132058675026261</v>
      </c>
      <c r="F11" s="33">
        <f>$C$31*('E Balans VL '!L11+'E Balans VL '!N11)/100/3.6*1000000</f>
        <v>200.67284550793184</v>
      </c>
      <c r="G11" s="34"/>
      <c r="H11" s="33"/>
      <c r="I11" s="33"/>
      <c r="J11" s="33">
        <f>$C$31*('E Balans VL '!D11+'E Balans VL '!E11)/100/3.6*1000000</f>
        <v>0</v>
      </c>
      <c r="K11" s="33"/>
      <c r="L11" s="33"/>
      <c r="M11" s="33"/>
      <c r="N11" s="33">
        <f>$C$31*'E Balans VL '!Y11/100/3.6*1000000</f>
        <v>0.81728309379617914</v>
      </c>
      <c r="O11" s="33"/>
      <c r="P11" s="33"/>
      <c r="R11" s="32"/>
    </row>
    <row r="12" spans="1:18">
      <c r="A12" s="32" t="s">
        <v>261</v>
      </c>
      <c r="B12" s="37">
        <f t="shared" si="0"/>
        <v>21670.986712657701</v>
      </c>
      <c r="C12" s="33"/>
      <c r="D12" s="37">
        <f>IF(ISERROR(TER_rest_gas_kWh/1000),0,TER_rest_gas_kWh/1000)*0.902</f>
        <v>21967.89748020377</v>
      </c>
      <c r="E12" s="33">
        <f>$C$32*'E Balans VL '!I8/100/3.6*1000000</f>
        <v>464.77881532001459</v>
      </c>
      <c r="F12" s="33">
        <f>$C$32*('E Balans VL '!L8+'E Balans VL '!N8)/100/3.6*1000000</f>
        <v>4276.0704323059344</v>
      </c>
      <c r="G12" s="34"/>
      <c r="H12" s="33"/>
      <c r="I12" s="33"/>
      <c r="J12" s="33">
        <f>$C$32*('E Balans VL '!D8+'E Balans VL '!E8)/100/3.6*1000000</f>
        <v>0</v>
      </c>
      <c r="K12" s="33"/>
      <c r="L12" s="33"/>
      <c r="M12" s="33"/>
      <c r="N12" s="33">
        <f>$C$32*'E Balans VL '!Y8/100/3.6*1000000</f>
        <v>614.64822608867303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92366.863218480037</v>
      </c>
      <c r="C16" s="21">
        <f ca="1">C5+C13+C14</f>
        <v>0</v>
      </c>
      <c r="D16" s="21">
        <f t="shared" ref="D16:N16" ca="1" si="1">MAX((D5+D13+D14),0)</f>
        <v>75048.892119440425</v>
      </c>
      <c r="E16" s="21">
        <f t="shared" si="1"/>
        <v>1423.2310347591265</v>
      </c>
      <c r="F16" s="21">
        <f t="shared" ca="1" si="1"/>
        <v>15688.759940442742</v>
      </c>
      <c r="G16" s="21">
        <f t="shared" si="1"/>
        <v>0</v>
      </c>
      <c r="H16" s="21">
        <f t="shared" si="1"/>
        <v>0</v>
      </c>
      <c r="I16" s="21">
        <f t="shared" si="1"/>
        <v>0</v>
      </c>
      <c r="J16" s="21">
        <f t="shared" si="1"/>
        <v>0</v>
      </c>
      <c r="K16" s="21">
        <f t="shared" si="1"/>
        <v>0</v>
      </c>
      <c r="L16" s="21">
        <f t="shared" ca="1" si="1"/>
        <v>0</v>
      </c>
      <c r="M16" s="21">
        <f t="shared" si="1"/>
        <v>0</v>
      </c>
      <c r="N16" s="21">
        <f t="shared" ca="1" si="1"/>
        <v>1306.8157240602677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0.17519526687655598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16182.237252111952</v>
      </c>
      <c r="C20" s="23">
        <f t="shared" ref="C20:P20" ca="1" si="2">C16*C18</f>
        <v>0</v>
      </c>
      <c r="D20" s="23">
        <f t="shared" ca="1" si="2"/>
        <v>15159.876208126967</v>
      </c>
      <c r="E20" s="23">
        <f t="shared" si="2"/>
        <v>323.0734448903217</v>
      </c>
      <c r="F20" s="23">
        <f t="shared" ca="1" si="2"/>
        <v>4188.8989040982124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16242.475089277399</v>
      </c>
      <c r="C26" s="39">
        <f>IF(ISERROR(B26*3.6/1000000/'E Balans VL '!Z12*100),0,B26*3.6/1000000/'E Balans VL '!Z12*100)</f>
        <v>0.34179595213645392</v>
      </c>
      <c r="D26" s="238" t="s">
        <v>720</v>
      </c>
      <c r="F26" s="6"/>
    </row>
    <row r="27" spans="1:18">
      <c r="A27" s="232" t="s">
        <v>53</v>
      </c>
      <c r="B27" s="33">
        <f>IF(ISERROR(TER_horeca_ele_kWh/1000),0,TER_horeca_ele_kWh/1000)</f>
        <v>2226.40078147543</v>
      </c>
      <c r="C27" s="39">
        <f>IF(ISERROR(B27*3.6/1000000/'E Balans VL '!Z9*100),0,B27*3.6/1000000/'E Balans VL '!Z9*100)</f>
        <v>0.18850309803926441</v>
      </c>
      <c r="D27" s="238" t="s">
        <v>720</v>
      </c>
      <c r="F27" s="6"/>
    </row>
    <row r="28" spans="1:18">
      <c r="A28" s="172" t="s">
        <v>52</v>
      </c>
      <c r="B28" s="33">
        <f>IF(ISERROR(TER_handel_ele_kWh/1000),0,TER_handel_ele_kWh/1000)</f>
        <v>48605.788081136896</v>
      </c>
      <c r="C28" s="39">
        <f>IF(ISERROR(B28*3.6/1000000/'E Balans VL '!Z13*100),0,B28*3.6/1000000/'E Balans VL '!Z13*100)</f>
        <v>1.3456445218642832</v>
      </c>
      <c r="D28" s="238" t="s">
        <v>720</v>
      </c>
      <c r="F28" s="6"/>
    </row>
    <row r="29" spans="1:18">
      <c r="A29" s="232" t="s">
        <v>51</v>
      </c>
      <c r="B29" s="33">
        <f>IF(ISERROR(TER_gezond_ele_kWh/1000),0,TER_gezond_ele_kWh/1000)</f>
        <v>1026.1235959232599</v>
      </c>
      <c r="C29" s="39">
        <f>IF(ISERROR(B29*3.6/1000000/'E Balans VL '!Z10*100),0,B29*3.6/1000000/'E Balans VL '!Z10*100)</f>
        <v>0.13338469156364924</v>
      </c>
      <c r="D29" s="238" t="s">
        <v>720</v>
      </c>
      <c r="F29" s="6"/>
    </row>
    <row r="30" spans="1:18">
      <c r="A30" s="232" t="s">
        <v>50</v>
      </c>
      <c r="B30" s="33">
        <f>IF(ISERROR(TER_ander_ele_kWh/1000),0,TER_ander_ele_kWh/1000)</f>
        <v>2317.7843027018403</v>
      </c>
      <c r="C30" s="39">
        <f>IF(ISERROR(B30*3.6/1000000/'E Balans VL '!Z14*100),0,B30*3.6/1000000/'E Balans VL '!Z14*100)</f>
        <v>0.17964953916519344</v>
      </c>
      <c r="D30" s="238" t="s">
        <v>720</v>
      </c>
      <c r="F30" s="6"/>
    </row>
    <row r="31" spans="1:18">
      <c r="A31" s="232" t="s">
        <v>55</v>
      </c>
      <c r="B31" s="33">
        <f>IF(ISERROR(TER_onderwijs_ele_kWh/1000),0,TER_onderwijs_ele_kWh/1000)</f>
        <v>277.30465530750399</v>
      </c>
      <c r="C31" s="39">
        <f>IF(ISERROR(B31*3.6/1000000/'E Balans VL '!Z11*100),0,B31*3.6/1000000/'E Balans VL '!Z11*100)</f>
        <v>5.3053105731657196E-2</v>
      </c>
      <c r="D31" s="238" t="s">
        <v>720</v>
      </c>
    </row>
    <row r="32" spans="1:18">
      <c r="A32" s="232" t="s">
        <v>261</v>
      </c>
      <c r="B32" s="33">
        <f>IF(ISERROR(TER_rest_ele_kWh/1000),0,TER_rest_ele_kWh/1000)</f>
        <v>21670.986712657701</v>
      </c>
      <c r="C32" s="39">
        <f>IF(ISERROR(B32*3.6/1000000/'E Balans VL '!Z8*100),0,B32*3.6/1000000/'E Balans VL '!Z8*100)</f>
        <v>0.17869392693383024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11387.564425253779</v>
      </c>
      <c r="C5" s="17">
        <f>IF(ISERROR('Eigen informatie GS &amp; warmtenet'!B59),0,'Eigen informatie GS &amp; warmtenet'!B59)</f>
        <v>0</v>
      </c>
      <c r="D5" s="30">
        <f>SUM(D6:D15)</f>
        <v>11590.914232317147</v>
      </c>
      <c r="E5" s="17">
        <f>SUM(E6:E15)</f>
        <v>115.74655285817039</v>
      </c>
      <c r="F5" s="17">
        <f>SUM(F6:F15)</f>
        <v>2981.511312127458</v>
      </c>
      <c r="G5" s="18"/>
      <c r="H5" s="17"/>
      <c r="I5" s="17"/>
      <c r="J5" s="17">
        <f>SUM(J6:J15)</f>
        <v>55.908233734028272</v>
      </c>
      <c r="K5" s="17"/>
      <c r="L5" s="17"/>
      <c r="M5" s="17"/>
      <c r="N5" s="17">
        <f>SUM(N6:N15)</f>
        <v>273.56794479137216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92.41794455244019</v>
      </c>
      <c r="C8" s="33"/>
      <c r="D8" s="37">
        <f>IF( ISERROR(IND_metaal_Gas_kWH/1000),0,IND_metaal_Gas_kWH/1000)*0.902</f>
        <v>0</v>
      </c>
      <c r="E8" s="33">
        <f>C30*'E Balans VL '!I18/100/3.6*1000000</f>
        <v>0.64940050527547699</v>
      </c>
      <c r="F8" s="33">
        <f>C30*'E Balans VL '!L18/100/3.6*1000000+C30*'E Balans VL '!N18/100/3.6*1000000</f>
        <v>10.146949613662166</v>
      </c>
      <c r="G8" s="34"/>
      <c r="H8" s="33"/>
      <c r="I8" s="33"/>
      <c r="J8" s="40">
        <f>C30*'E Balans VL '!D18/100/3.6*1000000+C30*'E Balans VL '!E18/100/3.6*1000000</f>
        <v>1.9067813929941519</v>
      </c>
      <c r="K8" s="33"/>
      <c r="L8" s="33"/>
      <c r="M8" s="33"/>
      <c r="N8" s="33">
        <f>C30*'E Balans VL '!Y18/100/3.6*1000000</f>
        <v>0.34638911211577317</v>
      </c>
      <c r="O8" s="33"/>
      <c r="P8" s="33"/>
      <c r="R8" s="32"/>
    </row>
    <row r="9" spans="1:18">
      <c r="A9" s="6" t="s">
        <v>33</v>
      </c>
      <c r="B9" s="37">
        <f t="shared" si="0"/>
        <v>1533.6913606113501</v>
      </c>
      <c r="C9" s="33"/>
      <c r="D9" s="37">
        <f>IF( ISERROR(IND_andere_gas_kWh/1000),0,IND_andere_gas_kWh/1000)*0.902</f>
        <v>2067.856858522272</v>
      </c>
      <c r="E9" s="33">
        <f>C31*'E Balans VL '!I19/100/3.6*1000000</f>
        <v>25.760225233372143</v>
      </c>
      <c r="F9" s="33">
        <f>C31*'E Balans VL '!L19/100/3.6*1000000+C31*'E Balans VL '!N19/100/3.6*1000000</f>
        <v>1198.9525531884556</v>
      </c>
      <c r="G9" s="34"/>
      <c r="H9" s="33"/>
      <c r="I9" s="33"/>
      <c r="J9" s="40">
        <f>C31*'E Balans VL '!D19/100/3.6*1000000+C31*'E Balans VL '!E19/100/3.6*1000000</f>
        <v>0.13832542224316483</v>
      </c>
      <c r="K9" s="33"/>
      <c r="L9" s="33"/>
      <c r="M9" s="33"/>
      <c r="N9" s="33">
        <f>C31*'E Balans VL '!Y19/100/3.6*1000000</f>
        <v>113.67113573294482</v>
      </c>
      <c r="O9" s="33"/>
      <c r="P9" s="33"/>
      <c r="R9" s="32"/>
    </row>
    <row r="10" spans="1:18">
      <c r="A10" s="6" t="s">
        <v>41</v>
      </c>
      <c r="B10" s="37">
        <f t="shared" si="0"/>
        <v>4517.1962430865597</v>
      </c>
      <c r="C10" s="33"/>
      <c r="D10" s="37">
        <f>IF( ISERROR(IND_voed_gas_kWh/1000),0,IND_voed_gas_kWh/1000)*0.902</f>
        <v>6001.4902636253446</v>
      </c>
      <c r="E10" s="33">
        <f>C32*'E Balans VL '!I20/100/3.6*1000000</f>
        <v>41.21302140111321</v>
      </c>
      <c r="F10" s="33">
        <f>C32*'E Balans VL '!L20/100/3.6*1000000+C32*'E Balans VL '!N20/100/3.6*1000000</f>
        <v>728.76504363978893</v>
      </c>
      <c r="G10" s="34"/>
      <c r="H10" s="33"/>
      <c r="I10" s="33"/>
      <c r="J10" s="40">
        <f>C32*'E Balans VL '!D20/100/3.6*1000000+C32*'E Balans VL '!E20/100/3.6*1000000</f>
        <v>18.604775746244748</v>
      </c>
      <c r="K10" s="33"/>
      <c r="L10" s="33"/>
      <c r="M10" s="33"/>
      <c r="N10" s="33">
        <f>C32*'E Balans VL '!Y20/100/3.6*1000000</f>
        <v>66.083019127149925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50.430030572089301</v>
      </c>
      <c r="C12" s="33"/>
      <c r="D12" s="37">
        <f>IF( ISERROR(IND_min_gas_kWh/1000),0,IND_min_gas_kWh/1000)*0.902</f>
        <v>57.99841476124481</v>
      </c>
      <c r="E12" s="33">
        <f>C34*'E Balans VL '!I22/100/3.6*1000000</f>
        <v>1.2508287086537804</v>
      </c>
      <c r="F12" s="33">
        <f>C34*'E Balans VL '!L22/100/3.6*1000000+C34*'E Balans VL '!N22/100/3.6*1000000</f>
        <v>5.358673615638625</v>
      </c>
      <c r="G12" s="34"/>
      <c r="H12" s="33"/>
      <c r="I12" s="33"/>
      <c r="J12" s="40">
        <f>C34*'E Balans VL '!D22/100/3.6*1000000+C34*'E Balans VL '!E22/100/3.6*1000000</f>
        <v>0.28647216408525999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5193.82884643134</v>
      </c>
      <c r="C15" s="33"/>
      <c r="D15" s="37">
        <f>IF( ISERROR(IND_rest_gas_kWh/1000),0,IND_rest_gas_kWh/1000)*0.902</f>
        <v>3463.5686954082857</v>
      </c>
      <c r="E15" s="33">
        <f>C37*'E Balans VL '!I15/100/3.6*1000000</f>
        <v>46.873077009755768</v>
      </c>
      <c r="F15" s="33">
        <f>C37*'E Balans VL '!L15/100/3.6*1000000+C37*'E Balans VL '!N15/100/3.6*1000000</f>
        <v>1038.2880920699129</v>
      </c>
      <c r="G15" s="34"/>
      <c r="H15" s="33"/>
      <c r="I15" s="33"/>
      <c r="J15" s="40">
        <f>C37*'E Balans VL '!D15/100/3.6*1000000+C37*'E Balans VL '!E15/100/3.6*1000000</f>
        <v>34.971879008460945</v>
      </c>
      <c r="K15" s="33"/>
      <c r="L15" s="33"/>
      <c r="M15" s="33"/>
      <c r="N15" s="33">
        <f>C37*'E Balans VL '!Y15/100/3.6*1000000</f>
        <v>93.467400819161668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11387.564425253779</v>
      </c>
      <c r="C18" s="21">
        <f>C5+C16</f>
        <v>0</v>
      </c>
      <c r="D18" s="21">
        <f>MAX((D5+D16),0)</f>
        <v>11590.914232317147</v>
      </c>
      <c r="E18" s="21">
        <f>MAX((E5+E16),0)</f>
        <v>115.74655285817039</v>
      </c>
      <c r="F18" s="21">
        <f>MAX((F5+F16),0)</f>
        <v>2981.511312127458</v>
      </c>
      <c r="G18" s="21"/>
      <c r="H18" s="21"/>
      <c r="I18" s="21"/>
      <c r="J18" s="21">
        <f>MAX((J5+J16),0)</f>
        <v>55.908233734028272</v>
      </c>
      <c r="K18" s="21"/>
      <c r="L18" s="21">
        <f>MAX((L5+L16),0)</f>
        <v>0</v>
      </c>
      <c r="M18" s="21"/>
      <c r="N18" s="21">
        <f>MAX((N5+N16),0)</f>
        <v>273.56794479137216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0.17519526687655598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1995.0473885563106</v>
      </c>
      <c r="C22" s="23">
        <f ca="1">C18*C20</f>
        <v>0</v>
      </c>
      <c r="D22" s="23">
        <f>D18*D20</f>
        <v>2341.3646749280638</v>
      </c>
      <c r="E22" s="23">
        <f>E18*E20</f>
        <v>26.274467498804679</v>
      </c>
      <c r="F22" s="23">
        <f>F18*F20</f>
        <v>796.06352033803137</v>
      </c>
      <c r="G22" s="23"/>
      <c r="H22" s="23"/>
      <c r="I22" s="23"/>
      <c r="J22" s="23">
        <f>J18*J20</f>
        <v>19.791514741846008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92.41794455244019</v>
      </c>
      <c r="C30" s="39">
        <f>IF(ISERROR(B30*3.6/1000000/'E Balans VL '!Z18*100),0,B30*3.6/1000000/'E Balans VL '!Z18*100)</f>
        <v>6.1523190039820498E-3</v>
      </c>
      <c r="D30" s="238" t="s">
        <v>720</v>
      </c>
    </row>
    <row r="31" spans="1:18">
      <c r="A31" s="6" t="s">
        <v>33</v>
      </c>
      <c r="B31" s="37">
        <f>IF( ISERROR(IND_ander_ele_kWh/1000),0,IND_ander_ele_kWh/1000)</f>
        <v>1533.6913606113501</v>
      </c>
      <c r="C31" s="39">
        <f>IF(ISERROR(B31*3.6/1000000/'E Balans VL '!Z19*100),0,B31*3.6/1000000/'E Balans VL '!Z19*100)</f>
        <v>6.7982460078552007E-2</v>
      </c>
      <c r="D31" s="238" t="s">
        <v>720</v>
      </c>
    </row>
    <row r="32" spans="1:18">
      <c r="A32" s="172" t="s">
        <v>41</v>
      </c>
      <c r="B32" s="37">
        <f>IF( ISERROR(IND_voed_ele_kWh/1000),0,IND_voed_ele_kWh/1000)</f>
        <v>4517.1962430865597</v>
      </c>
      <c r="C32" s="39">
        <f>IF(ISERROR(B32*3.6/1000000/'E Balans VL '!Z20*100),0,B32*3.6/1000000/'E Balans VL '!Z20*100)</f>
        <v>0.15088731267799901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50.430030572089301</v>
      </c>
      <c r="C34" s="39">
        <f>IF(ISERROR(B34*3.6/1000000/'E Balans VL '!Z22*100),0,B34*3.6/1000000/'E Balans VL '!Z22*100)</f>
        <v>9.8080870038735248E-3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5193.82884643134</v>
      </c>
      <c r="C37" s="39">
        <f>IF(ISERROR(B37*3.6/1000000/'E Balans VL '!Z15*100),0,B37*3.6/1000000/'E Balans VL '!Z15*100)</f>
        <v>3.8633625146470493E-2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1025.2091447885325</v>
      </c>
      <c r="C5" s="17">
        <f>'Eigen informatie GS &amp; warmtenet'!B60</f>
        <v>0</v>
      </c>
      <c r="D5" s="30">
        <f>IF(ISERROR(SUM(LB_lb_gas_kWh,LB_rest_gas_kWh,onbekend_gas_kWh)/1000),0,SUM(LB_lb_gas_kWh,LB_rest_gas_kWh,onbekend_gas_kWh)/1000)*0.902</f>
        <v>7187.4674722399868</v>
      </c>
      <c r="E5" s="17">
        <f>B17*'E Balans VL '!I25/3.6*1000000/100</f>
        <v>10.736212112954343</v>
      </c>
      <c r="F5" s="17">
        <f>B17*('E Balans VL '!L25/3.6*1000000+'E Balans VL '!N25/3.6*1000000)/100</f>
        <v>5265.6374058090187</v>
      </c>
      <c r="G5" s="18"/>
      <c r="H5" s="17"/>
      <c r="I5" s="17"/>
      <c r="J5" s="17">
        <f>('E Balans VL '!D25+'E Balans VL '!E25)/3.6*1000000*landbouw!B17/100</f>
        <v>91.560365735943719</v>
      </c>
      <c r="K5" s="17"/>
      <c r="L5" s="17">
        <f>L6*(-1)</f>
        <v>69525</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-69525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1025.2091447885325</v>
      </c>
      <c r="C8" s="21">
        <f>C5+C6</f>
        <v>0</v>
      </c>
      <c r="D8" s="21">
        <f>MAX((D5+D6),0)</f>
        <v>7187.4674722399868</v>
      </c>
      <c r="E8" s="21">
        <f>MAX((E5+E6),0)</f>
        <v>10.736212112954343</v>
      </c>
      <c r="F8" s="21">
        <f>MAX((F5+F6),0)</f>
        <v>5265.6374058090187</v>
      </c>
      <c r="G8" s="21"/>
      <c r="H8" s="21"/>
      <c r="I8" s="21"/>
      <c r="J8" s="21">
        <f>MAX((J5+J6),0)</f>
        <v>91.560365735943719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0.17519526687655598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179.61178972551266</v>
      </c>
      <c r="C12" s="23">
        <f ca="1">C8*C10</f>
        <v>0</v>
      </c>
      <c r="D12" s="23">
        <f>D8*D10</f>
        <v>1451.8684293924775</v>
      </c>
      <c r="E12" s="23">
        <f>E8*E10</f>
        <v>2.4371201496406361</v>
      </c>
      <c r="F12" s="23">
        <f>F8*F10</f>
        <v>1405.9251873510082</v>
      </c>
      <c r="G12" s="23"/>
      <c r="H12" s="23"/>
      <c r="I12" s="23"/>
      <c r="J12" s="23">
        <f>J8*J10</f>
        <v>32.412369470524077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0.15779947757664645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150.97096487454576</v>
      </c>
      <c r="C26" s="248">
        <f>B26*'GWP N2O_CH4'!B5</f>
        <v>3170.3902623654608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38.911630672415896</v>
      </c>
      <c r="C27" s="248">
        <f>B27*'GWP N2O_CH4'!B5</f>
        <v>817.14424412073379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2.8688012866854802</v>
      </c>
      <c r="C28" s="248">
        <f>B28*'GWP N2O_CH4'!B4</f>
        <v>889.32839887249884</v>
      </c>
      <c r="D28" s="50"/>
    </row>
    <row r="29" spans="1:4">
      <c r="A29" s="41" t="s">
        <v>278</v>
      </c>
      <c r="B29" s="248">
        <f>B34*'ha_N2O bodem landbouw'!B4</f>
        <v>21.439999617722453</v>
      </c>
      <c r="C29" s="248">
        <f>B29*'GWP N2O_CH4'!B4</f>
        <v>6646.3998814939605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3.5432415232816098E-3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1.001805163126072E-5</v>
      </c>
      <c r="C5" s="446" t="s">
        <v>212</v>
      </c>
      <c r="D5" s="431">
        <f>SUM(D6:D11)</f>
        <v>4.9876567562119774E-5</v>
      </c>
      <c r="E5" s="431">
        <f>SUM(E6:E11)</f>
        <v>5.53815053141914E-3</v>
      </c>
      <c r="F5" s="444" t="s">
        <v>212</v>
      </c>
      <c r="G5" s="431">
        <f>SUM(G6:G11)</f>
        <v>0.95272948828771831</v>
      </c>
      <c r="H5" s="431">
        <f>SUM(H6:H11)</f>
        <v>0.16941336472167731</v>
      </c>
      <c r="I5" s="446" t="s">
        <v>212</v>
      </c>
      <c r="J5" s="446" t="s">
        <v>212</v>
      </c>
      <c r="K5" s="446" t="s">
        <v>212</v>
      </c>
      <c r="L5" s="446" t="s">
        <v>212</v>
      </c>
      <c r="M5" s="431">
        <f>SUM(M6:M11)</f>
        <v>4.8978973147176738E-2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4.2096924246756961E-6</v>
      </c>
      <c r="C6" s="432"/>
      <c r="D6" s="432">
        <f>vkm_2011_GW_PW*SUMIFS(TableVerdeelsleutelVkm[CNG],TableVerdeelsleutelVkm[Voertuigtype],"Lichte voertuigen")*SUMIFS(TableECFTransport[EnergieConsumptieFactor (PJ per km)],TableECFTransport[Index],CONCATENATE($A6,"_CNG_CNG"))</f>
        <v>1.8147494708669758E-5</v>
      </c>
      <c r="E6" s="434">
        <f>vkm_2011_GW_PW*SUMIFS(TableVerdeelsleutelVkm[LPG],TableVerdeelsleutelVkm[Voertuigtype],"Lichte voertuigen")*SUMIFS(TableECFTransport[EnergieConsumptieFactor (PJ per km)],TableECFTransport[Index],CONCATENATE($A6,"_LPG_LPG"))</f>
        <v>1.8881354737465975E-3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0.2322458467292825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6.1145518608476682E-2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1.2857816201208927E-2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0.11218481703672969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3.8466619144272066E-5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4.8461738980901566E-3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1.7710089504930116E-6</v>
      </c>
      <c r="C8" s="432"/>
      <c r="D8" s="434">
        <f>vkm_2011_NGW_PW*SUMIFS(TableVerdeelsleutelVkm[CNG],TableVerdeelsleutelVkm[Voertuigtype],"Lichte voertuigen")*SUMIFS(TableECFTransport[EnergieConsumptieFactor (PJ per km)],TableECFTransport[Index],CONCATENATE($A8,"_CNG_CNG"))</f>
        <v>1.369668297663657E-5</v>
      </c>
      <c r="E8" s="434">
        <f>vkm_2011_NGW_PW*SUMIFS(TableVerdeelsleutelVkm[LPG],TableVerdeelsleutelVkm[Voertuigtype],"Lichte voertuigen")*SUMIFS(TableECFTransport[EnergieConsumptieFactor (PJ per km)],TableECFTransport[Index],CONCATENATE($A8,"_LPG_LPG"))</f>
        <v>1.3011816618092975E-3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0.15180275306314073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4.4052475931406002E-2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8.593286855082715E-3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4.2064025645687654E-2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1.2529768172513136E-5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1.8169994947263264E-3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4.0373502560920137E-6</v>
      </c>
      <c r="C10" s="432"/>
      <c r="D10" s="434">
        <f>vkm_2011_SW_PW*SUMIFS(TableVerdeelsleutelVkm[CNG],TableVerdeelsleutelVkm[Voertuigtype],"Lichte voertuigen")*SUMIFS(TableECFTransport[EnergieConsumptieFactor (PJ per km)],TableECFTransport[Index],CONCATENATE($A10,"_CNG_CNG"))</f>
        <v>1.8032389876813443E-5</v>
      </c>
      <c r="E10" s="434">
        <f>vkm_2011_SW_PW*SUMIFS(TableVerdeelsleutelVkm[LPG],TableVerdeelsleutelVkm[Voertuigtype],"Lichte voertuigen")*SUMIFS(TableECFTransport[EnergieConsumptieFactor (PJ per km)],TableECFTransport[Index],CONCATENATE($A10,"_LPG_LPG"))</f>
        <v>2.3488333958632452E-3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0.26560936980279221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6.410992767529404E-2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1.4435677856560426E-2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0.14882267601008556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5.4446119183794473E-5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6.4290188415081868E-3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2.7827921197946441</v>
      </c>
      <c r="C14" s="21"/>
      <c r="D14" s="21">
        <f t="shared" ref="D14:M14" si="0">((D5)*10^9/3600)+D12</f>
        <v>13.854602100588826</v>
      </c>
      <c r="E14" s="21">
        <f t="shared" si="0"/>
        <v>1538.375147616428</v>
      </c>
      <c r="F14" s="21"/>
      <c r="G14" s="21">
        <f t="shared" si="0"/>
        <v>264647.08007992175</v>
      </c>
      <c r="H14" s="21">
        <f t="shared" si="0"/>
        <v>47059.267978243697</v>
      </c>
      <c r="I14" s="21"/>
      <c r="J14" s="21"/>
      <c r="K14" s="21"/>
      <c r="L14" s="21"/>
      <c r="M14" s="21">
        <f t="shared" si="0"/>
        <v>13605.270318660205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0.17519526687655598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0.48753200808939962</v>
      </c>
      <c r="C18" s="23"/>
      <c r="D18" s="23">
        <f t="shared" ref="D18:M18" si="1">D14*D16</f>
        <v>2.7986296243189432</v>
      </c>
      <c r="E18" s="23">
        <f t="shared" si="1"/>
        <v>349.21115850892915</v>
      </c>
      <c r="F18" s="23"/>
      <c r="G18" s="23">
        <f t="shared" si="1"/>
        <v>70660.770381339113</v>
      </c>
      <c r="H18" s="23">
        <f t="shared" si="1"/>
        <v>11717.75772658268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1.8936017650107096E-2</v>
      </c>
      <c r="H50" s="322">
        <f t="shared" si="2"/>
        <v>0</v>
      </c>
      <c r="I50" s="322">
        <f t="shared" si="2"/>
        <v>0</v>
      </c>
      <c r="J50" s="322">
        <f t="shared" si="2"/>
        <v>0</v>
      </c>
      <c r="K50" s="322">
        <f t="shared" si="2"/>
        <v>0</v>
      </c>
      <c r="L50" s="322">
        <f t="shared" si="2"/>
        <v>0</v>
      </c>
      <c r="M50" s="322">
        <f t="shared" si="2"/>
        <v>8.0716016533911611E-4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1.8936017650107096E-2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8.0716016533911611E-4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5260.0049028075273</v>
      </c>
      <c r="H54" s="21">
        <f t="shared" si="3"/>
        <v>0</v>
      </c>
      <c r="I54" s="21">
        <f t="shared" si="3"/>
        <v>0</v>
      </c>
      <c r="J54" s="21">
        <f t="shared" si="3"/>
        <v>0</v>
      </c>
      <c r="K54" s="21">
        <f t="shared" si="3"/>
        <v>0</v>
      </c>
      <c r="L54" s="21">
        <f t="shared" si="3"/>
        <v>0</v>
      </c>
      <c r="M54" s="21">
        <f t="shared" si="3"/>
        <v>224.21115703864336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0.17519526687655598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1404.4213090496098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5261.5824196975645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27810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69525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33071.582419697566</v>
      </c>
      <c r="C9" s="578">
        <f t="shared" ref="C9:L9" si="0">SUM(C7:C8)</f>
        <v>0</v>
      </c>
      <c r="D9" s="578">
        <f t="shared" si="0"/>
        <v>0</v>
      </c>
      <c r="E9" s="578">
        <f t="shared" si="0"/>
        <v>0</v>
      </c>
      <c r="F9" s="578">
        <f t="shared" si="0"/>
        <v>0</v>
      </c>
      <c r="G9" s="578">
        <f t="shared" si="0"/>
        <v>0</v>
      </c>
      <c r="H9" s="578">
        <f t="shared" si="0"/>
        <v>0</v>
      </c>
      <c r="I9" s="578">
        <f t="shared" si="0"/>
        <v>69525</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23002</v>
      </c>
      <c r="C63" s="839">
        <v>2861</v>
      </c>
      <c r="D63" s="658" t="s">
        <v>894</v>
      </c>
      <c r="E63" s="658" t="s">
        <v>895</v>
      </c>
      <c r="F63" s="658" t="s">
        <v>896</v>
      </c>
      <c r="G63" s="658" t="s">
        <v>897</v>
      </c>
      <c r="H63" s="658" t="s">
        <v>898</v>
      </c>
      <c r="I63" s="658" t="s">
        <v>899</v>
      </c>
      <c r="J63" s="838">
        <v>40507</v>
      </c>
      <c r="K63" s="838">
        <v>40513</v>
      </c>
      <c r="L63" s="658" t="s">
        <v>900</v>
      </c>
      <c r="M63" s="658">
        <v>900</v>
      </c>
      <c r="N63" s="658">
        <v>4050</v>
      </c>
      <c r="O63" s="658">
        <v>0</v>
      </c>
      <c r="P63" s="658">
        <v>0</v>
      </c>
      <c r="Q63" s="658">
        <v>0</v>
      </c>
      <c r="R63" s="658">
        <v>0</v>
      </c>
      <c r="S63" s="658">
        <v>0</v>
      </c>
      <c r="T63" s="658">
        <v>10125</v>
      </c>
      <c r="U63" s="658">
        <v>0</v>
      </c>
      <c r="V63" s="658">
        <v>0</v>
      </c>
      <c r="W63" s="658">
        <v>0</v>
      </c>
      <c r="X63" s="658">
        <v>10</v>
      </c>
      <c r="Y63" s="658" t="s">
        <v>112</v>
      </c>
      <c r="Z63" s="659" t="s">
        <v>112</v>
      </c>
    </row>
    <row r="64" spans="1:26" s="624" customFormat="1" ht="38.25">
      <c r="A64" s="610"/>
      <c r="B64" s="839">
        <v>23002</v>
      </c>
      <c r="C64" s="839">
        <v>1730</v>
      </c>
      <c r="D64" s="658" t="s">
        <v>894</v>
      </c>
      <c r="E64" s="658" t="s">
        <v>895</v>
      </c>
      <c r="F64" s="658" t="s">
        <v>901</v>
      </c>
      <c r="G64" s="658" t="s">
        <v>897</v>
      </c>
      <c r="H64" s="658" t="s">
        <v>898</v>
      </c>
      <c r="I64" s="658" t="s">
        <v>895</v>
      </c>
      <c r="J64" s="838">
        <v>38353</v>
      </c>
      <c r="K64" s="838">
        <v>38505</v>
      </c>
      <c r="L64" s="658" t="s">
        <v>900</v>
      </c>
      <c r="M64" s="658">
        <v>5280</v>
      </c>
      <c r="N64" s="658">
        <v>23760</v>
      </c>
      <c r="O64" s="658">
        <v>0</v>
      </c>
      <c r="P64" s="658">
        <v>0</v>
      </c>
      <c r="Q64" s="658">
        <v>0</v>
      </c>
      <c r="R64" s="658">
        <v>0</v>
      </c>
      <c r="S64" s="658">
        <v>0</v>
      </c>
      <c r="T64" s="658">
        <v>59400</v>
      </c>
      <c r="U64" s="658">
        <v>0</v>
      </c>
      <c r="V64" s="658">
        <v>0</v>
      </c>
      <c r="W64" s="658">
        <v>0</v>
      </c>
      <c r="X64" s="658">
        <v>10</v>
      </c>
      <c r="Y64" s="658" t="s">
        <v>112</v>
      </c>
      <c r="Z64" s="659" t="s">
        <v>112</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6180</v>
      </c>
      <c r="N88" s="613">
        <f t="shared" ref="N88:W88" si="5">SUM(N63:N87)</f>
        <v>27810</v>
      </c>
      <c r="O88" s="613">
        <f t="shared" si="5"/>
        <v>0</v>
      </c>
      <c r="P88" s="613">
        <f t="shared" si="5"/>
        <v>0</v>
      </c>
      <c r="Q88" s="613">
        <f t="shared" si="5"/>
        <v>0</v>
      </c>
      <c r="R88" s="613">
        <f t="shared" si="5"/>
        <v>0</v>
      </c>
      <c r="S88" s="613">
        <f t="shared" si="5"/>
        <v>0</v>
      </c>
      <c r="T88" s="613">
        <f t="shared" si="5"/>
        <v>69525</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6180</v>
      </c>
      <c r="N91" s="618">
        <f t="shared" si="8"/>
        <v>27810</v>
      </c>
      <c r="O91" s="618">
        <f t="shared" si="8"/>
        <v>0</v>
      </c>
      <c r="P91" s="618">
        <f t="shared" si="8"/>
        <v>0</v>
      </c>
      <c r="Q91" s="618">
        <f t="shared" si="8"/>
        <v>0</v>
      </c>
      <c r="R91" s="618">
        <f t="shared" si="8"/>
        <v>0</v>
      </c>
      <c r="S91" s="618">
        <f t="shared" si="8"/>
        <v>0</v>
      </c>
      <c r="T91" s="618">
        <f t="shared" si="8"/>
        <v>69525</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94405.686218480041</v>
      </c>
      <c r="D10" s="702">
        <f ca="1">tertiair!C16</f>
        <v>0</v>
      </c>
      <c r="E10" s="702">
        <f ca="1">tertiair!D16</f>
        <v>75048.892119440425</v>
      </c>
      <c r="F10" s="702">
        <f>tertiair!E16</f>
        <v>1423.2310347591265</v>
      </c>
      <c r="G10" s="702">
        <f ca="1">tertiair!F16</f>
        <v>15688.759940442742</v>
      </c>
      <c r="H10" s="702">
        <f>tertiair!G16</f>
        <v>0</v>
      </c>
      <c r="I10" s="702">
        <f>tertiair!H16</f>
        <v>0</v>
      </c>
      <c r="J10" s="702">
        <f>tertiair!I16</f>
        <v>0</v>
      </c>
      <c r="K10" s="702">
        <f>tertiair!J16</f>
        <v>0</v>
      </c>
      <c r="L10" s="702">
        <f>tertiair!K16</f>
        <v>0</v>
      </c>
      <c r="M10" s="702">
        <f ca="1">tertiair!L16</f>
        <v>0</v>
      </c>
      <c r="N10" s="702">
        <f>tertiair!M16</f>
        <v>0</v>
      </c>
      <c r="O10" s="702">
        <f ca="1">tertiair!N16</f>
        <v>1306.8157240602677</v>
      </c>
      <c r="P10" s="702">
        <f>tertiair!O16</f>
        <v>3.1266666666666669</v>
      </c>
      <c r="Q10" s="703">
        <f>tertiair!P16</f>
        <v>0</v>
      </c>
      <c r="R10" s="705">
        <f ca="1">SUM(C10:Q10)</f>
        <v>187876.5117038493</v>
      </c>
      <c r="S10" s="67"/>
    </row>
    <row r="11" spans="1:19" s="457" customFormat="1">
      <c r="A11" s="858" t="s">
        <v>226</v>
      </c>
      <c r="B11" s="863"/>
      <c r="C11" s="702">
        <f>huishoudens!B8</f>
        <v>52743.483952221861</v>
      </c>
      <c r="D11" s="702">
        <f>huishoudens!C8</f>
        <v>0</v>
      </c>
      <c r="E11" s="702">
        <f>huishoudens!D8</f>
        <v>106951.95257343964</v>
      </c>
      <c r="F11" s="702">
        <f>huishoudens!E8</f>
        <v>5239.2638262796027</v>
      </c>
      <c r="G11" s="702">
        <f>huishoudens!F8</f>
        <v>69270.51739402565</v>
      </c>
      <c r="H11" s="702">
        <f>huishoudens!G8</f>
        <v>0</v>
      </c>
      <c r="I11" s="702">
        <f>huishoudens!H8</f>
        <v>0</v>
      </c>
      <c r="J11" s="702">
        <f>huishoudens!I8</f>
        <v>0</v>
      </c>
      <c r="K11" s="702">
        <f>huishoudens!J8</f>
        <v>0</v>
      </c>
      <c r="L11" s="702">
        <f>huishoudens!K8</f>
        <v>0</v>
      </c>
      <c r="M11" s="702">
        <f>huishoudens!L8</f>
        <v>0</v>
      </c>
      <c r="N11" s="702">
        <f>huishoudens!M8</f>
        <v>0</v>
      </c>
      <c r="O11" s="702">
        <f>huishoudens!N8</f>
        <v>11484.080758051599</v>
      </c>
      <c r="P11" s="702">
        <f>huishoudens!O8</f>
        <v>89.11</v>
      </c>
      <c r="Q11" s="703">
        <f>huishoudens!P8</f>
        <v>552.93333333333339</v>
      </c>
      <c r="R11" s="705">
        <f>SUM(C11:Q11)</f>
        <v>246331.34183735165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11387.564425253779</v>
      </c>
      <c r="D13" s="702">
        <f>industrie!C18</f>
        <v>0</v>
      </c>
      <c r="E13" s="702">
        <f>industrie!D18</f>
        <v>11590.914232317147</v>
      </c>
      <c r="F13" s="702">
        <f>industrie!E18</f>
        <v>115.74655285817039</v>
      </c>
      <c r="G13" s="702">
        <f>industrie!F18</f>
        <v>2981.511312127458</v>
      </c>
      <c r="H13" s="702">
        <f>industrie!G18</f>
        <v>0</v>
      </c>
      <c r="I13" s="702">
        <f>industrie!H18</f>
        <v>0</v>
      </c>
      <c r="J13" s="702">
        <f>industrie!I18</f>
        <v>0</v>
      </c>
      <c r="K13" s="702">
        <f>industrie!J18</f>
        <v>55.908233734028272</v>
      </c>
      <c r="L13" s="702">
        <f>industrie!K18</f>
        <v>0</v>
      </c>
      <c r="M13" s="702">
        <f>industrie!L18</f>
        <v>0</v>
      </c>
      <c r="N13" s="702">
        <f>industrie!M18</f>
        <v>0</v>
      </c>
      <c r="O13" s="702">
        <f>industrie!N18</f>
        <v>273.56794479137216</v>
      </c>
      <c r="P13" s="702">
        <f>industrie!O18</f>
        <v>0</v>
      </c>
      <c r="Q13" s="703">
        <f>industrie!P18</f>
        <v>0</v>
      </c>
      <c r="R13" s="705">
        <f>SUM(C13:Q13)</f>
        <v>26405.212701081957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158536.73459595567</v>
      </c>
      <c r="D15" s="707">
        <f t="shared" ref="D15:Q15" ca="1" si="0">SUM(D9:D14)</f>
        <v>0</v>
      </c>
      <c r="E15" s="707">
        <f t="shared" ca="1" si="0"/>
        <v>193591.75892519721</v>
      </c>
      <c r="F15" s="707">
        <f t="shared" si="0"/>
        <v>6778.2414138968998</v>
      </c>
      <c r="G15" s="707">
        <f t="shared" ca="1" si="0"/>
        <v>87940.788646595858</v>
      </c>
      <c r="H15" s="707">
        <f t="shared" si="0"/>
        <v>0</v>
      </c>
      <c r="I15" s="707">
        <f t="shared" si="0"/>
        <v>0</v>
      </c>
      <c r="J15" s="707">
        <f t="shared" si="0"/>
        <v>0</v>
      </c>
      <c r="K15" s="707">
        <f t="shared" si="0"/>
        <v>55.908233734028272</v>
      </c>
      <c r="L15" s="707">
        <f t="shared" si="0"/>
        <v>0</v>
      </c>
      <c r="M15" s="707">
        <f t="shared" ca="1" si="0"/>
        <v>0</v>
      </c>
      <c r="N15" s="707">
        <f t="shared" si="0"/>
        <v>0</v>
      </c>
      <c r="O15" s="707">
        <f t="shared" ca="1" si="0"/>
        <v>13064.46442690324</v>
      </c>
      <c r="P15" s="707">
        <f t="shared" si="0"/>
        <v>92.236666666666665</v>
      </c>
      <c r="Q15" s="708">
        <f t="shared" si="0"/>
        <v>552.93333333333339</v>
      </c>
      <c r="R15" s="709">
        <f ca="1">SUM(R9:R14)</f>
        <v>460613.06624228292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5260.0049028075273</v>
      </c>
      <c r="I18" s="702">
        <f>transport!H54</f>
        <v>0</v>
      </c>
      <c r="J18" s="702">
        <f>transport!I54</f>
        <v>0</v>
      </c>
      <c r="K18" s="702">
        <f>transport!J54</f>
        <v>0</v>
      </c>
      <c r="L18" s="702">
        <f>transport!K54</f>
        <v>0</v>
      </c>
      <c r="M18" s="702">
        <f>transport!L54</f>
        <v>0</v>
      </c>
      <c r="N18" s="702">
        <f>transport!M54</f>
        <v>224.21115703864336</v>
      </c>
      <c r="O18" s="702">
        <f>transport!N54</f>
        <v>0</v>
      </c>
      <c r="P18" s="702">
        <f>transport!O54</f>
        <v>0</v>
      </c>
      <c r="Q18" s="703">
        <f>transport!P54</f>
        <v>0</v>
      </c>
      <c r="R18" s="705">
        <f>SUM(C18:Q18)</f>
        <v>5484.2160598461705</v>
      </c>
      <c r="S18" s="67"/>
    </row>
    <row r="19" spans="1:19" s="457" customFormat="1" ht="15" thickBot="1">
      <c r="A19" s="858" t="s">
        <v>308</v>
      </c>
      <c r="B19" s="863"/>
      <c r="C19" s="711">
        <f>transport!B14</f>
        <v>2.7827921197946441</v>
      </c>
      <c r="D19" s="711">
        <f>transport!C14</f>
        <v>0</v>
      </c>
      <c r="E19" s="711">
        <f>transport!D14</f>
        <v>13.854602100588826</v>
      </c>
      <c r="F19" s="711">
        <f>transport!E14</f>
        <v>1538.375147616428</v>
      </c>
      <c r="G19" s="711">
        <f>transport!F14</f>
        <v>0</v>
      </c>
      <c r="H19" s="711">
        <f>transport!G14</f>
        <v>264647.08007992175</v>
      </c>
      <c r="I19" s="711">
        <f>transport!H14</f>
        <v>47059.267978243697</v>
      </c>
      <c r="J19" s="711">
        <f>transport!I14</f>
        <v>0</v>
      </c>
      <c r="K19" s="711">
        <f>transport!J14</f>
        <v>0</v>
      </c>
      <c r="L19" s="711">
        <f>transport!K14</f>
        <v>0</v>
      </c>
      <c r="M19" s="711">
        <f>transport!L14</f>
        <v>0</v>
      </c>
      <c r="N19" s="711">
        <f>transport!M14</f>
        <v>13605.270318660205</v>
      </c>
      <c r="O19" s="711">
        <f>transport!N14</f>
        <v>0</v>
      </c>
      <c r="P19" s="711">
        <f>transport!O14</f>
        <v>0</v>
      </c>
      <c r="Q19" s="712">
        <f>transport!P14</f>
        <v>0</v>
      </c>
      <c r="R19" s="713">
        <f>SUM(C19:Q19)</f>
        <v>326866.63091866247</v>
      </c>
      <c r="S19" s="67"/>
    </row>
    <row r="20" spans="1:19" s="457" customFormat="1" ht="15.75" thickBot="1">
      <c r="A20" s="714" t="s">
        <v>231</v>
      </c>
      <c r="B20" s="866"/>
      <c r="C20" s="861">
        <f>SUM(C17:C19)</f>
        <v>2.7827921197946441</v>
      </c>
      <c r="D20" s="715">
        <f t="shared" ref="D20:R20" si="1">SUM(D17:D19)</f>
        <v>0</v>
      </c>
      <c r="E20" s="715">
        <f t="shared" si="1"/>
        <v>13.854602100588826</v>
      </c>
      <c r="F20" s="715">
        <f t="shared" si="1"/>
        <v>1538.375147616428</v>
      </c>
      <c r="G20" s="715">
        <f t="shared" si="1"/>
        <v>0</v>
      </c>
      <c r="H20" s="715">
        <f t="shared" si="1"/>
        <v>269907.08498272928</v>
      </c>
      <c r="I20" s="715">
        <f t="shared" si="1"/>
        <v>47059.267978243697</v>
      </c>
      <c r="J20" s="715">
        <f t="shared" si="1"/>
        <v>0</v>
      </c>
      <c r="K20" s="715">
        <f t="shared" si="1"/>
        <v>0</v>
      </c>
      <c r="L20" s="715">
        <f t="shared" si="1"/>
        <v>0</v>
      </c>
      <c r="M20" s="715">
        <f t="shared" si="1"/>
        <v>0</v>
      </c>
      <c r="N20" s="715">
        <f t="shared" si="1"/>
        <v>13829.481475698849</v>
      </c>
      <c r="O20" s="715">
        <f t="shared" si="1"/>
        <v>0</v>
      </c>
      <c r="P20" s="715">
        <f t="shared" si="1"/>
        <v>0</v>
      </c>
      <c r="Q20" s="716">
        <f t="shared" si="1"/>
        <v>0</v>
      </c>
      <c r="R20" s="717">
        <f t="shared" si="1"/>
        <v>332350.84697850863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1025.2091447885325</v>
      </c>
      <c r="D22" s="711">
        <f>+landbouw!C8</f>
        <v>0</v>
      </c>
      <c r="E22" s="711">
        <f>+landbouw!D8</f>
        <v>7187.4674722399868</v>
      </c>
      <c r="F22" s="711">
        <f>+landbouw!E8</f>
        <v>10.736212112954343</v>
      </c>
      <c r="G22" s="711">
        <f>+landbouw!F8</f>
        <v>5265.6374058090187</v>
      </c>
      <c r="H22" s="711">
        <f>+landbouw!G8</f>
        <v>0</v>
      </c>
      <c r="I22" s="711">
        <f>+landbouw!H8</f>
        <v>0</v>
      </c>
      <c r="J22" s="711">
        <f>+landbouw!I8</f>
        <v>0</v>
      </c>
      <c r="K22" s="711">
        <f>+landbouw!J8</f>
        <v>91.560365735943719</v>
      </c>
      <c r="L22" s="711">
        <f>+landbouw!K8</f>
        <v>0</v>
      </c>
      <c r="M22" s="711">
        <f>+landbouw!L8</f>
        <v>0</v>
      </c>
      <c r="N22" s="711">
        <f>+landbouw!M8</f>
        <v>0</v>
      </c>
      <c r="O22" s="711">
        <f>+landbouw!N8</f>
        <v>0</v>
      </c>
      <c r="P22" s="711">
        <f>+landbouw!O8</f>
        <v>0</v>
      </c>
      <c r="Q22" s="712">
        <f>+landbouw!P8</f>
        <v>0</v>
      </c>
      <c r="R22" s="713">
        <f>SUM(C22:Q22)</f>
        <v>13580.610600686436</v>
      </c>
      <c r="S22" s="67"/>
    </row>
    <row r="23" spans="1:19" s="457" customFormat="1" ht="17.25" thickTop="1" thickBot="1">
      <c r="A23" s="718" t="s">
        <v>116</v>
      </c>
      <c r="B23" s="852"/>
      <c r="C23" s="719">
        <f ca="1">C20+C15+C22</f>
        <v>159564.72653286401</v>
      </c>
      <c r="D23" s="719">
        <f t="shared" ref="D23:Q23" ca="1" si="2">D20+D15+D22</f>
        <v>0</v>
      </c>
      <c r="E23" s="719">
        <f t="shared" ca="1" si="2"/>
        <v>200793.08099953778</v>
      </c>
      <c r="F23" s="719">
        <f t="shared" si="2"/>
        <v>8327.3527736262822</v>
      </c>
      <c r="G23" s="719">
        <f t="shared" ca="1" si="2"/>
        <v>93206.426052404873</v>
      </c>
      <c r="H23" s="719">
        <f t="shared" si="2"/>
        <v>269907.08498272928</v>
      </c>
      <c r="I23" s="719">
        <f t="shared" si="2"/>
        <v>47059.267978243697</v>
      </c>
      <c r="J23" s="719">
        <f t="shared" si="2"/>
        <v>0</v>
      </c>
      <c r="K23" s="719">
        <f t="shared" si="2"/>
        <v>147.46859946997199</v>
      </c>
      <c r="L23" s="719">
        <f t="shared" si="2"/>
        <v>0</v>
      </c>
      <c r="M23" s="719">
        <f t="shared" ca="1" si="2"/>
        <v>0</v>
      </c>
      <c r="N23" s="719">
        <f t="shared" si="2"/>
        <v>13829.481475698849</v>
      </c>
      <c r="O23" s="719">
        <f t="shared" ca="1" si="2"/>
        <v>13064.46442690324</v>
      </c>
      <c r="P23" s="719">
        <f t="shared" si="2"/>
        <v>92.236666666666665</v>
      </c>
      <c r="Q23" s="720">
        <f t="shared" si="2"/>
        <v>552.93333333333339</v>
      </c>
      <c r="R23" s="721">
        <f ca="1">R20+R15+R22</f>
        <v>806544.52382147801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16539.429391711012</v>
      </c>
      <c r="D36" s="702">
        <f ca="1">tertiair!C20</f>
        <v>0</v>
      </c>
      <c r="E36" s="702">
        <f ca="1">tertiair!D20</f>
        <v>15159.876208126967</v>
      </c>
      <c r="F36" s="702">
        <f>tertiair!E20</f>
        <v>323.0734448903217</v>
      </c>
      <c r="G36" s="702">
        <f ca="1">tertiair!F20</f>
        <v>4188.8989040982124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36211.277948826508</v>
      </c>
    </row>
    <row r="37" spans="1:18">
      <c r="A37" s="873" t="s">
        <v>226</v>
      </c>
      <c r="B37" s="880"/>
      <c r="C37" s="702">
        <f ca="1">huishoudens!B12</f>
        <v>9240.4087470088562</v>
      </c>
      <c r="D37" s="702">
        <f ca="1">huishoudens!C12</f>
        <v>0</v>
      </c>
      <c r="E37" s="702">
        <f>huishoudens!D12</f>
        <v>21604.294419834809</v>
      </c>
      <c r="F37" s="702">
        <f>huishoudens!E12</f>
        <v>1189.3128885654698</v>
      </c>
      <c r="G37" s="702">
        <f>huishoudens!F12</f>
        <v>18495.228144204848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50529.244199613982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1995.0473885563106</v>
      </c>
      <c r="D39" s="702">
        <f ca="1">industrie!C22</f>
        <v>0</v>
      </c>
      <c r="E39" s="702">
        <f>industrie!D22</f>
        <v>2341.3646749280638</v>
      </c>
      <c r="F39" s="702">
        <f>industrie!E22</f>
        <v>26.274467498804679</v>
      </c>
      <c r="G39" s="702">
        <f>industrie!F22</f>
        <v>796.06352033803137</v>
      </c>
      <c r="H39" s="702">
        <f>industrie!G22</f>
        <v>0</v>
      </c>
      <c r="I39" s="702">
        <f>industrie!H22</f>
        <v>0</v>
      </c>
      <c r="J39" s="702">
        <f>industrie!I22</f>
        <v>0</v>
      </c>
      <c r="K39" s="702">
        <f>industrie!J22</f>
        <v>19.791514741846008</v>
      </c>
      <c r="L39" s="702">
        <f>industrie!K22</f>
        <v>0</v>
      </c>
      <c r="M39" s="702">
        <f>industrie!L22</f>
        <v>0</v>
      </c>
      <c r="N39" s="702">
        <f>industrie!M22</f>
        <v>0</v>
      </c>
      <c r="O39" s="702">
        <f>industrie!N22</f>
        <v>0</v>
      </c>
      <c r="P39" s="702">
        <f>industrie!O22</f>
        <v>0</v>
      </c>
      <c r="Q39" s="812">
        <f>industrie!P22</f>
        <v>0</v>
      </c>
      <c r="R39" s="906">
        <f ca="1">SUM(C39:Q39)</f>
        <v>5178.541566063057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27774.885527276179</v>
      </c>
      <c r="D41" s="747">
        <f t="shared" ref="D41:R41" ca="1" si="4">SUM(D35:D40)</f>
        <v>0</v>
      </c>
      <c r="E41" s="747">
        <f t="shared" ca="1" si="4"/>
        <v>39105.535302889846</v>
      </c>
      <c r="F41" s="747">
        <f t="shared" si="4"/>
        <v>1538.6608009545962</v>
      </c>
      <c r="G41" s="747">
        <f t="shared" ca="1" si="4"/>
        <v>23480.19056864109</v>
      </c>
      <c r="H41" s="747">
        <f t="shared" si="4"/>
        <v>0</v>
      </c>
      <c r="I41" s="747">
        <f t="shared" si="4"/>
        <v>0</v>
      </c>
      <c r="J41" s="747">
        <f t="shared" si="4"/>
        <v>0</v>
      </c>
      <c r="K41" s="747">
        <f t="shared" si="4"/>
        <v>19.791514741846008</v>
      </c>
      <c r="L41" s="747">
        <f t="shared" si="4"/>
        <v>0</v>
      </c>
      <c r="M41" s="747">
        <f t="shared" ca="1" si="4"/>
        <v>0</v>
      </c>
      <c r="N41" s="747">
        <f t="shared" si="4"/>
        <v>0</v>
      </c>
      <c r="O41" s="747">
        <f t="shared" ca="1" si="4"/>
        <v>0</v>
      </c>
      <c r="P41" s="747">
        <f t="shared" si="4"/>
        <v>0</v>
      </c>
      <c r="Q41" s="748">
        <f t="shared" si="4"/>
        <v>0</v>
      </c>
      <c r="R41" s="749">
        <f t="shared" ca="1" si="4"/>
        <v>91919.063714503543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1404.4213090496098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1404.4213090496098</v>
      </c>
    </row>
    <row r="45" spans="1:18" ht="15" thickBot="1">
      <c r="A45" s="876" t="s">
        <v>308</v>
      </c>
      <c r="B45" s="886"/>
      <c r="C45" s="711">
        <f ca="1">transport!B18</f>
        <v>0.48753200808939962</v>
      </c>
      <c r="D45" s="711">
        <f>transport!C18</f>
        <v>0</v>
      </c>
      <c r="E45" s="711">
        <f>transport!D18</f>
        <v>2.7986296243189432</v>
      </c>
      <c r="F45" s="711">
        <f>transport!E18</f>
        <v>349.21115850892915</v>
      </c>
      <c r="G45" s="711">
        <f>transport!F18</f>
        <v>0</v>
      </c>
      <c r="H45" s="711">
        <f>transport!G18</f>
        <v>70660.770381339113</v>
      </c>
      <c r="I45" s="711">
        <f>transport!H18</f>
        <v>11717.75772658268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82731.025428063134</v>
      </c>
    </row>
    <row r="46" spans="1:18" ht="15.75" thickBot="1">
      <c r="A46" s="874" t="s">
        <v>231</v>
      </c>
      <c r="B46" s="887"/>
      <c r="C46" s="747">
        <f t="shared" ref="C46:R46" ca="1" si="5">SUM(C43:C45)</f>
        <v>0.48753200808939962</v>
      </c>
      <c r="D46" s="747">
        <f t="shared" ca="1" si="5"/>
        <v>0</v>
      </c>
      <c r="E46" s="747">
        <f t="shared" si="5"/>
        <v>2.7986296243189432</v>
      </c>
      <c r="F46" s="747">
        <f t="shared" si="5"/>
        <v>349.21115850892915</v>
      </c>
      <c r="G46" s="747">
        <f t="shared" si="5"/>
        <v>0</v>
      </c>
      <c r="H46" s="747">
        <f t="shared" si="5"/>
        <v>72065.191690388718</v>
      </c>
      <c r="I46" s="747">
        <f t="shared" si="5"/>
        <v>11717.75772658268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84135.446737112739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179.61178972551266</v>
      </c>
      <c r="D48" s="702">
        <f ca="1">+landbouw!C12</f>
        <v>0</v>
      </c>
      <c r="E48" s="702">
        <f>+landbouw!D12</f>
        <v>1451.8684293924775</v>
      </c>
      <c r="F48" s="702">
        <f>+landbouw!E12</f>
        <v>2.4371201496406361</v>
      </c>
      <c r="G48" s="702">
        <f>+landbouw!F12</f>
        <v>1405.9251873510082</v>
      </c>
      <c r="H48" s="702">
        <f>+landbouw!G12</f>
        <v>0</v>
      </c>
      <c r="I48" s="702">
        <f>+landbouw!H12</f>
        <v>0</v>
      </c>
      <c r="J48" s="702">
        <f>+landbouw!I12</f>
        <v>0</v>
      </c>
      <c r="K48" s="702">
        <f>+landbouw!J12</f>
        <v>32.412369470524077</v>
      </c>
      <c r="L48" s="702">
        <f>+landbouw!K12</f>
        <v>0</v>
      </c>
      <c r="M48" s="702">
        <f>+landbouw!L12</f>
        <v>0</v>
      </c>
      <c r="N48" s="702">
        <f>+landbouw!M12</f>
        <v>0</v>
      </c>
      <c r="O48" s="702">
        <f>+landbouw!N12</f>
        <v>0</v>
      </c>
      <c r="P48" s="702">
        <f>+landbouw!O12</f>
        <v>0</v>
      </c>
      <c r="Q48" s="703">
        <f>+landbouw!P12</f>
        <v>0</v>
      </c>
      <c r="R48" s="745">
        <f ca="1">SUM(C48:Q48)</f>
        <v>3072.2548960891627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27954.984849009783</v>
      </c>
      <c r="D53" s="757">
        <f t="shared" ref="D53:Q53" ca="1" si="6">D41+D46+D48</f>
        <v>0</v>
      </c>
      <c r="E53" s="757">
        <f t="shared" ca="1" si="6"/>
        <v>40560.202361906639</v>
      </c>
      <c r="F53" s="757">
        <f t="shared" si="6"/>
        <v>1890.309079613166</v>
      </c>
      <c r="G53" s="757">
        <f t="shared" ca="1" si="6"/>
        <v>24886.115755992098</v>
      </c>
      <c r="H53" s="757">
        <f t="shared" si="6"/>
        <v>72065.191690388718</v>
      </c>
      <c r="I53" s="757">
        <f t="shared" si="6"/>
        <v>11717.75772658268</v>
      </c>
      <c r="J53" s="757">
        <f t="shared" si="6"/>
        <v>0</v>
      </c>
      <c r="K53" s="757">
        <f t="shared" si="6"/>
        <v>52.203884212370085</v>
      </c>
      <c r="L53" s="757">
        <f t="shared" si="6"/>
        <v>0</v>
      </c>
      <c r="M53" s="757">
        <f t="shared" ca="1" si="6"/>
        <v>0</v>
      </c>
      <c r="N53" s="757">
        <f t="shared" si="6"/>
        <v>0</v>
      </c>
      <c r="O53" s="757">
        <f t="shared" ca="1" si="6"/>
        <v>0</v>
      </c>
      <c r="P53" s="757">
        <f>P41+P46+P48</f>
        <v>0</v>
      </c>
      <c r="Q53" s="758">
        <f t="shared" si="6"/>
        <v>0</v>
      </c>
      <c r="R53" s="759">
        <f ca="1">R41+R46+R48</f>
        <v>179126.76534770546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0.17519526687655598</v>
      </c>
      <c r="D55" s="823">
        <f t="shared" ca="1" si="7"/>
        <v>0</v>
      </c>
      <c r="E55" s="823">
        <f t="shared" ca="1" si="7"/>
        <v>0.20200000000000004</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5261.5824196975645</v>
      </c>
      <c r="C66" s="779">
        <f>'lokale energieproductie'!B6</f>
        <v>5261.5824196975645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27810</v>
      </c>
      <c r="C68" s="778">
        <f>B68*IFERROR(SUM(J68:L68)/SUM(D68:M68),0)</f>
        <v>27810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69525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33071.582419697566</v>
      </c>
      <c r="C69" s="787">
        <f>SUM(C64:C68)</f>
        <v>33071.582419697566</v>
      </c>
      <c r="D69" s="788">
        <f t="shared" ref="D69:M69" si="8">SUM(D67:D68)</f>
        <v>0</v>
      </c>
      <c r="E69" s="788">
        <f t="shared" si="8"/>
        <v>0</v>
      </c>
      <c r="F69" s="788">
        <f t="shared" si="8"/>
        <v>0</v>
      </c>
      <c r="G69" s="788">
        <f t="shared" si="8"/>
        <v>0</v>
      </c>
      <c r="H69" s="788">
        <f t="shared" si="8"/>
        <v>0</v>
      </c>
      <c r="I69" s="788">
        <f t="shared" si="8"/>
        <v>0</v>
      </c>
      <c r="J69" s="788">
        <f t="shared" si="8"/>
        <v>69525</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52743.483952221861</v>
      </c>
      <c r="C4" s="461">
        <f>huishoudens!C8</f>
        <v>0</v>
      </c>
      <c r="D4" s="461">
        <f>huishoudens!D8</f>
        <v>106951.95257343964</v>
      </c>
      <c r="E4" s="461">
        <f>huishoudens!E8</f>
        <v>5239.2638262796027</v>
      </c>
      <c r="F4" s="461">
        <f>huishoudens!F8</f>
        <v>69270.51739402565</v>
      </c>
      <c r="G4" s="461">
        <f>huishoudens!G8</f>
        <v>0</v>
      </c>
      <c r="H4" s="461">
        <f>huishoudens!H8</f>
        <v>0</v>
      </c>
      <c r="I4" s="461">
        <f>huishoudens!I8</f>
        <v>0</v>
      </c>
      <c r="J4" s="461">
        <f>huishoudens!J8</f>
        <v>0</v>
      </c>
      <c r="K4" s="461">
        <f>huishoudens!K8</f>
        <v>0</v>
      </c>
      <c r="L4" s="461">
        <f>huishoudens!L8</f>
        <v>0</v>
      </c>
      <c r="M4" s="461">
        <f>huishoudens!M8</f>
        <v>0</v>
      </c>
      <c r="N4" s="461">
        <f>huishoudens!N8</f>
        <v>11484.080758051599</v>
      </c>
      <c r="O4" s="461">
        <f>huishoudens!O8</f>
        <v>89.11</v>
      </c>
      <c r="P4" s="462">
        <f>huishoudens!P8</f>
        <v>552.93333333333339</v>
      </c>
      <c r="Q4" s="463">
        <f>SUM(B4:P4)</f>
        <v>246331.34183735165</v>
      </c>
    </row>
    <row r="5" spans="1:17">
      <c r="A5" s="460" t="s">
        <v>156</v>
      </c>
      <c r="B5" s="461">
        <f ca="1">tertiair!B16</f>
        <v>92366.863218480037</v>
      </c>
      <c r="C5" s="461">
        <f ca="1">tertiair!C16</f>
        <v>0</v>
      </c>
      <c r="D5" s="461">
        <f ca="1">tertiair!D16</f>
        <v>75048.892119440425</v>
      </c>
      <c r="E5" s="461">
        <f>tertiair!E16</f>
        <v>1423.2310347591265</v>
      </c>
      <c r="F5" s="461">
        <f ca="1">tertiair!F16</f>
        <v>15688.759940442742</v>
      </c>
      <c r="G5" s="461">
        <f>tertiair!G16</f>
        <v>0</v>
      </c>
      <c r="H5" s="461">
        <f>tertiair!H16</f>
        <v>0</v>
      </c>
      <c r="I5" s="461">
        <f>tertiair!I16</f>
        <v>0</v>
      </c>
      <c r="J5" s="461">
        <f>tertiair!J16</f>
        <v>0</v>
      </c>
      <c r="K5" s="461">
        <f>tertiair!K16</f>
        <v>0</v>
      </c>
      <c r="L5" s="461">
        <f ca="1">tertiair!L16</f>
        <v>0</v>
      </c>
      <c r="M5" s="461">
        <f>tertiair!M16</f>
        <v>0</v>
      </c>
      <c r="N5" s="461">
        <f ca="1">tertiair!N16</f>
        <v>1306.8157240602677</v>
      </c>
      <c r="O5" s="461">
        <f>tertiair!O16</f>
        <v>3.1266666666666669</v>
      </c>
      <c r="P5" s="462">
        <f>tertiair!P16</f>
        <v>0</v>
      </c>
      <c r="Q5" s="460">
        <f t="shared" ref="Q5:Q13" ca="1" si="0">SUM(B5:P5)</f>
        <v>185837.68870384927</v>
      </c>
    </row>
    <row r="6" spans="1:17">
      <c r="A6" s="460" t="s">
        <v>195</v>
      </c>
      <c r="B6" s="461">
        <f>'openbare verlichting'!B8</f>
        <v>2038.8230000000001</v>
      </c>
      <c r="C6" s="461"/>
      <c r="D6" s="461"/>
      <c r="E6" s="461"/>
      <c r="F6" s="461"/>
      <c r="G6" s="461"/>
      <c r="H6" s="461"/>
      <c r="I6" s="461"/>
      <c r="J6" s="461"/>
      <c r="K6" s="461"/>
      <c r="L6" s="461"/>
      <c r="M6" s="461"/>
      <c r="N6" s="461"/>
      <c r="O6" s="461"/>
      <c r="P6" s="462"/>
      <c r="Q6" s="460">
        <f t="shared" si="0"/>
        <v>2038.8230000000001</v>
      </c>
    </row>
    <row r="7" spans="1:17">
      <c r="A7" s="460" t="s">
        <v>112</v>
      </c>
      <c r="B7" s="461">
        <f>landbouw!B8</f>
        <v>1025.2091447885325</v>
      </c>
      <c r="C7" s="461">
        <f>landbouw!C8</f>
        <v>0</v>
      </c>
      <c r="D7" s="461">
        <f>landbouw!D8</f>
        <v>7187.4674722399868</v>
      </c>
      <c r="E7" s="461">
        <f>landbouw!E8</f>
        <v>10.736212112954343</v>
      </c>
      <c r="F7" s="461">
        <f>landbouw!F8</f>
        <v>5265.6374058090187</v>
      </c>
      <c r="G7" s="461">
        <f>landbouw!G8</f>
        <v>0</v>
      </c>
      <c r="H7" s="461">
        <f>landbouw!H8</f>
        <v>0</v>
      </c>
      <c r="I7" s="461">
        <f>landbouw!I8</f>
        <v>0</v>
      </c>
      <c r="J7" s="461">
        <f>landbouw!J8</f>
        <v>91.560365735943719</v>
      </c>
      <c r="K7" s="461">
        <f>landbouw!K8</f>
        <v>0</v>
      </c>
      <c r="L7" s="461">
        <f>landbouw!L8</f>
        <v>0</v>
      </c>
      <c r="M7" s="461">
        <f>landbouw!M8</f>
        <v>0</v>
      </c>
      <c r="N7" s="461">
        <f>landbouw!N8</f>
        <v>0</v>
      </c>
      <c r="O7" s="461">
        <f>landbouw!O8</f>
        <v>0</v>
      </c>
      <c r="P7" s="462">
        <f>landbouw!P8</f>
        <v>0</v>
      </c>
      <c r="Q7" s="460">
        <f t="shared" si="0"/>
        <v>13580.610600686436</v>
      </c>
    </row>
    <row r="8" spans="1:17">
      <c r="A8" s="460" t="s">
        <v>656</v>
      </c>
      <c r="B8" s="461">
        <f>industrie!B18</f>
        <v>11387.564425253779</v>
      </c>
      <c r="C8" s="461">
        <f>industrie!C18</f>
        <v>0</v>
      </c>
      <c r="D8" s="461">
        <f>industrie!D18</f>
        <v>11590.914232317147</v>
      </c>
      <c r="E8" s="461">
        <f>industrie!E18</f>
        <v>115.74655285817039</v>
      </c>
      <c r="F8" s="461">
        <f>industrie!F18</f>
        <v>2981.511312127458</v>
      </c>
      <c r="G8" s="461">
        <f>industrie!G18</f>
        <v>0</v>
      </c>
      <c r="H8" s="461">
        <f>industrie!H18</f>
        <v>0</v>
      </c>
      <c r="I8" s="461">
        <f>industrie!I18</f>
        <v>0</v>
      </c>
      <c r="J8" s="461">
        <f>industrie!J18</f>
        <v>55.908233734028272</v>
      </c>
      <c r="K8" s="461">
        <f>industrie!K18</f>
        <v>0</v>
      </c>
      <c r="L8" s="461">
        <f>industrie!L18</f>
        <v>0</v>
      </c>
      <c r="M8" s="461">
        <f>industrie!M18</f>
        <v>0</v>
      </c>
      <c r="N8" s="461">
        <f>industrie!N18</f>
        <v>273.56794479137216</v>
      </c>
      <c r="O8" s="461">
        <f>industrie!O18</f>
        <v>0</v>
      </c>
      <c r="P8" s="462">
        <f>industrie!P18</f>
        <v>0</v>
      </c>
      <c r="Q8" s="460">
        <f t="shared" si="0"/>
        <v>26405.212701081957</v>
      </c>
    </row>
    <row r="9" spans="1:17" s="466" customFormat="1">
      <c r="A9" s="464" t="s">
        <v>574</v>
      </c>
      <c r="B9" s="465">
        <f>transport!B14</f>
        <v>2.7827921197946441</v>
      </c>
      <c r="C9" s="465">
        <f>transport!C14</f>
        <v>0</v>
      </c>
      <c r="D9" s="465">
        <f>transport!D14</f>
        <v>13.854602100588826</v>
      </c>
      <c r="E9" s="465">
        <f>transport!E14</f>
        <v>1538.375147616428</v>
      </c>
      <c r="F9" s="465">
        <f>transport!F14</f>
        <v>0</v>
      </c>
      <c r="G9" s="465">
        <f>transport!G14</f>
        <v>264647.08007992175</v>
      </c>
      <c r="H9" s="465">
        <f>transport!H14</f>
        <v>47059.267978243697</v>
      </c>
      <c r="I9" s="465">
        <f>transport!I14</f>
        <v>0</v>
      </c>
      <c r="J9" s="465">
        <f>transport!J14</f>
        <v>0</v>
      </c>
      <c r="K9" s="465">
        <f>transport!K14</f>
        <v>0</v>
      </c>
      <c r="L9" s="465">
        <f>transport!L14</f>
        <v>0</v>
      </c>
      <c r="M9" s="465">
        <f>transport!M14</f>
        <v>13605.270318660205</v>
      </c>
      <c r="N9" s="465">
        <f>transport!N14</f>
        <v>0</v>
      </c>
      <c r="O9" s="465">
        <f>transport!O14</f>
        <v>0</v>
      </c>
      <c r="P9" s="465">
        <f>transport!P14</f>
        <v>0</v>
      </c>
      <c r="Q9" s="464">
        <f>SUM(B9:P9)</f>
        <v>326866.63091866247</v>
      </c>
    </row>
    <row r="10" spans="1:17">
      <c r="A10" s="460" t="s">
        <v>564</v>
      </c>
      <c r="B10" s="461">
        <f>transport!B54</f>
        <v>0</v>
      </c>
      <c r="C10" s="461">
        <f>transport!C54</f>
        <v>0</v>
      </c>
      <c r="D10" s="461">
        <f>transport!D54</f>
        <v>0</v>
      </c>
      <c r="E10" s="461">
        <f>transport!E54</f>
        <v>0</v>
      </c>
      <c r="F10" s="461">
        <f>transport!F54</f>
        <v>0</v>
      </c>
      <c r="G10" s="461">
        <f>transport!G54</f>
        <v>5260.0049028075273</v>
      </c>
      <c r="H10" s="461">
        <f>transport!H54</f>
        <v>0</v>
      </c>
      <c r="I10" s="461">
        <f>transport!I54</f>
        <v>0</v>
      </c>
      <c r="J10" s="461">
        <f>transport!J54</f>
        <v>0</v>
      </c>
      <c r="K10" s="461">
        <f>transport!K54</f>
        <v>0</v>
      </c>
      <c r="L10" s="461">
        <f>transport!L54</f>
        <v>0</v>
      </c>
      <c r="M10" s="461">
        <f>transport!M54</f>
        <v>224.21115703864336</v>
      </c>
      <c r="N10" s="461">
        <f>transport!N54</f>
        <v>0</v>
      </c>
      <c r="O10" s="461">
        <f>transport!O54</f>
        <v>0</v>
      </c>
      <c r="P10" s="462">
        <f>transport!P54</f>
        <v>0</v>
      </c>
      <c r="Q10" s="460">
        <f t="shared" si="0"/>
        <v>5484.2160598461705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159564.72653286401</v>
      </c>
      <c r="C14" s="471">
        <f t="shared" ref="C14:Q14" ca="1" si="1">SUM(C4:C13)</f>
        <v>0</v>
      </c>
      <c r="D14" s="471">
        <f t="shared" ca="1" si="1"/>
        <v>200793.08099953778</v>
      </c>
      <c r="E14" s="471">
        <f t="shared" si="1"/>
        <v>8327.3527736262822</v>
      </c>
      <c r="F14" s="471">
        <f t="shared" ca="1" si="1"/>
        <v>93206.426052404873</v>
      </c>
      <c r="G14" s="471">
        <f t="shared" si="1"/>
        <v>269907.08498272928</v>
      </c>
      <c r="H14" s="471">
        <f t="shared" si="1"/>
        <v>47059.267978243697</v>
      </c>
      <c r="I14" s="471">
        <f t="shared" si="1"/>
        <v>0</v>
      </c>
      <c r="J14" s="471">
        <f t="shared" si="1"/>
        <v>147.46859946997199</v>
      </c>
      <c r="K14" s="471">
        <f t="shared" si="1"/>
        <v>0</v>
      </c>
      <c r="L14" s="471">
        <f t="shared" ca="1" si="1"/>
        <v>0</v>
      </c>
      <c r="M14" s="471">
        <f t="shared" si="1"/>
        <v>13829.481475698849</v>
      </c>
      <c r="N14" s="471">
        <f t="shared" ca="1" si="1"/>
        <v>13064.46442690324</v>
      </c>
      <c r="O14" s="471">
        <f t="shared" si="1"/>
        <v>92.236666666666665</v>
      </c>
      <c r="P14" s="472">
        <f t="shared" si="1"/>
        <v>552.93333333333339</v>
      </c>
      <c r="Q14" s="472">
        <f t="shared" ca="1" si="1"/>
        <v>806544.52382147789</v>
      </c>
    </row>
    <row r="16" spans="1:17">
      <c r="A16" s="474" t="s">
        <v>569</v>
      </c>
      <c r="B16" s="828">
        <f ca="1">huishoudens!B10</f>
        <v>0.17519526687655598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9240.4087470088562</v>
      </c>
      <c r="C21" s="461">
        <f t="shared" ref="C21:C30" ca="1" si="3">C4*$C$16</f>
        <v>0</v>
      </c>
      <c r="D21" s="461">
        <f t="shared" ref="D21:D30" si="4">D4*$D$16</f>
        <v>21604.294419834809</v>
      </c>
      <c r="E21" s="461">
        <f t="shared" ref="E21:E30" si="5">E4*$E$16</f>
        <v>1189.3128885654698</v>
      </c>
      <c r="F21" s="461">
        <f t="shared" ref="F21:F30" si="6">F4*$F$16</f>
        <v>18495.228144204848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50529.244199613982</v>
      </c>
    </row>
    <row r="22" spans="1:17">
      <c r="A22" s="460" t="s">
        <v>156</v>
      </c>
      <c r="B22" s="461">
        <f t="shared" ca="1" si="2"/>
        <v>16182.237252111952</v>
      </c>
      <c r="C22" s="461">
        <f t="shared" ca="1" si="3"/>
        <v>0</v>
      </c>
      <c r="D22" s="461">
        <f t="shared" ca="1" si="4"/>
        <v>15159.876208126967</v>
      </c>
      <c r="E22" s="461">
        <f t="shared" si="5"/>
        <v>323.0734448903217</v>
      </c>
      <c r="F22" s="461">
        <f t="shared" ca="1" si="6"/>
        <v>4188.8989040982124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35854.085809227458</v>
      </c>
    </row>
    <row r="23" spans="1:17">
      <c r="A23" s="460" t="s">
        <v>195</v>
      </c>
      <c r="B23" s="461">
        <f t="shared" ca="1" si="2"/>
        <v>357.19213959906051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357.19213959906051</v>
      </c>
    </row>
    <row r="24" spans="1:17">
      <c r="A24" s="460" t="s">
        <v>112</v>
      </c>
      <c r="B24" s="461">
        <f t="shared" ca="1" si="2"/>
        <v>179.61178972551266</v>
      </c>
      <c r="C24" s="461">
        <f t="shared" ca="1" si="3"/>
        <v>0</v>
      </c>
      <c r="D24" s="461">
        <f t="shared" si="4"/>
        <v>1451.8684293924775</v>
      </c>
      <c r="E24" s="461">
        <f t="shared" si="5"/>
        <v>2.4371201496406361</v>
      </c>
      <c r="F24" s="461">
        <f t="shared" si="6"/>
        <v>1405.9251873510082</v>
      </c>
      <c r="G24" s="461">
        <f t="shared" si="7"/>
        <v>0</v>
      </c>
      <c r="H24" s="461">
        <f t="shared" si="8"/>
        <v>0</v>
      </c>
      <c r="I24" s="461">
        <f t="shared" si="9"/>
        <v>0</v>
      </c>
      <c r="J24" s="461">
        <f t="shared" si="10"/>
        <v>32.412369470524077</v>
      </c>
      <c r="K24" s="461">
        <f t="shared" si="11"/>
        <v>0</v>
      </c>
      <c r="L24" s="461">
        <f t="shared" si="12"/>
        <v>0</v>
      </c>
      <c r="M24" s="461">
        <f t="shared" si="13"/>
        <v>0</v>
      </c>
      <c r="N24" s="461">
        <f t="shared" si="14"/>
        <v>0</v>
      </c>
      <c r="O24" s="461">
        <f t="shared" si="15"/>
        <v>0</v>
      </c>
      <c r="P24" s="462">
        <f t="shared" si="16"/>
        <v>0</v>
      </c>
      <c r="Q24" s="460">
        <f t="shared" ca="1" si="17"/>
        <v>3072.2548960891627</v>
      </c>
    </row>
    <row r="25" spans="1:17">
      <c r="A25" s="460" t="s">
        <v>656</v>
      </c>
      <c r="B25" s="461">
        <f t="shared" ca="1" si="2"/>
        <v>1995.0473885563106</v>
      </c>
      <c r="C25" s="461">
        <f t="shared" ca="1" si="3"/>
        <v>0</v>
      </c>
      <c r="D25" s="461">
        <f t="shared" si="4"/>
        <v>2341.3646749280638</v>
      </c>
      <c r="E25" s="461">
        <f t="shared" si="5"/>
        <v>26.274467498804679</v>
      </c>
      <c r="F25" s="461">
        <f t="shared" si="6"/>
        <v>796.06352033803137</v>
      </c>
      <c r="G25" s="461">
        <f t="shared" si="7"/>
        <v>0</v>
      </c>
      <c r="H25" s="461">
        <f t="shared" si="8"/>
        <v>0</v>
      </c>
      <c r="I25" s="461">
        <f t="shared" si="9"/>
        <v>0</v>
      </c>
      <c r="J25" s="461">
        <f t="shared" si="10"/>
        <v>19.791514741846008</v>
      </c>
      <c r="K25" s="461">
        <f t="shared" si="11"/>
        <v>0</v>
      </c>
      <c r="L25" s="461">
        <f t="shared" si="12"/>
        <v>0</v>
      </c>
      <c r="M25" s="461">
        <f t="shared" si="13"/>
        <v>0</v>
      </c>
      <c r="N25" s="461">
        <f t="shared" si="14"/>
        <v>0</v>
      </c>
      <c r="O25" s="461">
        <f t="shared" si="15"/>
        <v>0</v>
      </c>
      <c r="P25" s="462">
        <f t="shared" si="16"/>
        <v>0</v>
      </c>
      <c r="Q25" s="460">
        <f t="shared" ca="1" si="17"/>
        <v>5178.541566063057</v>
      </c>
    </row>
    <row r="26" spans="1:17" s="466" customFormat="1">
      <c r="A26" s="464" t="s">
        <v>574</v>
      </c>
      <c r="B26" s="822">
        <f t="shared" ca="1" si="2"/>
        <v>0.48753200808939962</v>
      </c>
      <c r="C26" s="465">
        <f t="shared" ca="1" si="3"/>
        <v>0</v>
      </c>
      <c r="D26" s="465">
        <f t="shared" si="4"/>
        <v>2.7986296243189432</v>
      </c>
      <c r="E26" s="465">
        <f t="shared" si="5"/>
        <v>349.21115850892915</v>
      </c>
      <c r="F26" s="465">
        <f t="shared" si="6"/>
        <v>0</v>
      </c>
      <c r="G26" s="465">
        <f t="shared" si="7"/>
        <v>70660.770381339113</v>
      </c>
      <c r="H26" s="465">
        <f t="shared" si="8"/>
        <v>11717.75772658268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82731.025428063134</v>
      </c>
    </row>
    <row r="27" spans="1:17">
      <c r="A27" s="460" t="s">
        <v>564</v>
      </c>
      <c r="B27" s="461">
        <f t="shared" ca="1" si="2"/>
        <v>0</v>
      </c>
      <c r="C27" s="461">
        <f t="shared" ca="1" si="3"/>
        <v>0</v>
      </c>
      <c r="D27" s="461">
        <f t="shared" si="4"/>
        <v>0</v>
      </c>
      <c r="E27" s="461">
        <f t="shared" si="5"/>
        <v>0</v>
      </c>
      <c r="F27" s="461">
        <f t="shared" si="6"/>
        <v>0</v>
      </c>
      <c r="G27" s="461">
        <f t="shared" si="7"/>
        <v>1404.4213090496098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1404.4213090496098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27954.984849009787</v>
      </c>
      <c r="C31" s="471">
        <f t="shared" ca="1" si="18"/>
        <v>0</v>
      </c>
      <c r="D31" s="471">
        <f t="shared" ca="1" si="18"/>
        <v>40560.202361906639</v>
      </c>
      <c r="E31" s="471">
        <f t="shared" si="18"/>
        <v>1890.309079613166</v>
      </c>
      <c r="F31" s="471">
        <f t="shared" ca="1" si="18"/>
        <v>24886.115755992098</v>
      </c>
      <c r="G31" s="471">
        <f t="shared" si="18"/>
        <v>72065.191690388718</v>
      </c>
      <c r="H31" s="471">
        <f t="shared" si="18"/>
        <v>11717.75772658268</v>
      </c>
      <c r="I31" s="471">
        <f t="shared" si="18"/>
        <v>0</v>
      </c>
      <c r="J31" s="471">
        <f t="shared" si="18"/>
        <v>52.203884212370085</v>
      </c>
      <c r="K31" s="471">
        <f t="shared" si="18"/>
        <v>0</v>
      </c>
      <c r="L31" s="471">
        <f t="shared" ca="1" si="18"/>
        <v>0</v>
      </c>
      <c r="M31" s="471">
        <f t="shared" si="18"/>
        <v>0</v>
      </c>
      <c r="N31" s="471">
        <f t="shared" ca="1" si="18"/>
        <v>0</v>
      </c>
      <c r="O31" s="471">
        <f t="shared" si="18"/>
        <v>0</v>
      </c>
      <c r="P31" s="472">
        <f t="shared" si="18"/>
        <v>0</v>
      </c>
      <c r="Q31" s="472">
        <f t="shared" ca="1" si="18"/>
        <v>179126.76534770548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0.17519526687655598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0.17519526687655598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0.17519526687655598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2018-06-27T09:00:00Z</dcterms:modified>
</cp:coreProperties>
</file>