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J8" s="1"/>
  <c r="U88"/>
  <c r="T88"/>
  <c r="S88"/>
  <c r="R8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3" i="15" l="1"/>
  <c r="C16" s="1"/>
  <c r="D10" i="14" s="1"/>
  <c r="C18" i="16"/>
  <c r="C8" i="48" s="1"/>
  <c r="N16" i="16"/>
  <c r="B13" i="15"/>
  <c r="F6" i="17"/>
  <c r="F8" s="1"/>
  <c r="D16" i="16"/>
  <c r="O80" i="14"/>
  <c r="L68"/>
  <c r="L69" s="1"/>
  <c r="H68"/>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J79"/>
  <c r="E68"/>
  <c r="E69" s="1"/>
  <c r="I68"/>
  <c r="I69" s="1"/>
  <c r="M68"/>
  <c r="M69" s="1"/>
  <c r="D19" i="18"/>
  <c r="H19"/>
  <c r="L19"/>
  <c r="B68" i="14"/>
  <c r="G68"/>
  <c r="G69" s="1"/>
  <c r="K68"/>
  <c r="E81"/>
  <c r="I81"/>
  <c r="M81"/>
  <c r="B19" i="18"/>
  <c r="F19"/>
  <c r="D11" i="14"/>
  <c r="C4" i="48"/>
  <c r="M8" i="18"/>
  <c r="M17"/>
  <c r="M18"/>
  <c r="D13" i="14"/>
  <c r="G22" l="1"/>
  <c r="F12" i="17"/>
  <c r="G48" i="14" s="1"/>
  <c r="F7" i="48"/>
  <c r="F24" s="1"/>
  <c r="L8" i="17"/>
  <c r="L7" i="48" s="1"/>
  <c r="L24" s="1"/>
  <c r="L5" i="17"/>
  <c r="F81" i="14"/>
  <c r="D100" i="18"/>
  <c r="G100"/>
  <c r="L29" i="48"/>
  <c r="E100" i="18"/>
  <c r="E7" s="1"/>
  <c r="H100"/>
  <c r="O78" i="14"/>
  <c r="K14" i="48"/>
  <c r="L30"/>
  <c r="L23"/>
  <c r="B100" i="18"/>
  <c r="C7" s="1"/>
  <c r="B35" i="13"/>
  <c r="B47" s="1"/>
  <c r="N8" i="17"/>
  <c r="N5"/>
  <c r="E19" i="18"/>
  <c r="J16"/>
  <c r="K78" i="14" s="1"/>
  <c r="K81" s="1"/>
  <c r="H9" i="18"/>
  <c r="M28" i="48"/>
  <c r="C100" i="18"/>
  <c r="I16"/>
  <c r="L12" i="17"/>
  <c r="M48" i="14" s="1"/>
  <c r="D81"/>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N12" i="17"/>
  <c r="O48" i="14" s="1"/>
  <c r="N7" i="48"/>
  <c r="N24" s="1"/>
  <c r="C9" i="18"/>
  <c r="D67" i="14"/>
  <c r="J78"/>
  <c r="I19" i="18"/>
  <c r="F67" i="14"/>
  <c r="F69" s="1"/>
  <c r="E9" i="18"/>
  <c r="E13" i="14"/>
  <c r="E15" s="1"/>
  <c r="E23" s="1"/>
  <c r="C14" i="48"/>
  <c r="Q13"/>
  <c r="D8"/>
  <c r="D25" s="1"/>
  <c r="M22" i="14"/>
  <c r="R22" s="1"/>
  <c r="E20" i="15"/>
  <c r="F36" i="14" s="1"/>
  <c r="E16" i="15"/>
  <c r="E5" i="48" s="1"/>
  <c r="E22" s="1"/>
  <c r="K67" i="14"/>
  <c r="K69" s="1"/>
  <c r="J9" i="18"/>
  <c r="J67" i="14"/>
  <c r="I9" i="18"/>
  <c r="M7"/>
  <c r="M9" s="1"/>
  <c r="J16" i="15"/>
  <c r="K10"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5" i="48" l="1"/>
  <c r="J22" s="1"/>
  <c r="D69" i="14"/>
  <c r="O67"/>
  <c r="Q7" i="48"/>
  <c r="J20" i="15"/>
  <c r="K36" i="14" s="1"/>
  <c r="M18" i="22"/>
  <c r="N45" i="14" s="1"/>
  <c r="C78"/>
  <c r="C81" s="1"/>
  <c r="J8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<sst xmlns="http://schemas.openxmlformats.org/spreadsheetml/2006/main" count="2101" uniqueCount="927">
  <si>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</si>
  <si>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</si>
  <si>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</si>
  <si>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</si>
  <si>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</si>
  <si>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</si>
  <si>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</si>
  <si>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</si>
  <si>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</si>
  <si>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</si>
  <si>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</si>
  <si>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</si>
  <si>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</si>
  <si>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</si>
  <si>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</si>
  <si>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</si>
  <si>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</si>
  <si>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</si>
  <si>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</si>
  <si>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</si>
  <si>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</si>
  <si>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</si>
  <si>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</si>
  <si>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</si>
  <si>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</si>
  <si>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</si>
  <si>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</si>
  <si>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</si>
  <si>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</si>
  <si>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</si>
  <si>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</si>
  <si>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</si>
  <si>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</si>
  <si>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</si>
  <si>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</si>
  <si>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</si>
  <si>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</si>
  <si>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</si>
  <si>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</si>
  <si>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</si>
  <si>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</si>
  <si>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</si>
  <si>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</si>
  <si>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</si>
  <si>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</si>
  <si>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</si>
  <si>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</si>
  <si>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</si>
  <si>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</si>
  <si>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</si>
  <si>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</si>
  <si>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</si>
  <si>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</si>
  <si>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</si>
  <si>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</si>
  <si>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</si>
  <si>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</si>
  <si>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</si>
  <si>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</si>
  <si>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</si>
  <si>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</si>
  <si>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</si>
  <si>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</si>
  <si>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</si>
  <si>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</si>
  <si>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</si>
  <si>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</si>
  <si>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</si>
  <si>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</si>
  <si>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</si>
  <si>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</si>
  <si>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</si>
  <si>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</si>
  <si>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</si>
  <si>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</si>
  <si>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</si>
  <si>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</si>
  <si>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</si>
  <si>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</si>
  <si>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</si>
  <si>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</si>
  <si>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</si>
  <si>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</si>
  <si>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</si>
  <si>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</si>
  <si>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</si>
  <si>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</si>
  <si>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</si>
  <si>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</si>
  <si>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</si>
  <si>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</si>
  <si>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</si>
  <si>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</si>
  <si>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</si>
  <si>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</si>
  <si>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</si>
  <si>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</si>
  <si>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</si>
  <si>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</si>
  <si>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</si>
  <si>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</si>
  <si>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</si>
  <si>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</si>
  <si>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</si>
  <si>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</si>
  <si>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</si>
  <si>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</si>
  <si>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</si>
  <si>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</si>
  <si>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</si>
  <si>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</si>
  <si>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</si>
  <si>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</si>
  <si>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</si>
  <si>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</si>
  <si>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</si>
  <si>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</si>
  <si>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</si>
  <si>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</si>
  <si>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</si>
  <si>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</si>
  <si>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</si>
  <si>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</si>
  <si>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</si>
  <si>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</si>
  <si>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</si>
  <si>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</si>
  <si>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</si>
  <si>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</si>
  <si>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</si>
  <si>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</si>
  <si>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</si>
  <si>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</si>
  <si>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</si>
  <si>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</si>
  <si>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</si>
  <si>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</si>
  <si>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</si>
  <si>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</si>
  <si>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</si>
  <si>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</si>
  <si>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</si>
  <si>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</si>
  <si>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</si>
  <si>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</si>
  <si>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</si>
  <si>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</si>
  <si>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</si>
  <si>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</si>
  <si>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</si>
  <si>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</si>
  <si>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</si>
  <si>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</si>
  <si>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</si>
  <si>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</si>
  <si>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</si>
  <si>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</si>
  <si>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</si>
  <si>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</si>
  <si>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</si>
  <si>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</si>
  <si>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</si>
  <si>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</si>
  <si>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</si>
  <si>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</si>
  <si>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</si>
  <si>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</si>
  <si>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</si>
  <si>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</si>
  <si>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</si>
  <si>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</si>
  <si>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</si>
  <si>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</si>
  <si>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</si>
  <si>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</si>
  <si>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</si>
  <si>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</si>
  <si>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</si>
  <si>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</si>
  <si>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</si>
  <si>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</si>
  <si>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</si>
  <si>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</si>
  <si>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</si>
  <si>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</si>
  <si>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</si>
  <si>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</si>
  <si>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</si>
  <si>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</si>
  <si>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</si>
  <si>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</si>
  <si>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</si>
  <si>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</si>
  <si>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</si>
  <si>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</si>
  <si>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</si>
  <si>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</si>
  <si>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</si>
  <si>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</si>
  <si>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</si>
  <si>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</si>
  <si>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</si>
  <si>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</si>
  <si>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</si>
  <si>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</si>
  <si>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</si>
  <si>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</si>
  <si>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</si>
  <si>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</si>
  <si>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</si>
  <si>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</si>
  <si>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</si>
  <si>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</si>
  <si>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</si>
  <si>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</si>
  <si>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</si>
  <si>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</si>
  <si>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</si>
  <si>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</si>
  <si>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</si>
  <si>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</si>
  <si>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</si>
  <si>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</si>
  <si>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</si>
  <si>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</si>
  <si>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</si>
  <si>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</si>
  <si>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</si>
  <si>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</si>
  <si>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</si>
  <si>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</si>
  <si>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</si>
  <si>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</si>
  <si>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</si>
  <si>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</si>
  <si>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</si>
  <si>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</si>
  <si>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</si>
  <si>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</si>
  <si>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</si>
  <si>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</si>
  <si>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</si>
  <si>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</si>
  <si>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</si>
  <si>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</si>
  <si>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</si>
  <si>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</si>
  <si>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</si>
  <si>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</si>
  <si>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</si>
  <si>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</si>
  <si>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</si>
  <si>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</si>
  <si>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</si>
  <si>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</si>
  <si>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</si>
  <si>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</si>
  <si>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</si>
  <si>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</si>
  <si>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</si>
  <si>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</si>
  <si>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</si>
  <si>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</si>
  <si>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</si>
  <si>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</si>
  <si>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</si>
  <si>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</si>
  <si>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</si>
  <si>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</si>
  <si>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</si>
  <si>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</si>
  <si>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</si>
  <si>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</si>
  <si>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</si>
  <si>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</si>
  <si>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</si>
  <si>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</si>
  <si>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</si>
  <si>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</si>
  <si>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</si>
  <si>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</si>
  <si>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</si>
  <si>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</si>
  <si>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</si>
  <si>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</si>
  <si>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</si>
  <si>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</si>
  <si>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</si>
  <si>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</si>
  <si>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</si>
  <si>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</si>
  <si>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</si>
  <si>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</si>
  <si>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</si>
  <si>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</si>
  <si>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</si>
  <si>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</si>
  <si>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</si>
  <si>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</si>
  <si>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</si>
  <si>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</si>
  <si>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</si>
  <si>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</si>
  <si>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</si>
  <si>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</si>
  <si>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</si>
  <si>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</si>
  <si>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</si>
  <si>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</si>
  <si>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</si>
  <si>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</si>
  <si>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</si>
  <si>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</si>
  <si>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</si>
  <si>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</si>
  <si>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</si>
  <si>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</si>
  <si>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</si>
  <si>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</si>
  <si>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</si>
  <si>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</si>
  <si>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</si>
  <si>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</si>
  <si>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</si>
  <si>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</si>
  <si>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</si>
  <si>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</si>
  <si>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</si>
  <si>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</si>
  <si>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</si>
  <si>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</si>
  <si>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</si>
  <si>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</si>
  <si>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</si>
  <si>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</si>
  <si>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</si>
  <si>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</si>
  <si>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</si>
  <si>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</si>
  <si>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</si>
  <si>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</si>
  <si>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</si>
  <si>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</si>
  <si>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</si>
  <si>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</si>
  <si>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</si>
  <si>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</si>
  <si>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</si>
  <si>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</si>
  <si>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</si>
  <si>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</si>
  <si>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</si>
  <si>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</si>
  <si>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</si>
  <si>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</si>
  <si>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</si>
  <si>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</si>
  <si>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</si>
  <si>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</si>
  <si>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</si>
  <si>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</si>
  <si>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</si>
  <si>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</si>
  <si>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</si>
  <si>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</si>
  <si>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</si>
  <si>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</si>
  <si>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</si>
  <si>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</si>
  <si>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</si>
  <si>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</si>
  <si>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</si>
  <si>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</si>
  <si>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</si>
  <si>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</si>
  <si>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</si>
  <si>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</si>
  <si>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</si>
  <si>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</si>
  <si>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</si>
  <si>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</si>
  <si>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</si>
  <si>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</si>
  <si>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</si>
  <si>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</si>
  <si>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</si>
  <si>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</si>
  <si>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</si>
  <si>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</si>
  <si>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</si>
  <si>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</si>
  <si>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</si>
  <si>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</si>
  <si>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</si>
  <si>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</si>
  <si>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</si>
  <si>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</si>
  <si>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</si>
  <si>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</si>
  <si>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</si>
  <si>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</si>
  <si>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</si>
  <si>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</si>
  <si>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</si>
  <si>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</si>
  <si>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</si>
  <si>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</si>
  <si>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</si>
  <si>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</si>
  <si>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</si>
  <si>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</si>
  <si>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</si>
  <si>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</si>
  <si>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</si>
  <si>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</si>
  <si>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</si>
  <si>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</si>
  <si>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</si>
  <si>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</si>
  <si>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</si>
  <si>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</si>
  <si>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</si>
  <si>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</si>
  <si>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</si>
  <si>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</si>
  <si>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</si>
  <si>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</si>
  <si>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</si>
  <si>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</si>
  <si>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</si>
  <si>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</si>
  <si>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</si>
  <si>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</si>
  <si>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</si>
  <si>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</si>
  <si>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</si>
  <si>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</si>
  <si>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</si>
  <si>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</si>
  <si>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</si>
  <si>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</si>
  <si>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</si>
  <si>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</si>
  <si>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</si>
  <si>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</si>
  <si>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</si>
  <si>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</si>
  <si>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</si>
  <si>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</si>
  <si>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</si>
  <si>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</si>
  <si>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</si>
  <si>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</si>
  <si>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</si>
  <si>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</si>
  <si>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</si>
  <si>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</si>
  <si>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</si>
  <si>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</si>
  <si>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</si>
  <si>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</si>
  <si>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</si>
  <si>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</si>
  <si>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</si>
  <si>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</si>
  <si>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</si>
  <si>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</si>
  <si>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</si>
  <si>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</si>
  <si>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</si>
  <si>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</si>
  <si>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</si>
  <si>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</si>
  <si>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</si>
  <si>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</si>
  <si>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</si>
  <si>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</si>
  <si>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</si>
  <si>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</si>
  <si>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</si>
  <si>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</si>
  <si>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</si>
  <si>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</si>
  <si>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</si>
  <si>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</si>
  <si>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</si>
  <si>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</si>
  <si>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</si>
  <si>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</si>
  <si>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</si>
  <si>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</si>
  <si>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</si>
  <si>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</si>
  <si>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</si>
  <si>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</si>
  <si>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</si>
  <si>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</si>
  <si>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</si>
  <si>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</si>
  <si>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</si>
  <si>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</si>
  <si>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</si>
  <si>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</si>
  <si>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</si>
  <si>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</si>
  <si>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</si>
  <si>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</si>
  <si>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</si>
  <si>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</si>
  <si>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</si>
  <si>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</si>
  <si>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</si>
  <si>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</si>
  <si>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</si>
  <si>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</si>
  <si>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</si>
  <si>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</si>
  <si>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</si>
  <si>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</si>
  <si>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</si>
  <si>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</si>
  <si>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</si>
  <si>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</si>
  <si>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</si>
  <si>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</si>
  <si>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</si>
  <si>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</si>
  <si>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</si>
  <si>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</si>
  <si>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</si>
  <si>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</si>
  <si>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</si>
  <si>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</si>
  <si>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</si>
  <si>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</si>
  <si>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</si>
  <si>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</si>
  <si>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</si>
  <si>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</si>
  <si>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</si>
  <si>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</si>
  <si>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</si>
  <si>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</si>
  <si>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</si>
  <si>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</si>
  <si>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</si>
  <si>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</si>
  <si>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</si>
  <si>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</si>
  <si>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</si>
  <si>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</si>
  <si>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</si>
  <si>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</si>
  <si>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</si>
  <si>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</si>
  <si>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</si>
  <si>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</si>
  <si>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</si>
  <si>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</si>
  <si>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</si>
  <si>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</si>
  <si>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</si>
  <si>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</si>
  <si>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</si>
  <si>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</si>
  <si>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</si>
  <si>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</si>
  <si>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</si>
  <si>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</si>
  <si>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</si>
  <si>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</si>
  <si>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</si>
  <si>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</si>
  <si>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</si>
  <si>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</si>
  <si>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</si>
  <si>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</si>
  <si>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</si>
  <si>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</si>
  <si>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</si>
  <si>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</si>
  <si>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</si>
  <si>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</si>
  <si>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</si>
  <si>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</si>
  <si>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</si>
  <si>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</si>
  <si>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</si>
  <si>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</si>
  <si>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</si>
  <si>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</si>
  <si>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</si>
  <si>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</si>
  <si>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</si>
  <si>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</si>
  <si>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</si>
  <si>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</si>
  <si>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</si>
  <si>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</si>
  <si>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</si>
  <si>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</si>
  <si>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</si>
  <si>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</si>
  <si>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</si>
  <si>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</si>
  <si>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</si>
  <si>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</si>
  <si>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</si>
  <si>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</si>
  <si>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</si>
  <si>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</si>
  <si>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</si>
  <si>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</si>
  <si>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</si>
  <si>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</si>
  <si>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</si>
  <si>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</si>
  <si>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</si>
  <si>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</si>
  <si>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</si>
  <si>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</si>
  <si>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</si>
  <si>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</si>
  <si>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</si>
  <si>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</si>
  <si>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</si>
  <si>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</si>
  <si>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</si>
  <si>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</si>
  <si>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</si>
  <si>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</si>
  <si>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</si>
  <si>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</si>
  <si>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</si>
  <si>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</si>
  <si>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</si>
  <si>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</si>
  <si>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</si>
  <si>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</si>
  <si>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</si>
  <si>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</si>
  <si>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</si>
  <si>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</si>
  <si>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</si>
  <si>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</si>
  <si>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</si>
  <si>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</si>
  <si>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</si>
  <si>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</si>
  <si>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</si>
  <si>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</si>
  <si>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</si>
  <si>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</si>
  <si>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</si>
  <si>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</si>
  <si>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</si>
  <si>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</si>
  <si>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</si>
  <si>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</si>
  <si>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</si>
  <si>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</si>
  <si>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</si>
  <si>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</si>
  <si>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</si>
  <si>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</si>
  <si>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</si>
  <si>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</si>
  <si>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</si>
  <si>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</si>
  <si>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</si>
  <si>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</si>
  <si>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</si>
  <si>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</si>
  <si>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</si>
  <si>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</si>
  <si>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</si>
  <si>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</si>
  <si>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</si>
  <si>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</si>
  <si>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</si>
  <si>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</si>
  <si>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</si>
  <si>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</si>
  <si>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</si>
  <si>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</si>
  <si>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</si>
  <si>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</si>
  <si>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</si>
  <si>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</si>
  <si>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</si>
  <si>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</si>
  <si>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</si>
  <si>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</si>
  <si>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</si>
  <si>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</si>
  <si>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</si>
  <si>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</si>
  <si>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</si>
  <si>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</si>
  <si>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</si>
  <si>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</si>
  <si>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</si>
  <si>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</si>
  <si>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</si>
  <si>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</si>
  <si>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</si>
  <si>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</si>
  <si>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</si>
  <si>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</si>
  <si>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</si>
  <si>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</si>
  <si>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</si>
  <si>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</si>
  <si>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</si>
  <si>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</si>
  <si>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</si>
  <si>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</si>
  <si>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</si>
  <si>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</si>
  <si>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</si>
  <si>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</si>
  <si>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</si>
  <si>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</si>
  <si>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</si>
  <si>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</si>
  <si>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</si>
  <si>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</si>
  <si>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</si>
  <si>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</si>
  <si>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</si>
  <si>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</si>
  <si>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</si>
  <si>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</si>
  <si>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</si>
  <si>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</si>
  <si>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</si>
  <si>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</si>
  <si>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</si>
  <si>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</si>
  <si>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</si>
  <si>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</si>
  <si>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</si>
  <si>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</si>
  <si>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</si>
  <si>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</si>
  <si>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</si>
  <si>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</si>
  <si>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</si>
  <si>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</si>
  <si>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</si>
  <si>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</si>
  <si>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</si>
  <si>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</si>
  <si>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</si>
  <si>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</si>
  <si>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</si>
  <si>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</si>
  <si>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</si>
  <si>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</si>
  <si>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</si>
  <si>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</si>
  <si>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</si>
  <si>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</si>
  <si>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</si>
  <si>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</si>
  <si>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</si>
  <si>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</si>
  <si>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</si>
  <si>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</si>
  <si>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</si>
  <si>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</si>
  <si>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</si>
  <si>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</si>
  <si>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</si>
  <si>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</si>
  <si>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</si>
  <si>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</si>
  <si>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</si>
  <si>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</si>
  <si>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</si>
  <si>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</si>
  <si>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</si>
  <si>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</si>
  <si>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</si>
  <si>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</si>
  <si>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</si>
  <si>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</si>
  <si>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</si>
  <si>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</si>
  <si>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</si>
  <si>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</si>
  <si>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</si>
  <si>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</si>
  <si>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</si>
  <si>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</si>
  <si>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</si>
  <si>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</si>
  <si>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</si>
  <si>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</si>
  <si>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</si>
  <si>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</si>
  <si>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</si>
  <si>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</si>
  <si>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</si>
  <si>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</si>
  <si>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</si>
  <si>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</si>
  <si>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</si>
  <si>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</si>
  <si>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</si>
  <si>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</si>
  <si>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</si>
  <si>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</si>
  <si>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</si>
  <si>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</si>
  <si>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</si>
  <si>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</si>
  <si>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</si>
  <si>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</si>
  <si>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</si>
  <si>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</si>
  <si>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</si>
  <si>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</si>
  <si>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</si>
  <si>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</si>
  <si>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</si>
  <si>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</si>
  <si>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</si>
  <si>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</si>
  <si>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</si>
  <si>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</si>
  <si>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</si>
  <si>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</si>
  <si>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</si>
  <si>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</si>
  <si>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</si>
  <si>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</si>
  <si>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</si>
  <si>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</si>
  <si>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</si>
  <si>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</si>
  <si>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</si>
  <si>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</si>
  <si>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</si>
  <si>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</si>
  <si>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</si>
  <si>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</si>
  <si>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</si>
  <si>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</si>
  <si>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</si>
  <si>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</si>
  <si>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</si>
  <si>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</si>
  <si>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</si>
  <si>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</si>
  <si>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</si>
  <si>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</si>
  <si>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</si>
  <si>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</si>
  <si>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</si>
  <si>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</si>
  <si>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</si>
  <si>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</si>
  <si>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</si>
  <si>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</si>
  <si>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</si>
  <si>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</si>
  <si>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</si>
  <si>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</si>
  <si>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</si>
  <si>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</si>
  <si>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</si>
  <si>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</si>
  <si>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</si>
  <si>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</si>
  <si>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</si>
  <si>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</si>
  <si>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</si>
  <si>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</si>
  <si>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</si>
  <si>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</si>
  <si>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</si>
  <si>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</si>
  <si>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</si>
  <si>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</si>
  <si>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13014</t>
  </si>
  <si>
    <t>HOOGSTRATEN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</si>
  <si>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</si>
  <si>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</si>
  <si>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</si>
  <si>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</si>
  <si>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</si>
  <si>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</si>
  <si>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</si>
  <si>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Desta NV</t>
  </si>
  <si>
    <t>Heerle 11 , 2320 Hoogstraten</t>
  </si>
  <si>
    <t>WKK-0233 Desta NV</t>
  </si>
  <si>
    <t>interne verbrandingsmotor</t>
  </si>
  <si>
    <t>WKK interne verbrandinsgmotor (gas)</t>
  </si>
  <si>
    <t>IVEKA</t>
  </si>
  <si>
    <t>WKK-Willy Jacobs</t>
  </si>
  <si>
    <t>Oosteneind 2 A, 2328 Meerle</t>
  </si>
  <si>
    <t>WKK-0312 Willy Jacobs</t>
  </si>
  <si>
    <t>WKK interne verbrandinsgmotor (vloeibaar)</t>
  </si>
  <si>
    <t>eilandwerking</t>
  </si>
  <si>
    <t>Pafa bvba</t>
  </si>
  <si>
    <t>Maxburgdreef 36A, 2321 Meer</t>
  </si>
  <si>
    <t>WKK-0164 Pafa</t>
  </si>
  <si>
    <t>Rovak bvba</t>
  </si>
  <si>
    <t>Gaarshof 12 , 2321 Meer</t>
  </si>
  <si>
    <t>WKK-0180 Rovak bvba</t>
  </si>
  <si>
    <t>Vergo Energie</t>
  </si>
  <si>
    <t>Maxburghdreef 6A, 2321 Meer</t>
  </si>
  <si>
    <t>WKK-0122 Vergo Energie</t>
  </si>
  <si>
    <t>Groeikracht Rielbro NV</t>
  </si>
  <si>
    <t>Eindsestraat 1d, 2321 Meer</t>
  </si>
  <si>
    <t>WKK-0141 Groeikracht Rielbro</t>
  </si>
  <si>
    <t>Meer Fresh Products bvba</t>
  </si>
  <si>
    <t>Kettingdreef 3, 2321 Meer</t>
  </si>
  <si>
    <t>WKK-0120 Meer Fresh products</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</si>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</sst>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13014</v>
      </c>
      <c r="B6" s="396"/>
      <c r="C6" s="397"/>
    </row>
    <row r="7" spans="1:7" s="394" customFormat="1" ht="15.75" customHeight="1">
      <c r="A7" s="398" t="str">
        <f>txtMunicipality</f>
        <v>HOOGSTRATEN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7898</v>
      </c>
      <c r="C9" s="336">
        <v>8903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6360</v>
      </c>
    </row>
    <row r="15" spans="1:6">
      <c r="A15" s="1194" t="s">
        <v>185</v>
      </c>
      <c r="B15" s="333">
        <v>4170</v>
      </c>
    </row>
    <row r="16" spans="1:6">
      <c r="A16" s="1194" t="s">
        <v>6</v>
      </c>
      <c r="B16" s="333">
        <v>5796</v>
      </c>
    </row>
    <row r="17" spans="1:6">
      <c r="A17" s="1194" t="s">
        <v>7</v>
      </c>
      <c r="B17" s="333">
        <v>988</v>
      </c>
    </row>
    <row r="18" spans="1:6">
      <c r="A18" s="1194" t="s">
        <v>8</v>
      </c>
      <c r="B18" s="333">
        <v>3795</v>
      </c>
    </row>
    <row r="19" spans="1:6">
      <c r="A19" s="1194" t="s">
        <v>9</v>
      </c>
      <c r="B19" s="333">
        <v>3417</v>
      </c>
    </row>
    <row r="20" spans="1:6">
      <c r="A20" s="1194" t="s">
        <v>10</v>
      </c>
      <c r="B20" s="333">
        <v>2129</v>
      </c>
    </row>
    <row r="21" spans="1:6">
      <c r="A21" s="1194" t="s">
        <v>11</v>
      </c>
      <c r="B21" s="333">
        <v>61315</v>
      </c>
    </row>
    <row r="22" spans="1:6">
      <c r="A22" s="1194" t="s">
        <v>12</v>
      </c>
      <c r="B22" s="333">
        <v>146352</v>
      </c>
    </row>
    <row r="23" spans="1:6">
      <c r="A23" s="1194" t="s">
        <v>13</v>
      </c>
      <c r="B23" s="333">
        <v>2702</v>
      </c>
    </row>
    <row r="24" spans="1:6">
      <c r="A24" s="1194" t="s">
        <v>14</v>
      </c>
      <c r="B24" s="333">
        <v>252</v>
      </c>
    </row>
    <row r="25" spans="1:6">
      <c r="A25" s="1194" t="s">
        <v>15</v>
      </c>
      <c r="B25" s="333">
        <v>15720</v>
      </c>
    </row>
    <row r="26" spans="1:6">
      <c r="A26" s="1194" t="s">
        <v>16</v>
      </c>
      <c r="B26" s="333">
        <v>272</v>
      </c>
    </row>
    <row r="27" spans="1:6">
      <c r="A27" s="1194" t="s">
        <v>17</v>
      </c>
      <c r="B27" s="333">
        <v>1128</v>
      </c>
    </row>
    <row r="28" spans="1:6">
      <c r="A28" s="1194" t="s">
        <v>18</v>
      </c>
      <c r="B28" s="333">
        <v>1119557</v>
      </c>
    </row>
    <row r="29" spans="1:6">
      <c r="A29" s="1194" t="s">
        <v>888</v>
      </c>
      <c r="B29" s="333">
        <v>270</v>
      </c>
    </row>
    <row r="30" spans="1:6">
      <c r="A30" s="1190" t="s">
        <v>889</v>
      </c>
      <c r="B30" s="1190">
        <v>71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4</v>
      </c>
      <c r="F35" s="333">
        <v>350200.84972819098</v>
      </c>
    </row>
    <row r="36" spans="1:6">
      <c r="A36" s="1194" t="s">
        <v>25</v>
      </c>
      <c r="B36" s="1194" t="s">
        <v>27</v>
      </c>
      <c r="C36" s="333">
        <v>0</v>
      </c>
      <c r="D36" s="333">
        <v>0</v>
      </c>
      <c r="E36" s="333">
        <v>3</v>
      </c>
      <c r="F36" s="333">
        <v>108499.889184028</v>
      </c>
    </row>
    <row r="37" spans="1:6">
      <c r="A37" s="1194" t="s">
        <v>25</v>
      </c>
      <c r="B37" s="1194" t="s">
        <v>28</v>
      </c>
      <c r="C37" s="333">
        <v>0</v>
      </c>
      <c r="D37" s="333">
        <v>0</v>
      </c>
      <c r="E37" s="333">
        <v>0</v>
      </c>
      <c r="F37" s="333">
        <v>0</v>
      </c>
    </row>
    <row r="38" spans="1:6">
      <c r="A38" s="1194" t="s">
        <v>25</v>
      </c>
      <c r="B38" s="1194" t="s">
        <v>29</v>
      </c>
      <c r="C38" s="333">
        <v>3</v>
      </c>
      <c r="D38" s="333">
        <v>57123178.773007497</v>
      </c>
      <c r="E38" s="333">
        <v>2</v>
      </c>
      <c r="F38" s="333">
        <v>135102.63291558999</v>
      </c>
    </row>
    <row r="39" spans="1:6">
      <c r="A39" s="1194" t="s">
        <v>30</v>
      </c>
      <c r="B39" s="1194" t="s">
        <v>31</v>
      </c>
      <c r="C39" s="333">
        <v>5020</v>
      </c>
      <c r="D39" s="333">
        <v>94818050.566904396</v>
      </c>
      <c r="E39" s="333">
        <v>7407</v>
      </c>
      <c r="F39" s="333">
        <v>35789510.452189997</v>
      </c>
    </row>
    <row r="40" spans="1:6">
      <c r="A40" s="1194" t="s">
        <v>30</v>
      </c>
      <c r="B40" s="1194" t="s">
        <v>29</v>
      </c>
      <c r="C40" s="333">
        <v>0</v>
      </c>
      <c r="D40" s="333">
        <v>0</v>
      </c>
      <c r="E40" s="333">
        <v>0</v>
      </c>
      <c r="F40" s="333">
        <v>0</v>
      </c>
    </row>
    <row r="41" spans="1:6">
      <c r="A41" s="1194" t="s">
        <v>32</v>
      </c>
      <c r="B41" s="1194" t="s">
        <v>33</v>
      </c>
      <c r="C41" s="333">
        <v>20</v>
      </c>
      <c r="D41" s="333">
        <v>676443.89276436204</v>
      </c>
      <c r="E41" s="333">
        <v>147</v>
      </c>
      <c r="F41" s="333">
        <v>2796020.7079776898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558086.47954409395</v>
      </c>
      <c r="E44" s="333">
        <v>12</v>
      </c>
      <c r="F44" s="333">
        <v>1435074.06041858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6</v>
      </c>
      <c r="F47" s="333">
        <v>2491767.97956448</v>
      </c>
    </row>
    <row r="48" spans="1:6">
      <c r="A48" s="1194" t="s">
        <v>32</v>
      </c>
      <c r="B48" s="1194" t="s">
        <v>29</v>
      </c>
      <c r="C48" s="333">
        <v>78</v>
      </c>
      <c r="D48" s="333">
        <v>56721654.204164997</v>
      </c>
      <c r="E48" s="333">
        <v>109</v>
      </c>
      <c r="F48" s="333">
        <v>72369146.304510802</v>
      </c>
    </row>
    <row r="49" spans="1:6">
      <c r="A49" s="1194" t="s">
        <v>32</v>
      </c>
      <c r="B49" s="1194" t="s">
        <v>40</v>
      </c>
      <c r="C49" s="333">
        <v>0</v>
      </c>
      <c r="D49" s="333">
        <v>0</v>
      </c>
      <c r="E49" s="333">
        <v>0</v>
      </c>
      <c r="F49" s="333">
        <v>0</v>
      </c>
    </row>
    <row r="50" spans="1:6">
      <c r="A50" s="1194" t="s">
        <v>32</v>
      </c>
      <c r="B50" s="1194" t="s">
        <v>41</v>
      </c>
      <c r="C50" s="333">
        <v>7</v>
      </c>
      <c r="D50" s="333">
        <v>649429.42349582398</v>
      </c>
      <c r="E50" s="333">
        <v>13</v>
      </c>
      <c r="F50" s="333">
        <v>3549390.44976637</v>
      </c>
    </row>
    <row r="51" spans="1:6">
      <c r="A51" s="1194" t="s">
        <v>42</v>
      </c>
      <c r="B51" s="1194" t="s">
        <v>43</v>
      </c>
      <c r="C51" s="333">
        <v>39</v>
      </c>
      <c r="D51" s="333">
        <v>161508838.42523199</v>
      </c>
      <c r="E51" s="333">
        <v>436</v>
      </c>
      <c r="F51" s="333">
        <v>17782966.730693899</v>
      </c>
    </row>
    <row r="52" spans="1:6">
      <c r="A52" s="1194" t="s">
        <v>42</v>
      </c>
      <c r="B52" s="1194" t="s">
        <v>29</v>
      </c>
      <c r="C52" s="333">
        <v>16</v>
      </c>
      <c r="D52" s="333">
        <v>17017709.433122899</v>
      </c>
      <c r="E52" s="333">
        <v>41</v>
      </c>
      <c r="F52" s="333">
        <v>2253014.9213711699</v>
      </c>
    </row>
    <row r="53" spans="1:6">
      <c r="A53" s="1194" t="s">
        <v>44</v>
      </c>
      <c r="B53" s="1194" t="s">
        <v>45</v>
      </c>
      <c r="C53" s="333">
        <v>248</v>
      </c>
      <c r="D53" s="333">
        <v>5739690.9312323499</v>
      </c>
      <c r="E53" s="333">
        <v>431</v>
      </c>
      <c r="F53" s="333">
        <v>3134663.5762508898</v>
      </c>
    </row>
    <row r="54" spans="1:6">
      <c r="A54" s="1194" t="s">
        <v>46</v>
      </c>
      <c r="B54" s="1194" t="s">
        <v>47</v>
      </c>
      <c r="C54" s="333">
        <v>0</v>
      </c>
      <c r="D54" s="333">
        <v>0</v>
      </c>
      <c r="E54" s="333">
        <v>3</v>
      </c>
      <c r="F54" s="333">
        <v>1435539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33</v>
      </c>
      <c r="D57" s="333">
        <v>17130275.363294698</v>
      </c>
      <c r="E57" s="333">
        <v>116</v>
      </c>
      <c r="F57" s="333">
        <v>3925861.1474173199</v>
      </c>
    </row>
    <row r="58" spans="1:6">
      <c r="A58" s="1194" t="s">
        <v>49</v>
      </c>
      <c r="B58" s="1194" t="s">
        <v>51</v>
      </c>
      <c r="C58" s="333">
        <v>6</v>
      </c>
      <c r="D58" s="333">
        <v>279342.517536678</v>
      </c>
      <c r="E58" s="333">
        <v>16</v>
      </c>
      <c r="F58" s="333">
        <v>170024.270540714</v>
      </c>
    </row>
    <row r="59" spans="1:6">
      <c r="A59" s="1194" t="s">
        <v>49</v>
      </c>
      <c r="B59" s="1194" t="s">
        <v>52</v>
      </c>
      <c r="C59" s="333">
        <v>66</v>
      </c>
      <c r="D59" s="333">
        <v>3354018.62201748</v>
      </c>
      <c r="E59" s="333">
        <v>173</v>
      </c>
      <c r="F59" s="333">
        <v>7405253.5606209198</v>
      </c>
    </row>
    <row r="60" spans="1:6">
      <c r="A60" s="1194" t="s">
        <v>49</v>
      </c>
      <c r="B60" s="1194" t="s">
        <v>53</v>
      </c>
      <c r="C60" s="333">
        <v>59</v>
      </c>
      <c r="D60" s="333">
        <v>3050755.11420934</v>
      </c>
      <c r="E60" s="333">
        <v>91</v>
      </c>
      <c r="F60" s="333">
        <v>2728912.2229137202</v>
      </c>
    </row>
    <row r="61" spans="1:6">
      <c r="A61" s="1194" t="s">
        <v>49</v>
      </c>
      <c r="B61" s="1194" t="s">
        <v>54</v>
      </c>
      <c r="C61" s="333">
        <v>118</v>
      </c>
      <c r="D61" s="333">
        <v>18315194.567860499</v>
      </c>
      <c r="E61" s="333">
        <v>360</v>
      </c>
      <c r="F61" s="333">
        <v>9657233.5951921307</v>
      </c>
    </row>
    <row r="62" spans="1:6">
      <c r="A62" s="1194" t="s">
        <v>49</v>
      </c>
      <c r="B62" s="1194" t="s">
        <v>55</v>
      </c>
      <c r="C62" s="333">
        <v>15</v>
      </c>
      <c r="D62" s="333">
        <v>7252918.85497519</v>
      </c>
      <c r="E62" s="333">
        <v>13</v>
      </c>
      <c r="F62" s="333">
        <v>1557436.1989859301</v>
      </c>
    </row>
    <row r="63" spans="1:6">
      <c r="A63" s="1194" t="s">
        <v>49</v>
      </c>
      <c r="B63" s="1194" t="s">
        <v>29</v>
      </c>
      <c r="C63" s="333">
        <v>186</v>
      </c>
      <c r="D63" s="333">
        <v>20853593.185401399</v>
      </c>
      <c r="E63" s="333">
        <v>256</v>
      </c>
      <c r="F63" s="333">
        <v>22310830.162644699</v>
      </c>
    </row>
    <row r="64" spans="1:6">
      <c r="A64" s="1194" t="s">
        <v>56</v>
      </c>
      <c r="B64" s="1194" t="s">
        <v>57</v>
      </c>
      <c r="C64" s="333">
        <v>0</v>
      </c>
      <c r="D64" s="333">
        <v>0</v>
      </c>
      <c r="E64" s="333">
        <v>0</v>
      </c>
      <c r="F64" s="333">
        <v>0</v>
      </c>
    </row>
    <row r="65" spans="1:6">
      <c r="A65" s="1194" t="s">
        <v>56</v>
      </c>
      <c r="B65" s="1194" t="s">
        <v>29</v>
      </c>
      <c r="C65" s="333">
        <v>4</v>
      </c>
      <c r="D65" s="333">
        <v>78561.7403499106</v>
      </c>
      <c r="E65" s="333">
        <v>4</v>
      </c>
      <c r="F65" s="333">
        <v>74935.384480573004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102293.471231779</v>
      </c>
      <c r="E68" s="333">
        <v>33</v>
      </c>
      <c r="F68" s="333">
        <v>1333020.01494706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81728817</v>
      </c>
      <c r="E73" s="333">
        <v>84302814.385844201</v>
      </c>
      <c r="F73" s="333">
        <v>81833586</v>
      </c>
    </row>
    <row r="74" spans="1:6">
      <c r="A74" s="1194" t="s">
        <v>64</v>
      </c>
      <c r="B74" s="1194" t="s">
        <v>775</v>
      </c>
      <c r="C74" s="1205" t="s">
        <v>776</v>
      </c>
      <c r="D74" s="333">
        <v>9105231.9748822059</v>
      </c>
      <c r="E74" s="333">
        <v>9632074.2363675032</v>
      </c>
      <c r="F74" s="333">
        <v>9335896.7174501568</v>
      </c>
    </row>
    <row r="75" spans="1:6">
      <c r="A75" s="1194" t="s">
        <v>65</v>
      </c>
      <c r="B75" s="1194" t="s">
        <v>773</v>
      </c>
      <c r="C75" s="1205" t="s">
        <v>777</v>
      </c>
      <c r="D75" s="333">
        <v>39280707</v>
      </c>
      <c r="E75" s="333">
        <v>40692663.045311078</v>
      </c>
      <c r="F75" s="333">
        <v>39394803</v>
      </c>
    </row>
    <row r="76" spans="1:6">
      <c r="A76" s="1194" t="s">
        <v>65</v>
      </c>
      <c r="B76" s="1194" t="s">
        <v>775</v>
      </c>
      <c r="C76" s="1205" t="s">
        <v>778</v>
      </c>
      <c r="D76" s="333">
        <v>486371.97488220572</v>
      </c>
      <c r="E76" s="333">
        <v>554962.5017186082</v>
      </c>
      <c r="F76" s="333">
        <v>521823.71745015762</v>
      </c>
    </row>
    <row r="77" spans="1:6">
      <c r="A77" s="1194" t="s">
        <v>66</v>
      </c>
      <c r="B77" s="1194" t="s">
        <v>773</v>
      </c>
      <c r="C77" s="1205" t="s">
        <v>779</v>
      </c>
      <c r="D77" s="333">
        <v>138404038</v>
      </c>
      <c r="E77" s="333">
        <v>145187646.68550426</v>
      </c>
      <c r="F77" s="333">
        <v>137731077</v>
      </c>
    </row>
    <row r="78" spans="1:6">
      <c r="A78" s="1190" t="s">
        <v>66</v>
      </c>
      <c r="B78" s="1190" t="s">
        <v>775</v>
      </c>
      <c r="C78" s="1190" t="s">
        <v>780</v>
      </c>
      <c r="D78" s="1190">
        <v>40101574</v>
      </c>
      <c r="E78" s="1190">
        <v>40247926.638681263</v>
      </c>
      <c r="F78" s="336">
        <v>37788128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532776.05023558857</v>
      </c>
      <c r="C83" s="333">
        <v>491130.24907992058</v>
      </c>
      <c r="D83" s="333">
        <v>496758.56509968475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19822.423909587538</v>
      </c>
    </row>
    <row r="91" spans="1:6">
      <c r="A91" s="1194" t="s">
        <v>68</v>
      </c>
      <c r="B91" s="333">
        <v>2001.0243925337809</v>
      </c>
    </row>
    <row r="92" spans="1:6">
      <c r="A92" s="1190" t="s">
        <v>69</v>
      </c>
      <c r="B92" s="336">
        <v>1546.4868088824287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2912</v>
      </c>
    </row>
    <row r="98" spans="1:6">
      <c r="A98" s="1194" t="s">
        <v>72</v>
      </c>
      <c r="B98" s="333">
        <v>9</v>
      </c>
    </row>
    <row r="99" spans="1:6">
      <c r="A99" s="1194" t="s">
        <v>73</v>
      </c>
      <c r="B99" s="333">
        <v>149</v>
      </c>
    </row>
    <row r="100" spans="1:6">
      <c r="A100" s="1194" t="s">
        <v>74</v>
      </c>
      <c r="B100" s="333">
        <v>429</v>
      </c>
    </row>
    <row r="101" spans="1:6">
      <c r="A101" s="1194" t="s">
        <v>75</v>
      </c>
      <c r="B101" s="333">
        <v>128</v>
      </c>
    </row>
    <row r="102" spans="1:6">
      <c r="A102" s="1194" t="s">
        <v>76</v>
      </c>
      <c r="B102" s="333">
        <v>67</v>
      </c>
    </row>
    <row r="103" spans="1:6">
      <c r="A103" s="1194" t="s">
        <v>77</v>
      </c>
      <c r="B103" s="333">
        <v>104</v>
      </c>
    </row>
    <row r="104" spans="1:6">
      <c r="A104" s="1194" t="s">
        <v>78</v>
      </c>
      <c r="B104" s="333">
        <v>2695</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9</v>
      </c>
    </row>
    <row r="124" spans="1:6">
      <c r="A124" s="1190" t="s">
        <v>89</v>
      </c>
      <c r="B124" s="333">
        <v>1</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84</v>
      </c>
    </row>
    <row r="130" spans="1:6">
      <c r="A130" s="1194" t="s">
        <v>296</v>
      </c>
      <c r="B130" s="333">
        <v>0</v>
      </c>
    </row>
    <row r="131" spans="1:6">
      <c r="A131" s="1194" t="s">
        <v>297</v>
      </c>
      <c r="B131" s="333">
        <v>4</v>
      </c>
    </row>
    <row r="132" spans="1:6">
      <c r="A132" s="1190" t="s">
        <v>298</v>
      </c>
      <c r="B132" s="336">
        <v>15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200551.07732256697</v>
      </c>
      <c r="C3" s="43" t="s">
        <v>171</v>
      </c>
      <c r="D3" s="43"/>
      <c r="E3" s="156"/>
      <c r="F3" s="43"/>
      <c r="G3" s="43"/>
      <c r="H3" s="43"/>
      <c r="I3" s="43"/>
      <c r="J3" s="43"/>
      <c r="K3" s="96"/>
    </row>
    <row r="4" spans="1:11">
      <c r="A4" s="364" t="s">
        <v>172</v>
      </c>
      <c r="B4" s="49">
        <f>IF(ISERROR('SEAP template'!B69),0,'SEAP template'!B69)</f>
        <v>89105.935111003753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14778.196805823556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0.19649644250574511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20850.874622747873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90856.285714285696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0.22949292345405012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1435.539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1435.539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0.19649644250574511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282.0783065782548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35789.510452189999</v>
      </c>
      <c r="C5" s="17">
        <f>IF(ISERROR('Eigen informatie GS &amp; warmtenet'!B57),0,'Eigen informatie GS &amp; warmtenet'!B57)</f>
        <v>0</v>
      </c>
      <c r="D5" s="30">
        <f>(SUM(HH_hh_gas_kWh,HH_rest_gas_kWh)/1000)*0.902</f>
        <v>85525.881611347766</v>
      </c>
      <c r="E5" s="17">
        <f>B46*B57</f>
        <v>8935.0442608447938</v>
      </c>
      <c r="F5" s="17">
        <f>B51*B62</f>
        <v>18191.520055615281</v>
      </c>
      <c r="G5" s="18"/>
      <c r="H5" s="17"/>
      <c r="I5" s="17"/>
      <c r="J5" s="17">
        <f>B50*B61+C50*C61</f>
        <v>0</v>
      </c>
      <c r="K5" s="17"/>
      <c r="L5" s="17"/>
      <c r="M5" s="17"/>
      <c r="N5" s="17">
        <f>B48*B59+C48*C59</f>
        <v>22208.555421415891</v>
      </c>
      <c r="O5" s="17">
        <f>B69*B70*B71</f>
        <v>148.51666666666668</v>
      </c>
      <c r="P5" s="17">
        <f>B77*B78*B79/1000-B77*B78*B79/1000/B80</f>
        <v>419.4666666666667</v>
      </c>
    </row>
    <row r="6" spans="1:16">
      <c r="A6" s="16" t="s">
        <v>633</v>
      </c>
      <c r="B6" s="830">
        <f>kWh_PV_kleiner_dan_10kW</f>
        <v>2001.0243925337809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37790.534844723777</v>
      </c>
      <c r="C8" s="21">
        <f>C5</f>
        <v>0</v>
      </c>
      <c r="D8" s="21">
        <f>D5</f>
        <v>85525.881611347766</v>
      </c>
      <c r="E8" s="21">
        <f>E5</f>
        <v>8935.0442608447938</v>
      </c>
      <c r="F8" s="21">
        <f>F5</f>
        <v>18191.520055615281</v>
      </c>
      <c r="G8" s="21"/>
      <c r="H8" s="21"/>
      <c r="I8" s="21"/>
      <c r="J8" s="21">
        <f>J5</f>
        <v>0</v>
      </c>
      <c r="K8" s="21"/>
      <c r="L8" s="21">
        <f>L5</f>
        <v>0</v>
      </c>
      <c r="M8" s="21">
        <f>M5</f>
        <v>0</v>
      </c>
      <c r="N8" s="21">
        <f>N5</f>
        <v>22208.555421415891</v>
      </c>
      <c r="O8" s="21">
        <f>O5</f>
        <v>148.51666666666668</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0.19649644250574511</v>
      </c>
      <c r="C10" s="25">
        <f ca="1">'EF ele_warmte'!B22</f>
        <v>0.22949292345405012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7425.7056573776226</v>
      </c>
      <c r="C12" s="23">
        <f ca="1">C10*C8</f>
        <v>0</v>
      </c>
      <c r="D12" s="23">
        <f>D8*D10</f>
        <v>17276.22808549225</v>
      </c>
      <c r="E12" s="23">
        <f>E10*E8</f>
        <v>2028.2550472117682</v>
      </c>
      <c r="F12" s="23">
        <f>F10*F8</f>
        <v>4857.1358548492808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2912</v>
      </c>
      <c r="C18" s="167" t="s">
        <v>111</v>
      </c>
      <c r="D18" s="229"/>
      <c r="E18" s="15"/>
    </row>
    <row r="19" spans="1:7">
      <c r="A19" s="172" t="s">
        <v>72</v>
      </c>
      <c r="B19" s="37">
        <f>aantalw2001_ander</f>
        <v>9</v>
      </c>
      <c r="C19" s="167" t="s">
        <v>111</v>
      </c>
      <c r="D19" s="230"/>
      <c r="E19" s="15"/>
    </row>
    <row r="20" spans="1:7">
      <c r="A20" s="172" t="s">
        <v>73</v>
      </c>
      <c r="B20" s="37">
        <f>aantalw2001_propaan</f>
        <v>149</v>
      </c>
      <c r="C20" s="168">
        <f>IF(ISERROR(B20/SUM($B$20,$B$21,$B$22)*100),0,B20/SUM($B$20,$B$21,$B$22)*100)</f>
        <v>21.104815864022662</v>
      </c>
      <c r="D20" s="230"/>
      <c r="E20" s="15"/>
    </row>
    <row r="21" spans="1:7">
      <c r="A21" s="172" t="s">
        <v>74</v>
      </c>
      <c r="B21" s="37">
        <f>aantalw2001_elektriciteit</f>
        <v>429</v>
      </c>
      <c r="C21" s="168">
        <f>IF(ISERROR(B21/SUM($B$20,$B$21,$B$22)*100),0,B21/SUM($B$20,$B$21,$B$22)*100)</f>
        <v>60.76487252124646</v>
      </c>
      <c r="D21" s="230"/>
      <c r="E21" s="15"/>
    </row>
    <row r="22" spans="1:7">
      <c r="A22" s="172" t="s">
        <v>75</v>
      </c>
      <c r="B22" s="37">
        <f>aantalw2001_hout</f>
        <v>128</v>
      </c>
      <c r="C22" s="168">
        <f>IF(ISERROR(B22/SUM($B$20,$B$21,$B$22)*100),0,B22/SUM($B$20,$B$21,$B$22)*100)</f>
        <v>18.130311614730878</v>
      </c>
      <c r="D22" s="230"/>
      <c r="E22" s="15"/>
    </row>
    <row r="23" spans="1:7">
      <c r="A23" s="172" t="s">
        <v>76</v>
      </c>
      <c r="B23" s="37">
        <f>aantalw2001_niet_gespec</f>
        <v>67</v>
      </c>
      <c r="C23" s="167" t="s">
        <v>111</v>
      </c>
      <c r="D23" s="229"/>
      <c r="E23" s="15"/>
    </row>
    <row r="24" spans="1:7">
      <c r="A24" s="172" t="s">
        <v>77</v>
      </c>
      <c r="B24" s="37">
        <f>aantalw2001_steenkool</f>
        <v>104</v>
      </c>
      <c r="C24" s="167" t="s">
        <v>111</v>
      </c>
      <c r="D24" s="230"/>
      <c r="E24" s="15"/>
    </row>
    <row r="25" spans="1:7">
      <c r="A25" s="172" t="s">
        <v>78</v>
      </c>
      <c r="B25" s="37">
        <f>aantalw2001_stookolie</f>
        <v>2695</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7898</v>
      </c>
      <c r="C28" s="36"/>
      <c r="D28" s="229"/>
    </row>
    <row r="29" spans="1:7" s="15" customFormat="1">
      <c r="A29" s="231" t="s">
        <v>714</v>
      </c>
      <c r="B29" s="37">
        <f>SUM(HH_hh_gas_aantal,HH_rest_gas_aantal)</f>
        <v>5020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5020</v>
      </c>
      <c r="C32" s="168">
        <f>IF(ISERROR(B32/SUM($B$32,$B$34,$B$35,$B$36,$B$38,$B$39)*100),0,B32/SUM($B$32,$B$34,$B$35,$B$36,$B$38,$B$39)*100)</f>
        <v>63.737938039614015</v>
      </c>
      <c r="D32" s="234"/>
      <c r="G32" s="15"/>
    </row>
    <row r="33" spans="1:7">
      <c r="A33" s="172" t="s">
        <v>72</v>
      </c>
      <c r="B33" s="34" t="s">
        <v>111</v>
      </c>
      <c r="C33" s="168"/>
      <c r="D33" s="234"/>
      <c r="G33" s="15"/>
    </row>
    <row r="34" spans="1:7">
      <c r="A34" s="172" t="s">
        <v>73</v>
      </c>
      <c r="B34" s="33">
        <f>IF((($B$28-$B$32-$B$39-$B$77-$B$38)*C20/100)&lt;0,0,($B$28-$B$32-$B$39-$B$77-$B$38)*C20/100)</f>
        <v>434.37932011331441</v>
      </c>
      <c r="C34" s="168">
        <f>IF(ISERROR(B34/SUM($B$32,$B$34,$B$35,$B$36,$B$38,$B$39)*100),0,B34/SUM($B$32,$B$34,$B$35,$B$36,$B$38,$B$39)*100)</f>
        <v>5.5152275281020113</v>
      </c>
      <c r="D34" s="234"/>
      <c r="G34" s="15"/>
    </row>
    <row r="35" spans="1:7">
      <c r="A35" s="172" t="s">
        <v>74</v>
      </c>
      <c r="B35" s="33">
        <f>IF((($B$28-$B$32-$B$39-$B$77-$B$38)*C21/100)&lt;0,0,($B$28-$B$32-$B$39-$B$77-$B$38)*C21/100)</f>
        <v>1250.6626062322946</v>
      </c>
      <c r="C35" s="168">
        <f>IF(ISERROR(B35/SUM($B$32,$B$34,$B$35,$B$36,$B$38,$B$39)*100),0,B35/SUM($B$32,$B$34,$B$35,$B$36,$B$38,$B$39)*100)</f>
        <v>15.87941348695143</v>
      </c>
      <c r="D35" s="234"/>
      <c r="G35" s="15"/>
    </row>
    <row r="36" spans="1:7">
      <c r="A36" s="172" t="s">
        <v>75</v>
      </c>
      <c r="B36" s="33">
        <f>IF((($B$28-$B$32-$B$39-$B$77-$B$38)*C22/100)&lt;0,0,($B$28-$B$32-$B$39-$B$77-$B$38)*C22/100)</f>
        <v>373.15807365439088</v>
      </c>
      <c r="C36" s="168">
        <f>IF(ISERROR(B36/SUM($B$32,$B$34,$B$35,$B$36,$B$38,$B$39)*100),0,B36/SUM($B$32,$B$34,$B$35,$B$36,$B$38,$B$39)*100)</f>
        <v>4.7379135811883053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797.8</v>
      </c>
      <c r="C39" s="168">
        <f>IF(ISERROR(B39/SUM($B$32,$B$34,$B$35,$B$36,$B$38,$B$39)*100),0,B39/SUM($B$32,$B$34,$B$35,$B$36,$B$38,$B$39)*100)</f>
        <v>10.129507364144235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5020</v>
      </c>
      <c r="C44" s="34" t="s">
        <v>111</v>
      </c>
      <c r="D44" s="175"/>
    </row>
    <row r="45" spans="1:7">
      <c r="A45" s="172" t="s">
        <v>72</v>
      </c>
      <c r="B45" s="33" t="str">
        <f t="shared" si="0"/>
        <v>-</v>
      </c>
      <c r="C45" s="34" t="s">
        <v>111</v>
      </c>
      <c r="D45" s="175"/>
    </row>
    <row r="46" spans="1:7">
      <c r="A46" s="172" t="s">
        <v>73</v>
      </c>
      <c r="B46" s="33">
        <f t="shared" si="0"/>
        <v>434.37932011331441</v>
      </c>
      <c r="C46" s="34" t="s">
        <v>111</v>
      </c>
      <c r="D46" s="175"/>
    </row>
    <row r="47" spans="1:7">
      <c r="A47" s="172" t="s">
        <v>74</v>
      </c>
      <c r="B47" s="33">
        <f t="shared" si="0"/>
        <v>1250.6626062322946</v>
      </c>
      <c r="C47" s="34" t="s">
        <v>111</v>
      </c>
      <c r="D47" s="175"/>
    </row>
    <row r="48" spans="1:7">
      <c r="A48" s="172" t="s">
        <v>75</v>
      </c>
      <c r="B48" s="33">
        <f t="shared" si="0"/>
        <v>373.15807365439088</v>
      </c>
      <c r="C48" s="33">
        <f>B48*10</f>
        <v>3731.5807365439086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797.8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47755.551158315437</v>
      </c>
      <c r="C5" s="17">
        <f>IF(ISERROR('Eigen informatie GS &amp; warmtenet'!B58),0,'Eigen informatie GS &amp; warmtenet'!B58)</f>
        <v>0</v>
      </c>
      <c r="D5" s="30">
        <f>SUM(D6:D12)</f>
        <v>63352.960599216342</v>
      </c>
      <c r="E5" s="17">
        <f>SUM(E6:E12)</f>
        <v>1033.6969593113313</v>
      </c>
      <c r="F5" s="17">
        <f>SUM(F6:F12)</f>
        <v>9693.4544365259644</v>
      </c>
      <c r="G5" s="18"/>
      <c r="H5" s="17"/>
      <c r="I5" s="17"/>
      <c r="J5" s="17">
        <f>SUM(J6:J12)</f>
        <v>0</v>
      </c>
      <c r="K5" s="17"/>
      <c r="L5" s="17"/>
      <c r="M5" s="17"/>
      <c r="N5" s="17">
        <f>SUM(N6:N12)</f>
        <v>1621.7925802285185</v>
      </c>
      <c r="O5" s="17">
        <f>B38*B39*B40</f>
        <v>0</v>
      </c>
      <c r="P5" s="17">
        <f>B46*B47*B48/1000-B46*B47*B48/1000/B49</f>
        <v>76.266666666666666</v>
      </c>
      <c r="R5" s="32"/>
    </row>
    <row r="6" spans="1:18">
      <c r="A6" s="32" t="s">
        <v>54</v>
      </c>
      <c r="B6" s="37">
        <f>B26</f>
        <v>9657.2335951921305</v>
      </c>
      <c r="C6" s="33"/>
      <c r="D6" s="37">
        <f>IF(ISERROR(TER_kantoor_gas_kWh/1000),0,TER_kantoor_gas_kWh/1000)*0.902</f>
        <v>16520.305500210172</v>
      </c>
      <c r="E6" s="33">
        <f>$C$26*'E Balans VL '!I12/100/3.6*1000000</f>
        <v>338.04116494188548</v>
      </c>
      <c r="F6" s="33">
        <f>$C$26*('E Balans VL '!L12+'E Balans VL '!N12)/100/3.6*1000000</f>
        <v>1464.2439518046822</v>
      </c>
      <c r="G6" s="34"/>
      <c r="H6" s="33"/>
      <c r="I6" s="33"/>
      <c r="J6" s="33">
        <f>$C$26*('E Balans VL '!D12+'E Balans VL '!E12)/100/3.6*1000000</f>
        <v>0</v>
      </c>
      <c r="K6" s="33"/>
      <c r="L6" s="33"/>
      <c r="M6" s="33"/>
      <c r="N6" s="33">
        <f>$C$26*'E Balans VL '!Y12/100/3.6*1000000</f>
        <v>74.64739305990642</v>
      </c>
      <c r="O6" s="33"/>
      <c r="P6" s="33"/>
      <c r="R6" s="32"/>
    </row>
    <row r="7" spans="1:18">
      <c r="A7" s="32" t="s">
        <v>53</v>
      </c>
      <c r="B7" s="37">
        <f t="shared" ref="B7:B12" si="0">B27</f>
        <v>2728.9122229137201</v>
      </c>
      <c r="C7" s="33"/>
      <c r="D7" s="37">
        <f>IF(ISERROR(TER_horeca_gas_kWh/1000),0,TER_horeca_gas_kWh/1000)*0.902</f>
        <v>2751.7811130168247</v>
      </c>
      <c r="E7" s="33">
        <f>$C$27*'E Balans VL '!I9/100/3.6*1000000</f>
        <v>153.94693506783435</v>
      </c>
      <c r="F7" s="33">
        <f>$C$27*('E Balans VL '!L9+'E Balans VL '!N9)/100/3.6*1000000</f>
        <v>475.39161122571215</v>
      </c>
      <c r="G7" s="34"/>
      <c r="H7" s="33"/>
      <c r="I7" s="33"/>
      <c r="J7" s="33">
        <f>$C$27*('E Balans VL '!D9+'E Balans VL '!E9)/100/3.6*1000000</f>
        <v>0</v>
      </c>
      <c r="K7" s="33"/>
      <c r="L7" s="33"/>
      <c r="M7" s="33"/>
      <c r="N7" s="33">
        <f>$C$27*'E Balans VL '!Y9/100/3.6*1000000</f>
        <v>0</v>
      </c>
      <c r="O7" s="33"/>
      <c r="P7" s="33"/>
      <c r="R7" s="32"/>
    </row>
    <row r="8" spans="1:18">
      <c r="A8" s="6" t="s">
        <v>52</v>
      </c>
      <c r="B8" s="37">
        <f t="shared" si="0"/>
        <v>7405.2535606209194</v>
      </c>
      <c r="C8" s="33"/>
      <c r="D8" s="37">
        <f>IF(ISERROR(TER_handel_gas_kWh/1000),0,TER_handel_gas_kWh/1000)*0.902</f>
        <v>3025.3247970597672</v>
      </c>
      <c r="E8" s="33">
        <f>$C$28*'E Balans VL '!I13/100/3.6*1000000</f>
        <v>38.017819417377851</v>
      </c>
      <c r="F8" s="33">
        <f>$C$28*('E Balans VL '!L13+'E Balans VL '!N13)/100/3.6*1000000</f>
        <v>1141.7756761342093</v>
      </c>
      <c r="G8" s="34"/>
      <c r="H8" s="33"/>
      <c r="I8" s="33"/>
      <c r="J8" s="33">
        <f>$C$28*('E Balans VL '!D13+'E Balans VL '!E13)/100/3.6*1000000</f>
        <v>0</v>
      </c>
      <c r="K8" s="33"/>
      <c r="L8" s="33"/>
      <c r="M8" s="33"/>
      <c r="N8" s="33">
        <f>$C$28*'E Balans VL '!Y13/100/3.6*1000000</f>
        <v>3.4635274835893872</v>
      </c>
      <c r="O8" s="33"/>
      <c r="P8" s="33"/>
      <c r="R8" s="32"/>
    </row>
    <row r="9" spans="1:18">
      <c r="A9" s="32" t="s">
        <v>51</v>
      </c>
      <c r="B9" s="37">
        <f t="shared" si="0"/>
        <v>170.02427054071401</v>
      </c>
      <c r="C9" s="33"/>
      <c r="D9" s="37">
        <f>IF(ISERROR(TER_gezond_gas_kWh/1000),0,TER_gezond_gas_kWh/1000)*0.902</f>
        <v>251.96695081808355</v>
      </c>
      <c r="E9" s="33">
        <f>$C$29*'E Balans VL '!I10/100/3.6*1000000</f>
        <v>7.0473849269668473E-2</v>
      </c>
      <c r="F9" s="33">
        <f>$C$29*('E Balans VL '!L10+'E Balans VL '!N10)/100/3.6*1000000</f>
        <v>41.87453936086419</v>
      </c>
      <c r="G9" s="34"/>
      <c r="H9" s="33"/>
      <c r="I9" s="33"/>
      <c r="J9" s="33">
        <f>$C$29*('E Balans VL '!D10+'E Balans VL '!E10)/100/3.6*1000000</f>
        <v>0</v>
      </c>
      <c r="K9" s="33"/>
      <c r="L9" s="33"/>
      <c r="M9" s="33"/>
      <c r="N9" s="33">
        <f>$C$29*'E Balans VL '!Y10/100/3.6*1000000</f>
        <v>1.4694305288144278</v>
      </c>
      <c r="O9" s="33"/>
      <c r="P9" s="33"/>
      <c r="R9" s="32"/>
    </row>
    <row r="10" spans="1:18">
      <c r="A10" s="32" t="s">
        <v>50</v>
      </c>
      <c r="B10" s="37">
        <f t="shared" si="0"/>
        <v>3925.8611474173199</v>
      </c>
      <c r="C10" s="33"/>
      <c r="D10" s="37">
        <f>IF(ISERROR(TER_ander_gas_kWh/1000),0,TER_ander_gas_kWh/1000)*0.902</f>
        <v>15451.508377691818</v>
      </c>
      <c r="E10" s="33">
        <f>$C$30*'E Balans VL '!I14/100/3.6*1000000</f>
        <v>23.932146416240307</v>
      </c>
      <c r="F10" s="33">
        <f>$C$30*('E Balans VL '!L14+'E Balans VL '!N14)/100/3.6*1000000</f>
        <v>1040.7995683777251</v>
      </c>
      <c r="G10" s="34"/>
      <c r="H10" s="33"/>
      <c r="I10" s="33"/>
      <c r="J10" s="33">
        <f>$C$30*('E Balans VL '!D14+'E Balans VL '!E14)/100/3.6*1000000</f>
        <v>0</v>
      </c>
      <c r="K10" s="33"/>
      <c r="L10" s="33"/>
      <c r="M10" s="33"/>
      <c r="N10" s="33">
        <f>$C$30*'E Balans VL '!Y14/100/3.6*1000000</f>
        <v>904.82616286426128</v>
      </c>
      <c r="O10" s="33"/>
      <c r="P10" s="33"/>
      <c r="R10" s="32"/>
    </row>
    <row r="11" spans="1:18">
      <c r="A11" s="32" t="s">
        <v>55</v>
      </c>
      <c r="B11" s="37">
        <f t="shared" si="0"/>
        <v>1557.4361989859301</v>
      </c>
      <c r="C11" s="33"/>
      <c r="D11" s="37">
        <f>IF(ISERROR(TER_onderwijs_gas_kWh/1000),0,TER_onderwijs_gas_kWh/1000)*0.902</f>
        <v>6542.1328071876214</v>
      </c>
      <c r="E11" s="33">
        <f>$C$31*'E Balans VL '!I11/100/3.6*1000000</f>
        <v>1.1868474801868913</v>
      </c>
      <c r="F11" s="33">
        <f>$C$31*('E Balans VL '!L11+'E Balans VL '!N11)/100/3.6*1000000</f>
        <v>1127.0461846411956</v>
      </c>
      <c r="G11" s="34"/>
      <c r="H11" s="33"/>
      <c r="I11" s="33"/>
      <c r="J11" s="33">
        <f>$C$31*('E Balans VL '!D11+'E Balans VL '!E11)/100/3.6*1000000</f>
        <v>0</v>
      </c>
      <c r="K11" s="33"/>
      <c r="L11" s="33"/>
      <c r="M11" s="33"/>
      <c r="N11" s="33">
        <f>$C$31*'E Balans VL '!Y11/100/3.6*1000000</f>
        <v>4.5901366988805057</v>
      </c>
      <c r="O11" s="33"/>
      <c r="P11" s="33"/>
      <c r="R11" s="32"/>
    </row>
    <row r="12" spans="1:18">
      <c r="A12" s="32" t="s">
        <v>261</v>
      </c>
      <c r="B12" s="37">
        <f t="shared" si="0"/>
        <v>22310.830162644699</v>
      </c>
      <c r="C12" s="33"/>
      <c r="D12" s="37">
        <f>IF(ISERROR(TER_rest_gas_kWh/1000),0,TER_rest_gas_kWh/1000)*0.902</f>
        <v>18809.941053232062</v>
      </c>
      <c r="E12" s="33">
        <f>$C$32*'E Balans VL '!I8/100/3.6*1000000</f>
        <v>478.50157213853674</v>
      </c>
      <c r="F12" s="33">
        <f>$C$32*('E Balans VL '!L8+'E Balans VL '!N8)/100/3.6*1000000</f>
        <v>4402.3229049815764</v>
      </c>
      <c r="G12" s="34"/>
      <c r="H12" s="33"/>
      <c r="I12" s="33"/>
      <c r="J12" s="33">
        <f>$C$32*('E Balans VL '!D8+'E Balans VL '!E8)/100/3.6*1000000</f>
        <v>0</v>
      </c>
      <c r="K12" s="33"/>
      <c r="L12" s="33"/>
      <c r="M12" s="33"/>
      <c r="N12" s="33">
        <f>$C$32*'E Balans VL '!Y8/100/3.6*1000000</f>
        <v>632.79592959306649</v>
      </c>
      <c r="O12" s="33"/>
      <c r="P12" s="33"/>
      <c r="R12" s="32"/>
    </row>
    <row r="13" spans="1:18">
      <c r="A13" s="16" t="s">
        <v>497</v>
      </c>
      <c r="B13" s="248">
        <f ca="1">'lokale energieproductie'!N90+'lokale energieproductie'!N59</f>
        <v>10341</v>
      </c>
      <c r="C13" s="248">
        <f ca="1">'lokale energieproductie'!O90+'lokale energieproductie'!O59</f>
        <v>12857.142857142857</v>
      </c>
      <c r="D13" s="311">
        <f ca="1">('lokale energieproductie'!P59+'lokale energieproductie'!P90)*(-1)</f>
        <v>-25714.285714285717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58096.551158315437</v>
      </c>
      <c r="C16" s="21">
        <f ca="1">C5+C13+C14</f>
        <v>12857.142857142857</v>
      </c>
      <c r="D16" s="21">
        <f t="shared" ref="D16:N16" ca="1" si="1">MAX((D5+D13+D14),0)</f>
        <v>37638.674884930624</v>
      </c>
      <c r="E16" s="21">
        <f t="shared" si="1"/>
        <v>1033.6969593113313</v>
      </c>
      <c r="F16" s="21">
        <f t="shared" ca="1" si="1"/>
        <v>9693.4544365259644</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0.19649644250574511</v>
      </c>
      <c r="C18" s="25">
        <f ca="1">'EF ele_warmte'!B22</f>
        <v>0.22949292345405012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11415.765624462008</v>
      </c>
      <c r="C20" s="23">
        <f t="shared" ref="C20:P20" ca="1" si="2">C16*C18</f>
        <v>2950.6233015520729</v>
      </c>
      <c r="D20" s="23">
        <f t="shared" ca="1" si="2"/>
        <v>7603.0123267559866</v>
      </c>
      <c r="E20" s="23">
        <f t="shared" si="2"/>
        <v>234.64920976367222</v>
      </c>
      <c r="F20" s="23">
        <f t="shared" ca="1" si="2"/>
        <v>2588.1523345524324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9657.2335951921305</v>
      </c>
      <c r="C26" s="39">
        <f>IF(ISERROR(B26*3.6/1000000/'E Balans VL '!Z12*100),0,B26*3.6/1000000/'E Balans VL '!Z12*100)</f>
        <v>0.20322046569441232</v>
      </c>
      <c r="D26" s="238" t="s">
        <v>720</v>
      </c>
      <c r="F26" s="6"/>
    </row>
    <row r="27" spans="1:18">
      <c r="A27" s="232" t="s">
        <v>53</v>
      </c>
      <c r="B27" s="33">
        <f>IF(ISERROR(TER_horeca_ele_kWh/1000),0,TER_horeca_ele_kWh/1000)</f>
        <v>2728.9122229137201</v>
      </c>
      <c r="C27" s="39">
        <f>IF(ISERROR(B27*3.6/1000000/'E Balans VL '!Z9*100),0,B27*3.6/1000000/'E Balans VL '!Z9*100)</f>
        <v>0.23104932974177039</v>
      </c>
      <c r="D27" s="238" t="s">
        <v>720</v>
      </c>
      <c r="F27" s="6"/>
    </row>
    <row r="28" spans="1:18">
      <c r="A28" s="172" t="s">
        <v>52</v>
      </c>
      <c r="B28" s="33">
        <f>IF(ISERROR(TER_handel_ele_kWh/1000),0,TER_handel_ele_kWh/1000)</f>
        <v>7405.2535606209194</v>
      </c>
      <c r="C28" s="39">
        <f>IF(ISERROR(B28*3.6/1000000/'E Balans VL '!Z13*100),0,B28*3.6/1000000/'E Balans VL '!Z13*100)</f>
        <v>0.20501342083439458</v>
      </c>
      <c r="D28" s="238" t="s">
        <v>720</v>
      </c>
      <c r="F28" s="6"/>
    </row>
    <row r="29" spans="1:18">
      <c r="A29" s="232" t="s">
        <v>51</v>
      </c>
      <c r="B29" s="33">
        <f>IF(ISERROR(TER_gezond_ele_kWh/1000),0,TER_gezond_ele_kWh/1000)</f>
        <v>170.02427054071401</v>
      </c>
      <c r="C29" s="39">
        <f>IF(ISERROR(B29*3.6/1000000/'E Balans VL '!Z10*100),0,B29*3.6/1000000/'E Balans VL '!Z10*100)</f>
        <v>2.2101270231489389E-2</v>
      </c>
      <c r="D29" s="238" t="s">
        <v>720</v>
      </c>
      <c r="F29" s="6"/>
    </row>
    <row r="30" spans="1:18">
      <c r="A30" s="232" t="s">
        <v>50</v>
      </c>
      <c r="B30" s="33">
        <f>IF(ISERROR(TER_ander_ele_kWh/1000),0,TER_ander_ele_kWh/1000)</f>
        <v>3925.8611474173199</v>
      </c>
      <c r="C30" s="39">
        <f>IF(ISERROR(B30*3.6/1000000/'E Balans VL '!Z14*100),0,B30*3.6/1000000/'E Balans VL '!Z14*100)</f>
        <v>0.3042902418218621</v>
      </c>
      <c r="D30" s="238" t="s">
        <v>720</v>
      </c>
      <c r="F30" s="6"/>
    </row>
    <row r="31" spans="1:18">
      <c r="A31" s="232" t="s">
        <v>55</v>
      </c>
      <c r="B31" s="33">
        <f>IF(ISERROR(TER_onderwijs_ele_kWh/1000),0,TER_onderwijs_ele_kWh/1000)</f>
        <v>1557.4361989859301</v>
      </c>
      <c r="C31" s="39">
        <f>IF(ISERROR(B31*3.6/1000000/'E Balans VL '!Z11*100),0,B31*3.6/1000000/'E Balans VL '!Z11*100)</f>
        <v>0.29796408301723504</v>
      </c>
      <c r="D31" s="238" t="s">
        <v>720</v>
      </c>
    </row>
    <row r="32" spans="1:18">
      <c r="A32" s="232" t="s">
        <v>261</v>
      </c>
      <c r="B32" s="33">
        <f>IF(ISERROR(TER_rest_ele_kWh/1000),0,TER_rest_ele_kWh/1000)</f>
        <v>22310.830162644699</v>
      </c>
      <c r="C32" s="39">
        <f>IF(ISERROR(B32*3.6/1000000/'E Balans VL '!Z8*100),0,B32*3.6/1000000/'E Balans VL '!Z8*100)</f>
        <v>0.1839699275247163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82641.399502237909</v>
      </c>
      <c r="C5" s="17">
        <f>IF(ISERROR('Eigen informatie GS &amp; warmtenet'!B59),0,'Eigen informatie GS &amp; warmtenet'!B59)</f>
        <v>0</v>
      </c>
      <c r="D5" s="30">
        <f>SUM(D6:D15)</f>
        <v>52862.263827972289</v>
      </c>
      <c r="E5" s="17">
        <f>SUM(E6:E15)</f>
        <v>819.20933337517999</v>
      </c>
      <c r="F5" s="17">
        <f>SUM(F6:F15)</f>
        <v>17912.223057748663</v>
      </c>
      <c r="G5" s="18"/>
      <c r="H5" s="17"/>
      <c r="I5" s="17"/>
      <c r="J5" s="17">
        <f>SUM(J6:J15)</f>
        <v>531.76651650330541</v>
      </c>
      <c r="K5" s="17"/>
      <c r="L5" s="17"/>
      <c r="M5" s="17"/>
      <c r="N5" s="17">
        <f>SUM(N6:N15)</f>
        <v>1566.8783398655639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1435.0740604185798</v>
      </c>
      <c r="C8" s="33"/>
      <c r="D8" s="37">
        <f>IF( ISERROR(IND_metaal_Gas_kWH/1000),0,IND_metaal_Gas_kWH/1000)*0.902</f>
        <v>503.39400454877278</v>
      </c>
      <c r="E8" s="33">
        <f>C30*'E Balans VL '!I18/100/3.6*1000000</f>
        <v>10.083948787832565</v>
      </c>
      <c r="F8" s="33">
        <f>C30*'E Balans VL '!L18/100/3.6*1000000+C30*'E Balans VL '!N18/100/3.6*1000000</f>
        <v>157.56273582429966</v>
      </c>
      <c r="G8" s="34"/>
      <c r="H8" s="33"/>
      <c r="I8" s="33"/>
      <c r="J8" s="40">
        <f>C30*'E Balans VL '!D18/100/3.6*1000000+C30*'E Balans VL '!E18/100/3.6*1000000</f>
        <v>29.608671013257926</v>
      </c>
      <c r="K8" s="33"/>
      <c r="L8" s="33"/>
      <c r="M8" s="33"/>
      <c r="N8" s="33">
        <f>C30*'E Balans VL '!Y18/100/3.6*1000000</f>
        <v>5.3787609323718097</v>
      </c>
      <c r="O8" s="33"/>
      <c r="P8" s="33"/>
      <c r="R8" s="32"/>
    </row>
    <row r="9" spans="1:18">
      <c r="A9" s="6" t="s">
        <v>33</v>
      </c>
      <c r="B9" s="37">
        <f t="shared" si="0"/>
        <v>2796.0207079776897</v>
      </c>
      <c r="C9" s="33"/>
      <c r="D9" s="37">
        <f>IF( ISERROR(IND_andere_gas_kWh/1000),0,IND_andere_gas_kWh/1000)*0.902</f>
        <v>610.15239127345467</v>
      </c>
      <c r="E9" s="33">
        <f>C31*'E Balans VL '!I19/100/3.6*1000000</f>
        <v>46.962593025214233</v>
      </c>
      <c r="F9" s="33">
        <f>C31*'E Balans VL '!L19/100/3.6*1000000+C31*'E Balans VL '!N19/100/3.6*1000000</f>
        <v>2185.769740048202</v>
      </c>
      <c r="G9" s="34"/>
      <c r="H9" s="33"/>
      <c r="I9" s="33"/>
      <c r="J9" s="40">
        <f>C31*'E Balans VL '!D19/100/3.6*1000000+C31*'E Balans VL '!E19/100/3.6*1000000</f>
        <v>0.25217638630857159</v>
      </c>
      <c r="K9" s="33"/>
      <c r="L9" s="33"/>
      <c r="M9" s="33"/>
      <c r="N9" s="33">
        <f>C31*'E Balans VL '!Y19/100/3.6*1000000</f>
        <v>207.22999266421272</v>
      </c>
      <c r="O9" s="33"/>
      <c r="P9" s="33"/>
      <c r="R9" s="32"/>
    </row>
    <row r="10" spans="1:18">
      <c r="A10" s="6" t="s">
        <v>41</v>
      </c>
      <c r="B10" s="37">
        <f t="shared" si="0"/>
        <v>3549.3904497663698</v>
      </c>
      <c r="C10" s="33"/>
      <c r="D10" s="37">
        <f>IF( ISERROR(IND_voed_gas_kWh/1000),0,IND_voed_gas_kWh/1000)*0.902</f>
        <v>585.78533999323326</v>
      </c>
      <c r="E10" s="33">
        <f>C32*'E Balans VL '!I20/100/3.6*1000000</f>
        <v>32.383163514537863</v>
      </c>
      <c r="F10" s="33">
        <f>C32*'E Balans VL '!L20/100/3.6*1000000+C32*'E Balans VL '!N20/100/3.6*1000000</f>
        <v>572.62769798355907</v>
      </c>
      <c r="G10" s="34"/>
      <c r="H10" s="33"/>
      <c r="I10" s="33"/>
      <c r="J10" s="40">
        <f>C32*'E Balans VL '!D20/100/3.6*1000000+C32*'E Balans VL '!E20/100/3.6*1000000</f>
        <v>14.618716965159905</v>
      </c>
      <c r="K10" s="33"/>
      <c r="L10" s="33"/>
      <c r="M10" s="33"/>
      <c r="N10" s="33">
        <f>C32*'E Balans VL '!Y20/100/3.6*1000000</f>
        <v>51.924783507161791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2491.7679795644799</v>
      </c>
      <c r="C13" s="33"/>
      <c r="D13" s="37">
        <f>IF( ISERROR(IND_papier_gas_kWh/1000),0,IND_papier_gas_kWh/1000)*0.902</f>
        <v>0</v>
      </c>
      <c r="E13" s="33">
        <f>C35*'E Balans VL '!I23/100/3.6*1000000</f>
        <v>76.66519779594006</v>
      </c>
      <c r="F13" s="33">
        <f>C35*'E Balans VL '!L23/100/3.6*1000000+C35*'E Balans VL '!N23/100/3.6*1000000</f>
        <v>529.08942420740368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72369.146304510796</v>
      </c>
      <c r="C15" s="33"/>
      <c r="D15" s="37">
        <f>IF( ISERROR(IND_rest_gas_kWh/1000),0,IND_rest_gas_kWh/1000)*0.902</f>
        <v>51162.932092156829</v>
      </c>
      <c r="E15" s="33">
        <f>C37*'E Balans VL '!I15/100/3.6*1000000</f>
        <v>653.11443025165534</v>
      </c>
      <c r="F15" s="33">
        <f>C37*'E Balans VL '!L15/100/3.6*1000000+C37*'E Balans VL '!N15/100/3.6*1000000</f>
        <v>14467.1734596852</v>
      </c>
      <c r="G15" s="34"/>
      <c r="H15" s="33"/>
      <c r="I15" s="33"/>
      <c r="J15" s="40">
        <f>C37*'E Balans VL '!D15/100/3.6*1000000+C37*'E Balans VL '!E15/100/3.6*1000000</f>
        <v>487.28695213857901</v>
      </c>
      <c r="K15" s="33"/>
      <c r="L15" s="33"/>
      <c r="M15" s="33"/>
      <c r="N15" s="33">
        <f>C37*'E Balans VL '!Y15/100/3.6*1000000</f>
        <v>1302.3448027618176</v>
      </c>
      <c r="O15" s="33"/>
      <c r="P15" s="33"/>
      <c r="R15" s="32"/>
    </row>
    <row r="16" spans="1:18">
      <c r="A16" s="16" t="s">
        <v>497</v>
      </c>
      <c r="B16" s="248">
        <f>'lokale energieproductie'!N89+'lokale energieproductie'!N58</f>
        <v>549</v>
      </c>
      <c r="C16" s="248">
        <f>'lokale energieproductie'!O89+'lokale energieproductie'!O58</f>
        <v>784.28571428571433</v>
      </c>
      <c r="D16" s="311">
        <f>('lokale energieproductie'!P58+'lokale energieproductie'!P89)*(-1)</f>
        <v>-1568.5714285714287</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83190.399502237909</v>
      </c>
      <c r="C18" s="21">
        <f>C5+C16</f>
        <v>784.28571428571433</v>
      </c>
      <c r="D18" s="21">
        <f>MAX((D5+D16),0)</f>
        <v>51293.692399400861</v>
      </c>
      <c r="E18" s="21">
        <f>MAX((E5+E16),0)</f>
        <v>819.20933337517999</v>
      </c>
      <c r="F18" s="21">
        <f>MAX((F5+F16),0)</f>
        <v>17912.223057748663</v>
      </c>
      <c r="G18" s="21"/>
      <c r="H18" s="21"/>
      <c r="I18" s="21"/>
      <c r="J18" s="21">
        <f>MAX((J5+J16),0)</f>
        <v>531.76651650330541</v>
      </c>
      <c r="K18" s="21"/>
      <c r="L18" s="21">
        <f>MAX((L5+L16),0)</f>
        <v>0</v>
      </c>
      <c r="M18" s="21"/>
      <c r="N18" s="21">
        <f>MAX((N5+N16),0)</f>
        <v>1566.8783398655639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0.19649644250574511</v>
      </c>
      <c r="C20" s="25">
        <f ca="1">'EF ele_warmte'!B22</f>
        <v>0.22949292345405012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16346.617552821457</v>
      </c>
      <c r="C22" s="23">
        <f ca="1">C18*C20</f>
        <v>179.98802139467645</v>
      </c>
      <c r="D22" s="23">
        <f>D18*D20</f>
        <v>10361.325864678975</v>
      </c>
      <c r="E22" s="23">
        <f>E18*E20</f>
        <v>185.96051867616586</v>
      </c>
      <c r="F22" s="23">
        <f>F18*F20</f>
        <v>4782.5635564188933</v>
      </c>
      <c r="G22" s="23"/>
      <c r="H22" s="23"/>
      <c r="I22" s="23"/>
      <c r="J22" s="23">
        <f>J18*J20</f>
        <v>188.24534684217011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1435.0740604185798</v>
      </c>
      <c r="C30" s="39">
        <f>IF(ISERROR(B30*3.6/1000000/'E Balans VL '!Z18*100),0,B30*3.6/1000000/'E Balans VL '!Z18*100)</f>
        <v>9.5533756531721026E-2</v>
      </c>
      <c r="D30" s="238" t="s">
        <v>720</v>
      </c>
    </row>
    <row r="31" spans="1:18">
      <c r="A31" s="6" t="s">
        <v>33</v>
      </c>
      <c r="B31" s="37">
        <f>IF( ISERROR(IND_ander_ele_kWh/1000),0,IND_ander_ele_kWh/1000)</f>
        <v>2796.0207079776897</v>
      </c>
      <c r="C31" s="39">
        <f>IF(ISERROR(B31*3.6/1000000/'E Balans VL '!Z19*100),0,B31*3.6/1000000/'E Balans VL '!Z19*100)</f>
        <v>0.12393651750318878</v>
      </c>
      <c r="D31" s="238" t="s">
        <v>720</v>
      </c>
    </row>
    <row r="32" spans="1:18">
      <c r="A32" s="172" t="s">
        <v>41</v>
      </c>
      <c r="B32" s="37">
        <f>IF( ISERROR(IND_voed_ele_kWh/1000),0,IND_voed_ele_kWh/1000)</f>
        <v>3549.3904497663698</v>
      </c>
      <c r="C32" s="39">
        <f>IF(ISERROR(B32*3.6/1000000/'E Balans VL '!Z20*100),0,B32*3.6/1000000/'E Balans VL '!Z20*100)</f>
        <v>0.11855982290560388</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2491.7679795644799</v>
      </c>
      <c r="C35" s="39">
        <f>IF(ISERROR(B35*3.6/1000000/'E Balans VL '!Z22*100),0,B35*3.6/1000000/'E Balans VL '!Z22*100)</f>
        <v>0.48462150150986999</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72369.146304510796</v>
      </c>
      <c r="C37" s="39">
        <f>IF(ISERROR(B37*3.6/1000000/'E Balans VL '!Z15*100),0,B37*3.6/1000000/'E Balans VL '!Z15*100)</f>
        <v>0.53830854908120251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20035.981652065067</v>
      </c>
      <c r="C5" s="17">
        <f>'Eigen informatie GS &amp; warmtenet'!B60</f>
        <v>0</v>
      </c>
      <c r="D5" s="30">
        <f>IF(ISERROR(SUM(LB_lb_gas_kWh,LB_rest_gas_kWh,onbekend_gas_kWh)/1000),0,SUM(LB_lb_gas_kWh,LB_rest_gas_kWh,onbekend_gas_kWh)/1000)*0.902</f>
        <v>166208.1473882077</v>
      </c>
      <c r="E5" s="17">
        <f>B17*'E Balans VL '!I25/3.6*1000000/100</f>
        <v>209.82113747356624</v>
      </c>
      <c r="F5" s="17">
        <f>B17*('E Balans VL '!L25/3.6*1000000+'E Balans VL '!N25/3.6*1000000)/100</f>
        <v>102907.99197950846</v>
      </c>
      <c r="G5" s="18"/>
      <c r="H5" s="17"/>
      <c r="I5" s="17"/>
      <c r="J5" s="17">
        <f>('E Balans VL '!D25+'E Balans VL '!E25)/3.6*1000000*landbouw!B17/100</f>
        <v>1789.3927470966271</v>
      </c>
      <c r="K5" s="17"/>
      <c r="L5" s="17">
        <f>L6*(-1)</f>
        <v>7020</v>
      </c>
      <c r="M5" s="17"/>
      <c r="N5" s="17">
        <f>N6*(-1)</f>
        <v>0</v>
      </c>
      <c r="O5" s="17"/>
      <c r="P5" s="17"/>
      <c r="R5" s="32"/>
    </row>
    <row r="6" spans="1:18">
      <c r="A6" s="16" t="s">
        <v>497</v>
      </c>
      <c r="B6" s="17" t="s">
        <v>212</v>
      </c>
      <c r="C6" s="17">
        <f>'lokale energieproductie'!O91+'lokale energieproductie'!O60</f>
        <v>77214.85714285713</v>
      </c>
      <c r="D6" s="311">
        <f>('lokale energieproductie'!P60+'lokale energieproductie'!P91)*(-1)</f>
        <v>-146005.71428571429</v>
      </c>
      <c r="E6" s="249"/>
      <c r="F6" s="311">
        <f>('lokale energieproductie'!S60+'lokale energieproductie'!S91)*(-1)</f>
        <v>-2340</v>
      </c>
      <c r="G6" s="250"/>
      <c r="H6" s="249"/>
      <c r="I6" s="249"/>
      <c r="J6" s="249"/>
      <c r="K6" s="249"/>
      <c r="L6" s="311">
        <f>('lokale energieproductie'!T60+'lokale energieproductie'!U60+'lokale energieproductie'!T91+'lokale energieproductie'!U91)*(-1)</f>
        <v>-7020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20035.981652065067</v>
      </c>
      <c r="C8" s="21">
        <f>C5+C6</f>
        <v>77214.85714285713</v>
      </c>
      <c r="D8" s="21">
        <f>MAX((D5+D6),0)</f>
        <v>20202.433102493407</v>
      </c>
      <c r="E8" s="21">
        <f>MAX((E5+E6),0)</f>
        <v>209.82113747356624</v>
      </c>
      <c r="F8" s="21">
        <f>MAX((F5+F6),0)</f>
        <v>100567.99197950846</v>
      </c>
      <c r="G8" s="21"/>
      <c r="H8" s="21"/>
      <c r="I8" s="21"/>
      <c r="J8" s="21">
        <f>MAX((J5+J6),0)</f>
        <v>1789.3927470966271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0.19649644250574511</v>
      </c>
      <c r="C10" s="31">
        <f ca="1">'EF ele_warmte'!B22</f>
        <v>0.22949292345405012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3936.9991167411672</v>
      </c>
      <c r="C12" s="23">
        <f ca="1">C8*C10</f>
        <v>17720.263299801125</v>
      </c>
      <c r="D12" s="23">
        <f>D8*D10</f>
        <v>4080.8914867036683</v>
      </c>
      <c r="E12" s="23">
        <f>E8*E10</f>
        <v>47.629398206499538</v>
      </c>
      <c r="F12" s="23">
        <f>F8*F10</f>
        <v>26851.65385852876</v>
      </c>
      <c r="G12" s="23"/>
      <c r="H12" s="23"/>
      <c r="I12" s="23"/>
      <c r="J12" s="23">
        <f>J8*J10</f>
        <v>633.44503247220598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3.0839243421724372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1729.9807041861047</v>
      </c>
      <c r="C26" s="248">
        <f>B26*'GWP N2O_CH4'!B5</f>
        <v>36329.594787908201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1299.7545590329685</v>
      </c>
      <c r="C27" s="248">
        <f>B27*'GWP N2O_CH4'!B5</f>
        <v>27294.845739692337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26.590604783502176</v>
      </c>
      <c r="C28" s="248">
        <f>B28*'GWP N2O_CH4'!B4</f>
        <v>8243.087482885674</v>
      </c>
      <c r="D28" s="50"/>
    </row>
    <row r="29" spans="1:4">
      <c r="A29" s="41" t="s">
        <v>278</v>
      </c>
      <c r="B29" s="248">
        <f>B34*'ha_N2O bodem landbouw'!B4</f>
        <v>57.221316646544182</v>
      </c>
      <c r="C29" s="248">
        <f>B29*'GWP N2O_CH4'!B4</f>
        <v>17738.608160428696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9.4565741032610305E-3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7.4561948093198439E-6</v>
      </c>
      <c r="C5" s="446" t="s">
        <v>212</v>
      </c>
      <c r="D5" s="431">
        <f>SUM(D6:D11)</f>
        <v>3.6626009185590844E-5</v>
      </c>
      <c r="E5" s="431">
        <f>SUM(E6:E11)</f>
        <v>4.1974758117035074E-3</v>
      </c>
      <c r="F5" s="444" t="s">
        <v>212</v>
      </c>
      <c r="G5" s="431">
        <f>SUM(G6:G11)</f>
        <v>0.94129255881450691</v>
      </c>
      <c r="H5" s="431">
        <f>SUM(H6:H11)</f>
        <v>0.12553619381677311</v>
      </c>
      <c r="I5" s="446" t="s">
        <v>212</v>
      </c>
      <c r="J5" s="446" t="s">
        <v>212</v>
      </c>
      <c r="K5" s="446" t="s">
        <v>212</v>
      </c>
      <c r="L5" s="446" t="s">
        <v>212</v>
      </c>
      <c r="M5" s="431">
        <f>SUM(M6:M11)</f>
        <v>4.6455110683854987E-2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2.3490906812622673E-6</v>
      </c>
      <c r="C6" s="432"/>
      <c r="D6" s="432">
        <f>vkm_2011_GW_PW*SUMIFS(TableVerdeelsleutelVkm[CNG],TableVerdeelsleutelVkm[Voertuigtype],"Lichte voertuigen")*SUMIFS(TableECFTransport[EnergieConsumptieFactor (PJ per km)],TableECFTransport[Index],CONCATENATE($A6,"_CNG_CNG"))</f>
        <v>1.0126656868922329E-5</v>
      </c>
      <c r="E6" s="434">
        <f>vkm_2011_GW_PW*SUMIFS(TableVerdeelsleutelVkm[LPG],TableVerdeelsleutelVkm[Voertuigtype],"Lichte voertuigen")*SUMIFS(TableECFTransport[EnergieConsumptieFactor (PJ per km)],TableECFTransport[Index],CONCATENATE($A6,"_LPG_LPG"))</f>
        <v>1.0536165113489355E-3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0.12959772336708217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3.4120394906330113E-2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7.1749128374787949E-3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8.5149527672779113E-2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2.9196593066877017E-5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3.678300052915581E-3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1.1290257971933389E-6</v>
      </c>
      <c r="C8" s="432"/>
      <c r="D8" s="434">
        <f>vkm_2011_NGW_PW*SUMIFS(TableVerdeelsleutelVkm[CNG],TableVerdeelsleutelVkm[Voertuigtype],"Lichte voertuigen")*SUMIFS(TableECFTransport[EnergieConsumptieFactor (PJ per km)],TableECFTransport[Index],CONCATENATE($A8,"_CNG_CNG"))</f>
        <v>8.7316941070776125E-6</v>
      </c>
      <c r="E8" s="434">
        <f>vkm_2011_NGW_PW*SUMIFS(TableVerdeelsleutelVkm[LPG],TableVerdeelsleutelVkm[Voertuigtype],"Lichte voertuigen")*SUMIFS(TableECFTransport[EnergieConsumptieFactor (PJ per km)],TableECFTransport[Index],CONCATENATE($A8,"_LPG_LPG"))</f>
        <v>8.2950888678944164E-4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9.6774905765182523E-2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2.8083642232835958E-2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5.4782572043862096E-3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6.3201666191257657E-3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1.8826115982415593E-6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2.7300619418281973E-4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3.9780783308642379E-6</v>
      </c>
      <c r="C10" s="432"/>
      <c r="D10" s="434">
        <f>vkm_2011_SW_PW*SUMIFS(TableVerdeelsleutelVkm[CNG],TableVerdeelsleutelVkm[Voertuigtype],"Lichte voertuigen")*SUMIFS(TableECFTransport[EnergieConsumptieFactor (PJ per km)],TableECFTransport[Index],CONCATENATE($A10,"_CNG_CNG"))</f>
        <v>1.7767658209590901E-5</v>
      </c>
      <c r="E10" s="434">
        <f>vkm_2011_SW_PW*SUMIFS(TableVerdeelsleutelVkm[LPG],TableVerdeelsleutelVkm[Voertuigtype],"Lichte voertuigen")*SUMIFS(TableECFTransport[EnergieConsumptieFactor (PJ per km)],TableECFTransport[Index],CONCATENATE($A10,"_LPG_LPG"))</f>
        <v>2.3143504135651307E-3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0.26170998587319805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6.3168736399210321E-2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1.4223749149796568E-2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0.36174024951713935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1.323410737316065E-4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1.5626885245095014E-2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2.0711652248110677</v>
      </c>
      <c r="C14" s="21"/>
      <c r="D14" s="21">
        <f t="shared" ref="D14:M14" si="0">((D5)*10^9/3600)+D12</f>
        <v>10.173891440441903</v>
      </c>
      <c r="E14" s="21">
        <f t="shared" si="0"/>
        <v>1165.9655032509743</v>
      </c>
      <c r="F14" s="21"/>
      <c r="G14" s="21">
        <f t="shared" si="0"/>
        <v>261470.15522625193</v>
      </c>
      <c r="H14" s="21">
        <f t="shared" si="0"/>
        <v>34871.164949103644</v>
      </c>
      <c r="I14" s="21"/>
      <c r="J14" s="21"/>
      <c r="K14" s="21"/>
      <c r="L14" s="21"/>
      <c r="M14" s="21">
        <f t="shared" si="0"/>
        <v>12904.197412181942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0.19649644250574511</v>
      </c>
      <c r="C16" s="56">
        <f ca="1">'EF ele_warmte'!B22</f>
        <v>0.22949292345405012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0.40697659851698659</v>
      </c>
      <c r="C18" s="23"/>
      <c r="D18" s="23">
        <f t="shared" ref="D18:M18" si="1">D14*D16</f>
        <v>2.0551260709692647</v>
      </c>
      <c r="E18" s="23">
        <f t="shared" si="1"/>
        <v>264.67416923797117</v>
      </c>
      <c r="F18" s="23"/>
      <c r="G18" s="23">
        <f t="shared" si="1"/>
        <v>69812.531445409273</v>
      </c>
      <c r="H18" s="23">
        <f t="shared" si="1"/>
        <v>8682.9200723268077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6.9955545843171972E-3</v>
      </c>
      <c r="H50" s="322">
        <f t="shared" si="2"/>
        <v>0</v>
      </c>
      <c r="I50" s="322">
        <f t="shared" si="2"/>
        <v>0</v>
      </c>
      <c r="J50" s="322">
        <f t="shared" si="2"/>
        <v>0</v>
      </c>
      <c r="K50" s="322">
        <f t="shared" si="2"/>
        <v>0</v>
      </c>
      <c r="L50" s="322">
        <f t="shared" si="2"/>
        <v>0</v>
      </c>
      <c r="M50" s="322">
        <f t="shared" si="2"/>
        <v>2.981900999064788E-4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6.9955545843171972E-3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2.981900999064788E-4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1943.209606754777</v>
      </c>
      <c r="H54" s="21">
        <f t="shared" si="3"/>
        <v>0</v>
      </c>
      <c r="I54" s="21">
        <f t="shared" si="3"/>
        <v>0</v>
      </c>
      <c r="J54" s="21">
        <f t="shared" si="3"/>
        <v>0</v>
      </c>
      <c r="K54" s="21">
        <f t="shared" si="3"/>
        <v>0</v>
      </c>
      <c r="L54" s="21">
        <f t="shared" si="3"/>
        <v>0</v>
      </c>
      <c r="M54" s="21">
        <f t="shared" si="3"/>
        <v>82.830583307355212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0.19649644250574511</v>
      </c>
      <c r="C56" s="56">
        <f ca="1">'EF ele_warmte'!B22</f>
        <v>0.22949292345405012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518.83696500352551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19822.423909587538</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3547.5112014162096</v>
      </c>
      <c r="C6" s="1124"/>
      <c r="D6" s="1127"/>
      <c r="E6" s="1127"/>
      <c r="F6" s="1130"/>
      <c r="G6" s="1133"/>
      <c r="H6" s="1121"/>
      <c r="I6" s="1127"/>
      <c r="J6" s="1127"/>
      <c r="K6" s="1127"/>
      <c r="L6" s="1157"/>
      <c r="M6" s="559"/>
      <c r="N6" s="1169"/>
      <c r="O6" s="1170"/>
      <c r="Q6" s="557"/>
      <c r="R6" s="1154"/>
      <c r="S6" s="1154"/>
    </row>
    <row r="7" spans="1:19" s="547" customFormat="1">
      <c r="A7" s="560" t="s">
        <v>253</v>
      </c>
      <c r="B7" s="561">
        <f>N57</f>
        <v>64395</v>
      </c>
      <c r="C7" s="562">
        <f>B100</f>
        <v>71876.490463847091</v>
      </c>
      <c r="D7" s="563"/>
      <c r="E7" s="563">
        <f>E100</f>
        <v>970.58326639116865</v>
      </c>
      <c r="F7" s="564"/>
      <c r="G7" s="565"/>
      <c r="H7" s="563">
        <f>I100</f>
        <v>0</v>
      </c>
      <c r="I7" s="563">
        <f>G100+F100</f>
        <v>2911.7497991735058</v>
      </c>
      <c r="J7" s="563">
        <f>H100+D100+C100</f>
        <v>0</v>
      </c>
      <c r="K7" s="563"/>
      <c r="L7" s="566"/>
      <c r="M7" s="567">
        <f>C7*$C$11+D7*$D$11+E7*$E$11+F7*$F$11+G7*$G$11+H7*$H$11+I7*$I$11+J7*$J$11</f>
        <v>14778.196805823556</v>
      </c>
      <c r="N7" s="1169"/>
      <c r="O7" s="1170"/>
      <c r="Q7" s="557"/>
      <c r="R7" s="1154"/>
      <c r="S7" s="1154"/>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89105.935111003753</v>
      </c>
      <c r="C9" s="578">
        <f t="shared" ref="C9:L9" si="0">SUM(C7:C8)</f>
        <v>71876.490463847091</v>
      </c>
      <c r="D9" s="578">
        <f t="shared" si="0"/>
        <v>0</v>
      </c>
      <c r="E9" s="578">
        <f t="shared" si="0"/>
        <v>970.58326639116865</v>
      </c>
      <c r="F9" s="578">
        <f t="shared" si="0"/>
        <v>0</v>
      </c>
      <c r="G9" s="578">
        <f t="shared" si="0"/>
        <v>0</v>
      </c>
      <c r="H9" s="578">
        <f t="shared" si="0"/>
        <v>0</v>
      </c>
      <c r="I9" s="578">
        <f t="shared" si="0"/>
        <v>2911.7497991735058</v>
      </c>
      <c r="J9" s="578">
        <f t="shared" si="0"/>
        <v>3831.4285714285716</v>
      </c>
      <c r="K9" s="578">
        <f t="shared" si="0"/>
        <v>0</v>
      </c>
      <c r="L9" s="578">
        <f t="shared" si="0"/>
        <v>0</v>
      </c>
      <c r="M9" s="579">
        <f>SUM(M4:M8)</f>
        <v>14778.196805823556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90856.28571428571</v>
      </c>
      <c r="C16" s="594">
        <f>B101</f>
        <v>101412.08096472433</v>
      </c>
      <c r="D16" s="595"/>
      <c r="E16" s="595">
        <f>E101</f>
        <v>1369.4167336088315</v>
      </c>
      <c r="F16" s="596"/>
      <c r="G16" s="597"/>
      <c r="H16" s="594">
        <f>I101</f>
        <v>0</v>
      </c>
      <c r="I16" s="595">
        <f>G101+F101</f>
        <v>4108.2502008264946</v>
      </c>
      <c r="J16" s="595">
        <f>H101+D101+C101</f>
        <v>0</v>
      </c>
      <c r="K16" s="595"/>
      <c r="L16" s="598"/>
      <c r="M16" s="599">
        <f>C16*$C$21+E16*$E$21+H16*$H$21+I16*$I$21+J16*$J$21+D16*$D$21+F16*$F$21+G16*$G$21+K16*$K$21+L16*$L$21</f>
        <v>20850.874622747873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90856.28571428571</v>
      </c>
      <c r="C19" s="577">
        <f>SUM(C16:C18)</f>
        <v>101412.08096472433</v>
      </c>
      <c r="D19" s="577">
        <f t="shared" ref="D19:M19" si="1">SUM(D16:D18)</f>
        <v>0</v>
      </c>
      <c r="E19" s="577">
        <f t="shared" si="1"/>
        <v>1369.4167336088315</v>
      </c>
      <c r="F19" s="577">
        <f t="shared" si="1"/>
        <v>0</v>
      </c>
      <c r="G19" s="577">
        <f t="shared" si="1"/>
        <v>0</v>
      </c>
      <c r="H19" s="577">
        <f t="shared" si="1"/>
        <v>0</v>
      </c>
      <c r="I19" s="577">
        <f t="shared" si="1"/>
        <v>4108.2502008264946</v>
      </c>
      <c r="J19" s="577">
        <f t="shared" si="1"/>
        <v>0</v>
      </c>
      <c r="K19" s="577">
        <f t="shared" si="1"/>
        <v>0</v>
      </c>
      <c r="L19" s="577">
        <f t="shared" si="1"/>
        <v>0</v>
      </c>
      <c r="M19" s="604">
        <f t="shared" si="1"/>
        <v>20850.874622747873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13014</v>
      </c>
      <c r="C27" s="839">
        <v>2320</v>
      </c>
      <c r="D27" s="656" t="s">
        <v>894</v>
      </c>
      <c r="E27" s="655" t="s">
        <v>895</v>
      </c>
      <c r="F27" s="655" t="s">
        <v>896</v>
      </c>
      <c r="G27" s="655" t="s">
        <v>897</v>
      </c>
      <c r="H27" s="655" t="s">
        <v>898</v>
      </c>
      <c r="I27" s="655" t="s">
        <v>895</v>
      </c>
      <c r="J27" s="838">
        <v>40185</v>
      </c>
      <c r="K27" s="838">
        <v>40238</v>
      </c>
      <c r="L27" s="655" t="s">
        <v>899</v>
      </c>
      <c r="M27" s="655">
        <v>122</v>
      </c>
      <c r="N27" s="655">
        <v>549</v>
      </c>
      <c r="O27" s="655">
        <v>784.28571428571433</v>
      </c>
      <c r="P27" s="655">
        <v>1568.5714285714287</v>
      </c>
      <c r="Q27" s="655">
        <v>0</v>
      </c>
      <c r="R27" s="655">
        <v>0</v>
      </c>
      <c r="S27" s="655">
        <v>0</v>
      </c>
      <c r="T27" s="655">
        <v>0</v>
      </c>
      <c r="U27" s="655">
        <v>0</v>
      </c>
      <c r="V27" s="655">
        <v>0</v>
      </c>
      <c r="W27" s="655">
        <v>0</v>
      </c>
      <c r="X27" s="655">
        <v>400</v>
      </c>
      <c r="Y27" s="655" t="s">
        <v>37</v>
      </c>
      <c r="Z27" s="657" t="s">
        <v>392</v>
      </c>
    </row>
    <row r="28" spans="1:26" s="609" customFormat="1" ht="38.25">
      <c r="A28" s="608"/>
      <c r="B28" s="839">
        <v>13014</v>
      </c>
      <c r="C28" s="839">
        <v>2328</v>
      </c>
      <c r="D28" s="656" t="s">
        <v>900</v>
      </c>
      <c r="E28" s="655" t="s">
        <v>901</v>
      </c>
      <c r="F28" s="655" t="s">
        <v>902</v>
      </c>
      <c r="G28" s="655" t="s">
        <v>897</v>
      </c>
      <c r="H28" s="655" t="s">
        <v>903</v>
      </c>
      <c r="I28" s="655" t="s">
        <v>901</v>
      </c>
      <c r="J28" s="838">
        <v>40464</v>
      </c>
      <c r="K28" s="838">
        <v>40464</v>
      </c>
      <c r="L28" s="655" t="s">
        <v>904</v>
      </c>
      <c r="M28" s="655">
        <v>832</v>
      </c>
      <c r="N28" s="655">
        <v>3744</v>
      </c>
      <c r="O28" s="655">
        <v>4212</v>
      </c>
      <c r="P28" s="655">
        <v>0</v>
      </c>
      <c r="Q28" s="655">
        <v>0</v>
      </c>
      <c r="R28" s="655">
        <v>0</v>
      </c>
      <c r="S28" s="655">
        <v>2340</v>
      </c>
      <c r="T28" s="655">
        <v>7020</v>
      </c>
      <c r="U28" s="655">
        <v>0</v>
      </c>
      <c r="V28" s="655">
        <v>0</v>
      </c>
      <c r="W28" s="655">
        <v>0</v>
      </c>
      <c r="X28" s="655">
        <v>10</v>
      </c>
      <c r="Y28" s="655" t="s">
        <v>112</v>
      </c>
      <c r="Z28" s="657" t="s">
        <v>112</v>
      </c>
    </row>
    <row r="29" spans="1:26" s="609" customFormat="1" ht="25.5">
      <c r="A29" s="608"/>
      <c r="B29" s="839">
        <v>13014</v>
      </c>
      <c r="C29" s="839">
        <v>2321</v>
      </c>
      <c r="D29" s="656" t="s">
        <v>905</v>
      </c>
      <c r="E29" s="655" t="s">
        <v>906</v>
      </c>
      <c r="F29" s="655" t="s">
        <v>907</v>
      </c>
      <c r="G29" s="655" t="s">
        <v>897</v>
      </c>
      <c r="H29" s="655" t="s">
        <v>898</v>
      </c>
      <c r="I29" s="655" t="s">
        <v>906</v>
      </c>
      <c r="J29" s="838">
        <v>39792</v>
      </c>
      <c r="K29" s="838">
        <v>39792</v>
      </c>
      <c r="L29" s="655" t="s">
        <v>899</v>
      </c>
      <c r="M29" s="655">
        <v>1556</v>
      </c>
      <c r="N29" s="655">
        <v>7002</v>
      </c>
      <c r="O29" s="655">
        <v>10002.857142857143</v>
      </c>
      <c r="P29" s="655">
        <v>20005.714285714286</v>
      </c>
      <c r="Q29" s="655">
        <v>0</v>
      </c>
      <c r="R29" s="655">
        <v>0</v>
      </c>
      <c r="S29" s="655">
        <v>0</v>
      </c>
      <c r="T29" s="655">
        <v>0</v>
      </c>
      <c r="U29" s="655">
        <v>0</v>
      </c>
      <c r="V29" s="655">
        <v>0</v>
      </c>
      <c r="W29" s="655">
        <v>0</v>
      </c>
      <c r="X29" s="655">
        <v>10</v>
      </c>
      <c r="Y29" s="655" t="s">
        <v>112</v>
      </c>
      <c r="Z29" s="657" t="s">
        <v>112</v>
      </c>
    </row>
    <row r="30" spans="1:26" s="609" customFormat="1" ht="25.5">
      <c r="A30" s="608"/>
      <c r="B30" s="839">
        <v>13014</v>
      </c>
      <c r="C30" s="839">
        <v>2321</v>
      </c>
      <c r="D30" s="656" t="s">
        <v>908</v>
      </c>
      <c r="E30" s="655" t="s">
        <v>909</v>
      </c>
      <c r="F30" s="655" t="s">
        <v>910</v>
      </c>
      <c r="G30" s="655" t="s">
        <v>897</v>
      </c>
      <c r="H30" s="655" t="s">
        <v>898</v>
      </c>
      <c r="I30" s="655" t="s">
        <v>909</v>
      </c>
      <c r="J30" s="838">
        <v>39895</v>
      </c>
      <c r="K30" s="838">
        <v>39895</v>
      </c>
      <c r="L30" s="655" t="s">
        <v>899</v>
      </c>
      <c r="M30" s="655">
        <v>1998</v>
      </c>
      <c r="N30" s="655">
        <v>8991</v>
      </c>
      <c r="O30" s="655">
        <v>12844.285714285714</v>
      </c>
      <c r="P30" s="655">
        <v>25688.571428571431</v>
      </c>
      <c r="Q30" s="655">
        <v>0</v>
      </c>
      <c r="R30" s="655">
        <v>0</v>
      </c>
      <c r="S30" s="655">
        <v>0</v>
      </c>
      <c r="T30" s="655">
        <v>0</v>
      </c>
      <c r="U30" s="655">
        <v>0</v>
      </c>
      <c r="V30" s="655">
        <v>0</v>
      </c>
      <c r="W30" s="655">
        <v>0</v>
      </c>
      <c r="X30" s="655">
        <v>10</v>
      </c>
      <c r="Y30" s="655" t="s">
        <v>112</v>
      </c>
      <c r="Z30" s="657" t="s">
        <v>112</v>
      </c>
    </row>
    <row r="31" spans="1:26" s="609" customFormat="1" ht="63.75">
      <c r="A31" s="608"/>
      <c r="B31" s="839">
        <v>13014</v>
      </c>
      <c r="C31" s="839">
        <v>2321</v>
      </c>
      <c r="D31" s="656" t="s">
        <v>911</v>
      </c>
      <c r="E31" s="655" t="s">
        <v>912</v>
      </c>
      <c r="F31" s="655" t="s">
        <v>913</v>
      </c>
      <c r="G31" s="655" t="s">
        <v>897</v>
      </c>
      <c r="H31" s="655" t="s">
        <v>898</v>
      </c>
      <c r="I31" s="655" t="s">
        <v>912</v>
      </c>
      <c r="J31" s="838">
        <v>39562</v>
      </c>
      <c r="K31" s="838">
        <v>39562</v>
      </c>
      <c r="L31" s="655" t="s">
        <v>899</v>
      </c>
      <c r="M31" s="655">
        <v>2000</v>
      </c>
      <c r="N31" s="655">
        <v>9000</v>
      </c>
      <c r="O31" s="655">
        <v>12857.142857142857</v>
      </c>
      <c r="P31" s="655">
        <v>25714.285714285717</v>
      </c>
      <c r="Q31" s="655">
        <v>0</v>
      </c>
      <c r="R31" s="655">
        <v>0</v>
      </c>
      <c r="S31" s="655">
        <v>0</v>
      </c>
      <c r="T31" s="655">
        <v>0</v>
      </c>
      <c r="U31" s="655">
        <v>0</v>
      </c>
      <c r="V31" s="655">
        <v>0</v>
      </c>
      <c r="W31" s="655">
        <v>0</v>
      </c>
      <c r="X31" s="655">
        <v>1600</v>
      </c>
      <c r="Y31" s="655" t="s">
        <v>50</v>
      </c>
      <c r="Z31" s="657" t="s">
        <v>156</v>
      </c>
    </row>
    <row r="32" spans="1:26" s="609" customFormat="1" ht="25.5">
      <c r="A32" s="608"/>
      <c r="B32" s="839">
        <v>13014</v>
      </c>
      <c r="C32" s="839">
        <v>2321</v>
      </c>
      <c r="D32" s="656" t="s">
        <v>914</v>
      </c>
      <c r="E32" s="655" t="s">
        <v>915</v>
      </c>
      <c r="F32" s="655" t="s">
        <v>916</v>
      </c>
      <c r="G32" s="655" t="s">
        <v>897</v>
      </c>
      <c r="H32" s="655" t="s">
        <v>898</v>
      </c>
      <c r="I32" s="655" t="s">
        <v>915</v>
      </c>
      <c r="J32" s="838">
        <v>39660</v>
      </c>
      <c r="K32" s="838">
        <v>39661</v>
      </c>
      <c r="L32" s="655" t="s">
        <v>899</v>
      </c>
      <c r="M32" s="655">
        <v>2028</v>
      </c>
      <c r="N32" s="655">
        <v>9126</v>
      </c>
      <c r="O32" s="655">
        <v>13037.142857142857</v>
      </c>
      <c r="P32" s="655">
        <v>26074.285714285717</v>
      </c>
      <c r="Q32" s="655">
        <v>0</v>
      </c>
      <c r="R32" s="655">
        <v>0</v>
      </c>
      <c r="S32" s="655">
        <v>0</v>
      </c>
      <c r="T32" s="655">
        <v>0</v>
      </c>
      <c r="U32" s="655">
        <v>0</v>
      </c>
      <c r="V32" s="655">
        <v>0</v>
      </c>
      <c r="W32" s="655">
        <v>0</v>
      </c>
      <c r="X32" s="655">
        <v>10</v>
      </c>
      <c r="Y32" s="655" t="s">
        <v>112</v>
      </c>
      <c r="Z32" s="657" t="s">
        <v>112</v>
      </c>
    </row>
    <row r="33" spans="1:26" s="609" customFormat="1" ht="25.5">
      <c r="A33" s="608"/>
      <c r="B33" s="839">
        <v>13014</v>
      </c>
      <c r="C33" s="839">
        <v>2321</v>
      </c>
      <c r="D33" s="656" t="s">
        <v>917</v>
      </c>
      <c r="E33" s="655" t="s">
        <v>918</v>
      </c>
      <c r="F33" s="655" t="s">
        <v>919</v>
      </c>
      <c r="G33" s="655" t="s">
        <v>897</v>
      </c>
      <c r="H33" s="655" t="s">
        <v>898</v>
      </c>
      <c r="I33" s="655" t="s">
        <v>918</v>
      </c>
      <c r="J33" s="838">
        <v>40075</v>
      </c>
      <c r="K33" s="838">
        <v>39538</v>
      </c>
      <c r="L33" s="655" t="s">
        <v>899</v>
      </c>
      <c r="M33" s="655">
        <v>5774</v>
      </c>
      <c r="N33" s="655">
        <v>25983</v>
      </c>
      <c r="O33" s="655">
        <v>37118.571428571428</v>
      </c>
      <c r="P33" s="655">
        <v>74237.142857142855</v>
      </c>
      <c r="Q33" s="655">
        <v>0</v>
      </c>
      <c r="R33" s="655">
        <v>0</v>
      </c>
      <c r="S33" s="655">
        <v>0</v>
      </c>
      <c r="T33" s="655">
        <v>0</v>
      </c>
      <c r="U33" s="655">
        <v>0</v>
      </c>
      <c r="V33" s="655">
        <v>0</v>
      </c>
      <c r="W33" s="655">
        <v>0</v>
      </c>
      <c r="X33" s="655">
        <v>10</v>
      </c>
      <c r="Y33" s="655" t="s">
        <v>112</v>
      </c>
      <c r="Z33" s="657" t="s">
        <v>112</v>
      </c>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14310</v>
      </c>
      <c r="N57" s="613">
        <f>SUM(N27:N56)</f>
        <v>64395</v>
      </c>
      <c r="O57" s="613">
        <f t="shared" ref="O57:W57" si="2">SUM(O27:O56)</f>
        <v>90856.28571428571</v>
      </c>
      <c r="P57" s="613">
        <f t="shared" si="2"/>
        <v>173288.57142857142</v>
      </c>
      <c r="Q57" s="613">
        <f t="shared" si="2"/>
        <v>0</v>
      </c>
      <c r="R57" s="613">
        <f t="shared" si="2"/>
        <v>0</v>
      </c>
      <c r="S57" s="613">
        <f t="shared" si="2"/>
        <v>2340</v>
      </c>
      <c r="T57" s="613">
        <f t="shared" si="2"/>
        <v>7020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122</v>
      </c>
      <c r="N58" s="613">
        <f t="shared" ref="N58:W58" si="3">SUMIF($Z$27:$Z$56,"industrie",N27:N56)</f>
        <v>549</v>
      </c>
      <c r="O58" s="613">
        <f t="shared" si="3"/>
        <v>784.28571428571433</v>
      </c>
      <c r="P58" s="613">
        <f t="shared" si="3"/>
        <v>1568.5714285714287</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2000</v>
      </c>
      <c r="N59" s="613">
        <f ca="1">SUMIF($Z$27:AB56,"tertiair",N27:N56)</f>
        <v>9000</v>
      </c>
      <c r="O59" s="613">
        <f ca="1">SUMIF($Z$27:AC56,"tertiair",O27:O56)</f>
        <v>12857.142857142857</v>
      </c>
      <c r="P59" s="613">
        <f ca="1">SUMIF($Z$27:AD56,"tertiair",P27:P56)</f>
        <v>25714.285714285717</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12188</v>
      </c>
      <c r="N60" s="618">
        <f t="shared" ref="N60:W60" si="4">SUMIF($Z$27:$Z$56,"landbouw",N27:N56)</f>
        <v>54846</v>
      </c>
      <c r="O60" s="618">
        <f t="shared" si="4"/>
        <v>77214.85714285713</v>
      </c>
      <c r="P60" s="618">
        <f t="shared" si="4"/>
        <v>146005.71428571429</v>
      </c>
      <c r="Q60" s="618">
        <f t="shared" si="4"/>
        <v>0</v>
      </c>
      <c r="R60" s="618">
        <f t="shared" si="4"/>
        <v>0</v>
      </c>
      <c r="S60" s="618">
        <f t="shared" si="4"/>
        <v>2340</v>
      </c>
      <c r="T60" s="618">
        <f t="shared" si="4"/>
        <v>7020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13014</v>
      </c>
      <c r="C63" s="839">
        <v>2320</v>
      </c>
      <c r="D63" s="658" t="s">
        <v>920</v>
      </c>
      <c r="E63" s="658" t="s">
        <v>921</v>
      </c>
      <c r="F63" s="658" t="s">
        <v>922</v>
      </c>
      <c r="G63" s="658" t="s">
        <v>923</v>
      </c>
      <c r="H63" s="658" t="s">
        <v>924</v>
      </c>
      <c r="I63" s="658" t="s">
        <v>925</v>
      </c>
      <c r="J63" s="838">
        <v>38763</v>
      </c>
      <c r="K63" s="838">
        <v>39052</v>
      </c>
      <c r="L63" s="658" t="s">
        <v>926</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0.58522082632856043</v>
      </c>
      <c r="C97" s="638">
        <f>IF(ISERROR(N57/(O57+N57)),0,N57/(N57+O57))</f>
        <v>0.41477917367143957</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71876.490463847091</v>
      </c>
      <c r="C100" s="647">
        <f t="shared" si="9"/>
        <v>0</v>
      </c>
      <c r="D100" s="647">
        <f t="shared" si="9"/>
        <v>0</v>
      </c>
      <c r="E100" s="647">
        <f t="shared" si="9"/>
        <v>970.58326639116865</v>
      </c>
      <c r="F100" s="647">
        <f t="shared" si="9"/>
        <v>2911.7497991735058</v>
      </c>
      <c r="G100" s="647">
        <f t="shared" si="9"/>
        <v>0</v>
      </c>
      <c r="H100" s="647">
        <f t="shared" si="9"/>
        <v>0</v>
      </c>
      <c r="I100" s="648">
        <f t="shared" si="9"/>
        <v>0</v>
      </c>
      <c r="J100" s="605"/>
      <c r="K100" s="605"/>
      <c r="L100" s="643"/>
      <c r="M100" s="630"/>
      <c r="N100" s="630"/>
    </row>
    <row r="101" spans="1:14" ht="15.75" thickBot="1">
      <c r="A101" s="649" t="s">
        <v>287</v>
      </c>
      <c r="B101" s="650">
        <f>$B$97*P57</f>
        <v>101412.08096472433</v>
      </c>
      <c r="C101" s="650">
        <f t="shared" ref="C101:H101" si="10">$B$97*Q57</f>
        <v>0</v>
      </c>
      <c r="D101" s="650">
        <f t="shared" si="10"/>
        <v>0</v>
      </c>
      <c r="E101" s="650">
        <f t="shared" si="10"/>
        <v>1369.4167336088315</v>
      </c>
      <c r="F101" s="650">
        <f t="shared" si="10"/>
        <v>4108.2502008264946</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59532.090158315434</v>
      </c>
      <c r="D10" s="702">
        <f ca="1">tertiair!C16</f>
        <v>12857.142857142857</v>
      </c>
      <c r="E10" s="702">
        <f ca="1">tertiair!D16</f>
        <v>37638.674884930624</v>
      </c>
      <c r="F10" s="702">
        <f>tertiair!E16</f>
        <v>1033.6969593113313</v>
      </c>
      <c r="G10" s="702">
        <f ca="1">tertiair!F16</f>
        <v>9693.4544365259644</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76.266666666666666</v>
      </c>
      <c r="R10" s="705">
        <f ca="1">SUM(C10:Q10)</f>
        <v>120831.32596289286</v>
      </c>
      <c r="S10" s="67"/>
    </row>
    <row r="11" spans="1:19" s="457" customFormat="1">
      <c r="A11" s="858" t="s">
        <v>226</v>
      </c>
      <c r="B11" s="863"/>
      <c r="C11" s="702">
        <f>huishoudens!B8</f>
        <v>37790.534844723777</v>
      </c>
      <c r="D11" s="702">
        <f>huishoudens!C8</f>
        <v>0</v>
      </c>
      <c r="E11" s="702">
        <f>huishoudens!D8</f>
        <v>85525.881611347766</v>
      </c>
      <c r="F11" s="702">
        <f>huishoudens!E8</f>
        <v>8935.0442608447938</v>
      </c>
      <c r="G11" s="702">
        <f>huishoudens!F8</f>
        <v>18191.520055615281</v>
      </c>
      <c r="H11" s="702">
        <f>huishoudens!G8</f>
        <v>0</v>
      </c>
      <c r="I11" s="702">
        <f>huishoudens!H8</f>
        <v>0</v>
      </c>
      <c r="J11" s="702">
        <f>huishoudens!I8</f>
        <v>0</v>
      </c>
      <c r="K11" s="702">
        <f>huishoudens!J8</f>
        <v>0</v>
      </c>
      <c r="L11" s="702">
        <f>huishoudens!K8</f>
        <v>0</v>
      </c>
      <c r="M11" s="702">
        <f>huishoudens!L8</f>
        <v>0</v>
      </c>
      <c r="N11" s="702">
        <f>huishoudens!M8</f>
        <v>0</v>
      </c>
      <c r="O11" s="702">
        <f>huishoudens!N8</f>
        <v>22208.555421415891</v>
      </c>
      <c r="P11" s="702">
        <f>huishoudens!O8</f>
        <v>148.51666666666668</v>
      </c>
      <c r="Q11" s="703">
        <f>huishoudens!P8</f>
        <v>419.4666666666667</v>
      </c>
      <c r="R11" s="705">
        <f>SUM(C11:Q11)</f>
        <v>173219.51952728085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83190.399502237909</v>
      </c>
      <c r="D13" s="702">
        <f>industrie!C18</f>
        <v>784.28571428571433</v>
      </c>
      <c r="E13" s="702">
        <f>industrie!D18</f>
        <v>51293.692399400861</v>
      </c>
      <c r="F13" s="702">
        <f>industrie!E18</f>
        <v>819.20933337517999</v>
      </c>
      <c r="G13" s="702">
        <f>industrie!F18</f>
        <v>17912.223057748663</v>
      </c>
      <c r="H13" s="702">
        <f>industrie!G18</f>
        <v>0</v>
      </c>
      <c r="I13" s="702">
        <f>industrie!H18</f>
        <v>0</v>
      </c>
      <c r="J13" s="702">
        <f>industrie!I18</f>
        <v>0</v>
      </c>
      <c r="K13" s="702">
        <f>industrie!J18</f>
        <v>531.76651650330541</v>
      </c>
      <c r="L13" s="702">
        <f>industrie!K18</f>
        <v>0</v>
      </c>
      <c r="M13" s="702">
        <f>industrie!L18</f>
        <v>0</v>
      </c>
      <c r="N13" s="702">
        <f>industrie!M18</f>
        <v>0</v>
      </c>
      <c r="O13" s="702">
        <f>industrie!N18</f>
        <v>1566.8783398655639</v>
      </c>
      <c r="P13" s="702">
        <f>industrie!O18</f>
        <v>0</v>
      </c>
      <c r="Q13" s="703">
        <f>industrie!P18</f>
        <v>0</v>
      </c>
      <c r="R13" s="705">
        <f>SUM(C13:Q13)</f>
        <v>156098.4548634172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180513.02450527711</v>
      </c>
      <c r="D15" s="707">
        <f t="shared" ref="D15:Q15" ca="1" si="0">SUM(D9:D14)</f>
        <v>13641.428571428571</v>
      </c>
      <c r="E15" s="707">
        <f t="shared" ca="1" si="0"/>
        <v>174458.24889567925</v>
      </c>
      <c r="F15" s="707">
        <f t="shared" si="0"/>
        <v>10787.950553531306</v>
      </c>
      <c r="G15" s="707">
        <f t="shared" ca="1" si="0"/>
        <v>45797.197549889912</v>
      </c>
      <c r="H15" s="707">
        <f t="shared" si="0"/>
        <v>0</v>
      </c>
      <c r="I15" s="707">
        <f t="shared" si="0"/>
        <v>0</v>
      </c>
      <c r="J15" s="707">
        <f t="shared" si="0"/>
        <v>0</v>
      </c>
      <c r="K15" s="707">
        <f t="shared" si="0"/>
        <v>531.76651650330541</v>
      </c>
      <c r="L15" s="707">
        <f t="shared" si="0"/>
        <v>0</v>
      </c>
      <c r="M15" s="707">
        <f t="shared" ca="1" si="0"/>
        <v>0</v>
      </c>
      <c r="N15" s="707">
        <f t="shared" si="0"/>
        <v>0</v>
      </c>
      <c r="O15" s="707">
        <f t="shared" ca="1" si="0"/>
        <v>23775.433761281456</v>
      </c>
      <c r="P15" s="707">
        <f t="shared" si="0"/>
        <v>148.51666666666668</v>
      </c>
      <c r="Q15" s="708">
        <f t="shared" si="0"/>
        <v>495.73333333333335</v>
      </c>
      <c r="R15" s="709">
        <f ca="1">SUM(R9:R14)</f>
        <v>450149.30035359092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1943.209606754777</v>
      </c>
      <c r="I18" s="702">
        <f>transport!H54</f>
        <v>0</v>
      </c>
      <c r="J18" s="702">
        <f>transport!I54</f>
        <v>0</v>
      </c>
      <c r="K18" s="702">
        <f>transport!J54</f>
        <v>0</v>
      </c>
      <c r="L18" s="702">
        <f>transport!K54</f>
        <v>0</v>
      </c>
      <c r="M18" s="702">
        <f>transport!L54</f>
        <v>0</v>
      </c>
      <c r="N18" s="702">
        <f>transport!M54</f>
        <v>82.830583307355212</v>
      </c>
      <c r="O18" s="702">
        <f>transport!N54</f>
        <v>0</v>
      </c>
      <c r="P18" s="702">
        <f>transport!O54</f>
        <v>0</v>
      </c>
      <c r="Q18" s="703">
        <f>transport!P54</f>
        <v>0</v>
      </c>
      <c r="R18" s="705">
        <f>SUM(C18:Q18)</f>
        <v>2026.0401900621323</v>
      </c>
      <c r="S18" s="67"/>
    </row>
    <row r="19" spans="1:19" s="457" customFormat="1" ht="15" thickBot="1">
      <c r="A19" s="858" t="s">
        <v>308</v>
      </c>
      <c r="B19" s="863"/>
      <c r="C19" s="711">
        <f>transport!B14</f>
        <v>2.0711652248110677</v>
      </c>
      <c r="D19" s="711">
        <f>transport!C14</f>
        <v>0</v>
      </c>
      <c r="E19" s="711">
        <f>transport!D14</f>
        <v>10.173891440441903</v>
      </c>
      <c r="F19" s="711">
        <f>transport!E14</f>
        <v>1165.9655032509743</v>
      </c>
      <c r="G19" s="711">
        <f>transport!F14</f>
        <v>0</v>
      </c>
      <c r="H19" s="711">
        <f>transport!G14</f>
        <v>261470.15522625193</v>
      </c>
      <c r="I19" s="711">
        <f>transport!H14</f>
        <v>34871.164949103644</v>
      </c>
      <c r="J19" s="711">
        <f>transport!I14</f>
        <v>0</v>
      </c>
      <c r="K19" s="711">
        <f>transport!J14</f>
        <v>0</v>
      </c>
      <c r="L19" s="711">
        <f>transport!K14</f>
        <v>0</v>
      </c>
      <c r="M19" s="711">
        <f>transport!L14</f>
        <v>0</v>
      </c>
      <c r="N19" s="711">
        <f>transport!M14</f>
        <v>12904.197412181942</v>
      </c>
      <c r="O19" s="711">
        <f>transport!N14</f>
        <v>0</v>
      </c>
      <c r="P19" s="711">
        <f>transport!O14</f>
        <v>0</v>
      </c>
      <c r="Q19" s="712">
        <f>transport!P14</f>
        <v>0</v>
      </c>
      <c r="R19" s="713">
        <f>SUM(C19:Q19)</f>
        <v>310423.72814745374</v>
      </c>
      <c r="S19" s="67"/>
    </row>
    <row r="20" spans="1:19" s="457" customFormat="1" ht="15.75" thickBot="1">
      <c r="A20" s="714" t="s">
        <v>231</v>
      </c>
      <c r="B20" s="866"/>
      <c r="C20" s="861">
        <f>SUM(C17:C19)</f>
        <v>2.0711652248110677</v>
      </c>
      <c r="D20" s="715">
        <f t="shared" ref="D20:R20" si="1">SUM(D17:D19)</f>
        <v>0</v>
      </c>
      <c r="E20" s="715">
        <f t="shared" si="1"/>
        <v>10.173891440441903</v>
      </c>
      <c r="F20" s="715">
        <f t="shared" si="1"/>
        <v>1165.9655032509743</v>
      </c>
      <c r="G20" s="715">
        <f t="shared" si="1"/>
        <v>0</v>
      </c>
      <c r="H20" s="715">
        <f t="shared" si="1"/>
        <v>263413.36483300669</v>
      </c>
      <c r="I20" s="715">
        <f t="shared" si="1"/>
        <v>34871.164949103644</v>
      </c>
      <c r="J20" s="715">
        <f t="shared" si="1"/>
        <v>0</v>
      </c>
      <c r="K20" s="715">
        <f t="shared" si="1"/>
        <v>0</v>
      </c>
      <c r="L20" s="715">
        <f t="shared" si="1"/>
        <v>0</v>
      </c>
      <c r="M20" s="715">
        <f t="shared" si="1"/>
        <v>0</v>
      </c>
      <c r="N20" s="715">
        <f t="shared" si="1"/>
        <v>12987.027995489298</v>
      </c>
      <c r="O20" s="715">
        <f t="shared" si="1"/>
        <v>0</v>
      </c>
      <c r="P20" s="715">
        <f t="shared" si="1"/>
        <v>0</v>
      </c>
      <c r="Q20" s="716">
        <f t="shared" si="1"/>
        <v>0</v>
      </c>
      <c r="R20" s="717">
        <f t="shared" si="1"/>
        <v>312449.76833751588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20035.981652065067</v>
      </c>
      <c r="D22" s="711">
        <f>+landbouw!C8</f>
        <v>77214.85714285713</v>
      </c>
      <c r="E22" s="711">
        <f>+landbouw!D8</f>
        <v>20202.433102493407</v>
      </c>
      <c r="F22" s="711">
        <f>+landbouw!E8</f>
        <v>209.82113747356624</v>
      </c>
      <c r="G22" s="711">
        <f>+landbouw!F8</f>
        <v>100567.99197950846</v>
      </c>
      <c r="H22" s="711">
        <f>+landbouw!G8</f>
        <v>0</v>
      </c>
      <c r="I22" s="711">
        <f>+landbouw!H8</f>
        <v>0</v>
      </c>
      <c r="J22" s="711">
        <f>+landbouw!I8</f>
        <v>0</v>
      </c>
      <c r="K22" s="711">
        <f>+landbouw!J8</f>
        <v>1789.3927470966271</v>
      </c>
      <c r="L22" s="711">
        <f>+landbouw!K8</f>
        <v>0</v>
      </c>
      <c r="M22" s="711">
        <f>+landbouw!L8</f>
        <v>0</v>
      </c>
      <c r="N22" s="711">
        <f>+landbouw!M8</f>
        <v>0</v>
      </c>
      <c r="O22" s="711">
        <f>+landbouw!N8</f>
        <v>0</v>
      </c>
      <c r="P22" s="711">
        <f>+landbouw!O8</f>
        <v>0</v>
      </c>
      <c r="Q22" s="712">
        <f>+landbouw!P8</f>
        <v>0</v>
      </c>
      <c r="R22" s="713">
        <f>SUM(C22:Q22)</f>
        <v>220020.47776149426</v>
      </c>
      <c r="S22" s="67"/>
    </row>
    <row r="23" spans="1:19" s="457" customFormat="1" ht="17.25" thickTop="1" thickBot="1">
      <c r="A23" s="718" t="s">
        <v>116</v>
      </c>
      <c r="B23" s="852"/>
      <c r="C23" s="719">
        <f ca="1">C20+C15+C22</f>
        <v>200551.07732256697</v>
      </c>
      <c r="D23" s="719">
        <f t="shared" ref="D23:Q23" ca="1" si="2">D20+D15+D22</f>
        <v>90856.285714285696</v>
      </c>
      <c r="E23" s="719">
        <f t="shared" ca="1" si="2"/>
        <v>194670.8558896131</v>
      </c>
      <c r="F23" s="719">
        <f t="shared" si="2"/>
        <v>12163.737194255846</v>
      </c>
      <c r="G23" s="719">
        <f t="shared" ca="1" si="2"/>
        <v>146365.18952939837</v>
      </c>
      <c r="H23" s="719">
        <f t="shared" si="2"/>
        <v>263413.36483300669</v>
      </c>
      <c r="I23" s="719">
        <f t="shared" si="2"/>
        <v>34871.164949103644</v>
      </c>
      <c r="J23" s="719">
        <f t="shared" si="2"/>
        <v>0</v>
      </c>
      <c r="K23" s="719">
        <f t="shared" si="2"/>
        <v>2321.1592635999323</v>
      </c>
      <c r="L23" s="719">
        <f t="shared" si="2"/>
        <v>0</v>
      </c>
      <c r="M23" s="719">
        <f t="shared" ca="1" si="2"/>
        <v>0</v>
      </c>
      <c r="N23" s="719">
        <f t="shared" si="2"/>
        <v>12987.027995489298</v>
      </c>
      <c r="O23" s="719">
        <f t="shared" ca="1" si="2"/>
        <v>23775.433761281456</v>
      </c>
      <c r="P23" s="719">
        <f t="shared" si="2"/>
        <v>148.51666666666668</v>
      </c>
      <c r="Q23" s="720">
        <f t="shared" si="2"/>
        <v>495.73333333333335</v>
      </c>
      <c r="R23" s="721">
        <f ca="1">R20+R15+R22</f>
        <v>982619.54645260097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11697.843931040263</v>
      </c>
      <c r="D36" s="702">
        <f ca="1">tertiair!C20</f>
        <v>2950.6233015520729</v>
      </c>
      <c r="E36" s="702">
        <f ca="1">tertiair!D20</f>
        <v>7603.0123267559866</v>
      </c>
      <c r="F36" s="702">
        <f>tertiair!E20</f>
        <v>234.64920976367222</v>
      </c>
      <c r="G36" s="702">
        <f ca="1">tertiair!F20</f>
        <v>2588.1523345524324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25074.281103664427</v>
      </c>
    </row>
    <row r="37" spans="1:18">
      <c r="A37" s="873" t="s">
        <v>226</v>
      </c>
      <c r="B37" s="880"/>
      <c r="C37" s="702">
        <f ca="1">huishoudens!B12</f>
        <v>7425.7056573776226</v>
      </c>
      <c r="D37" s="702">
        <f ca="1">huishoudens!C12</f>
        <v>0</v>
      </c>
      <c r="E37" s="702">
        <f>huishoudens!D12</f>
        <v>17276.22808549225</v>
      </c>
      <c r="F37" s="702">
        <f>huishoudens!E12</f>
        <v>2028.2550472117682</v>
      </c>
      <c r="G37" s="702">
        <f>huishoudens!F12</f>
        <v>4857.1358548492808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31587.324644930923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16346.617552821457</v>
      </c>
      <c r="D39" s="702">
        <f ca="1">industrie!C22</f>
        <v>179.98802139467645</v>
      </c>
      <c r="E39" s="702">
        <f>industrie!D22</f>
        <v>10361.325864678975</v>
      </c>
      <c r="F39" s="702">
        <f>industrie!E22</f>
        <v>185.96051867616586</v>
      </c>
      <c r="G39" s="702">
        <f>industrie!F22</f>
        <v>4782.5635564188933</v>
      </c>
      <c r="H39" s="702">
        <f>industrie!G22</f>
        <v>0</v>
      </c>
      <c r="I39" s="702">
        <f>industrie!H22</f>
        <v>0</v>
      </c>
      <c r="J39" s="702">
        <f>industrie!I22</f>
        <v>0</v>
      </c>
      <c r="K39" s="702">
        <f>industrie!J22</f>
        <v>188.24534684217011</v>
      </c>
      <c r="L39" s="702">
        <f>industrie!K22</f>
        <v>0</v>
      </c>
      <c r="M39" s="702">
        <f>industrie!L22</f>
        <v>0</v>
      </c>
      <c r="N39" s="702">
        <f>industrie!M22</f>
        <v>0</v>
      </c>
      <c r="O39" s="702">
        <f>industrie!N22</f>
        <v>0</v>
      </c>
      <c r="P39" s="702">
        <f>industrie!O22</f>
        <v>0</v>
      </c>
      <c r="Q39" s="812">
        <f>industrie!P22</f>
        <v>0</v>
      </c>
      <c r="R39" s="906">
        <f ca="1">SUM(C39:Q39)</f>
        <v>32044.700860832338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35470.167141239341</v>
      </c>
      <c r="D41" s="747">
        <f t="shared" ref="D41:R41" ca="1" si="4">SUM(D35:D40)</f>
        <v>3130.6113229467492</v>
      </c>
      <c r="E41" s="747">
        <f t="shared" ca="1" si="4"/>
        <v>35240.566276927209</v>
      </c>
      <c r="F41" s="747">
        <f t="shared" si="4"/>
        <v>2448.8647756516066</v>
      </c>
      <c r="G41" s="747">
        <f t="shared" ca="1" si="4"/>
        <v>12227.851745820608</v>
      </c>
      <c r="H41" s="747">
        <f t="shared" si="4"/>
        <v>0</v>
      </c>
      <c r="I41" s="747">
        <f t="shared" si="4"/>
        <v>0</v>
      </c>
      <c r="J41" s="747">
        <f t="shared" si="4"/>
        <v>0</v>
      </c>
      <c r="K41" s="747">
        <f t="shared" si="4"/>
        <v>188.24534684217011</v>
      </c>
      <c r="L41" s="747">
        <f t="shared" si="4"/>
        <v>0</v>
      </c>
      <c r="M41" s="747">
        <f t="shared" ca="1" si="4"/>
        <v>0</v>
      </c>
      <c r="N41" s="747">
        <f t="shared" si="4"/>
        <v>0</v>
      </c>
      <c r="O41" s="747">
        <f t="shared" ca="1" si="4"/>
        <v>0</v>
      </c>
      <c r="P41" s="747">
        <f t="shared" si="4"/>
        <v>0</v>
      </c>
      <c r="Q41" s="748">
        <f t="shared" si="4"/>
        <v>0</v>
      </c>
      <c r="R41" s="749">
        <f t="shared" ca="1" si="4"/>
        <v>88706.306609427687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518.83696500352551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518.83696500352551</v>
      </c>
    </row>
    <row r="45" spans="1:18" ht="15" thickBot="1">
      <c r="A45" s="876" t="s">
        <v>308</v>
      </c>
      <c r="B45" s="886"/>
      <c r="C45" s="711">
        <f ca="1">transport!B18</f>
        <v>0.40697659851698659</v>
      </c>
      <c r="D45" s="711">
        <f>transport!C18</f>
        <v>0</v>
      </c>
      <c r="E45" s="711">
        <f>transport!D18</f>
        <v>2.0551260709692647</v>
      </c>
      <c r="F45" s="711">
        <f>transport!E18</f>
        <v>264.67416923797117</v>
      </c>
      <c r="G45" s="711">
        <f>transport!F18</f>
        <v>0</v>
      </c>
      <c r="H45" s="711">
        <f>transport!G18</f>
        <v>69812.531445409273</v>
      </c>
      <c r="I45" s="711">
        <f>transport!H18</f>
        <v>8682.9200723268077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78762.587789643527</v>
      </c>
    </row>
    <row r="46" spans="1:18" ht="15.75" thickBot="1">
      <c r="A46" s="874" t="s">
        <v>231</v>
      </c>
      <c r="B46" s="887"/>
      <c r="C46" s="747">
        <f t="shared" ref="C46:R46" ca="1" si="5">SUM(C43:C45)</f>
        <v>0.40697659851698659</v>
      </c>
      <c r="D46" s="747">
        <f t="shared" ca="1" si="5"/>
        <v>0</v>
      </c>
      <c r="E46" s="747">
        <f t="shared" si="5"/>
        <v>2.0551260709692647</v>
      </c>
      <c r="F46" s="747">
        <f t="shared" si="5"/>
        <v>264.67416923797117</v>
      </c>
      <c r="G46" s="747">
        <f t="shared" si="5"/>
        <v>0</v>
      </c>
      <c r="H46" s="747">
        <f t="shared" si="5"/>
        <v>70331.368410412804</v>
      </c>
      <c r="I46" s="747">
        <f t="shared" si="5"/>
        <v>8682.9200723268077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79281.424754647058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3936.9991167411672</v>
      </c>
      <c r="D48" s="702">
        <f ca="1">+landbouw!C12</f>
        <v>17720.263299801125</v>
      </c>
      <c r="E48" s="702">
        <f>+landbouw!D12</f>
        <v>4080.8914867036683</v>
      </c>
      <c r="F48" s="702">
        <f>+landbouw!E12</f>
        <v>47.629398206499538</v>
      </c>
      <c r="G48" s="702">
        <f>+landbouw!F12</f>
        <v>26851.65385852876</v>
      </c>
      <c r="H48" s="702">
        <f>+landbouw!G12</f>
        <v>0</v>
      </c>
      <c r="I48" s="702">
        <f>+landbouw!H12</f>
        <v>0</v>
      </c>
      <c r="J48" s="702">
        <f>+landbouw!I12</f>
        <v>0</v>
      </c>
      <c r="K48" s="702">
        <f>+landbouw!J12</f>
        <v>633.44503247220598</v>
      </c>
      <c r="L48" s="702">
        <f>+landbouw!K12</f>
        <v>0</v>
      </c>
      <c r="M48" s="702">
        <f>+landbouw!L12</f>
        <v>0</v>
      </c>
      <c r="N48" s="702">
        <f>+landbouw!M12</f>
        <v>0</v>
      </c>
      <c r="O48" s="702">
        <f>+landbouw!N12</f>
        <v>0</v>
      </c>
      <c r="P48" s="702">
        <f>+landbouw!O12</f>
        <v>0</v>
      </c>
      <c r="Q48" s="703">
        <f>+landbouw!P12</f>
        <v>0</v>
      </c>
      <c r="R48" s="745">
        <f ca="1">SUM(C48:Q48)</f>
        <v>53270.882192453428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39407.573234579024</v>
      </c>
      <c r="D53" s="757">
        <f t="shared" ref="D53:Q53" ca="1" si="6">D41+D46+D48</f>
        <v>20850.874622747873</v>
      </c>
      <c r="E53" s="757">
        <f t="shared" ca="1" si="6"/>
        <v>39323.512889701844</v>
      </c>
      <c r="F53" s="757">
        <f t="shared" si="6"/>
        <v>2761.168343096077</v>
      </c>
      <c r="G53" s="757">
        <f t="shared" ca="1" si="6"/>
        <v>39079.505604349368</v>
      </c>
      <c r="H53" s="757">
        <f t="shared" si="6"/>
        <v>70331.368410412804</v>
      </c>
      <c r="I53" s="757">
        <f t="shared" si="6"/>
        <v>8682.9200723268077</v>
      </c>
      <c r="J53" s="757">
        <f t="shared" si="6"/>
        <v>0</v>
      </c>
      <c r="K53" s="757">
        <f t="shared" si="6"/>
        <v>821.69037931437606</v>
      </c>
      <c r="L53" s="757">
        <f t="shared" si="6"/>
        <v>0</v>
      </c>
      <c r="M53" s="757">
        <f t="shared" ca="1" si="6"/>
        <v>0</v>
      </c>
      <c r="N53" s="757">
        <f t="shared" si="6"/>
        <v>0</v>
      </c>
      <c r="O53" s="757">
        <f t="shared" ca="1" si="6"/>
        <v>0</v>
      </c>
      <c r="P53" s="757">
        <f>P41+P46+P48</f>
        <v>0</v>
      </c>
      <c r="Q53" s="758">
        <f t="shared" si="6"/>
        <v>0</v>
      </c>
      <c r="R53" s="759">
        <f ca="1">R41+R46+R48</f>
        <v>221258.61355652817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0.19649644250574511</v>
      </c>
      <c r="D55" s="823">
        <f t="shared" ca="1" si="7"/>
        <v>0.22949292345405012</v>
      </c>
      <c r="E55" s="823">
        <f t="shared" ca="1" si="7"/>
        <v>0.20199999999999999</v>
      </c>
      <c r="F55" s="823">
        <f t="shared" si="7"/>
        <v>0.22700000000000001</v>
      </c>
      <c r="G55" s="823">
        <f t="shared" ca="1" si="7"/>
        <v>0.26700000000000002</v>
      </c>
      <c r="H55" s="823">
        <f t="shared" si="7"/>
        <v>0.26700000000000007</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19822.423909587538</v>
      </c>
      <c r="C64" s="779">
        <f>'lokale energieproductie'!B4</f>
        <v>19822.423909587538</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3547.5112014162096</v>
      </c>
      <c r="C66" s="779">
        <f>'lokale energieproductie'!B6</f>
        <v>3547.5112014162096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64395</v>
      </c>
      <c r="C67" s="778">
        <f>B67*IFERROR(SUM(J67:L67)/SUM(D67:M67),0)</f>
        <v>2474.9873292974803</v>
      </c>
      <c r="D67" s="810">
        <f>'lokale energieproductie'!C7</f>
        <v>71876.490463847091</v>
      </c>
      <c r="E67" s="811">
        <f>'lokale energieproductie'!D7</f>
        <v>0</v>
      </c>
      <c r="F67" s="811">
        <f>'lokale energieproductie'!E7</f>
        <v>970.58326639116865</v>
      </c>
      <c r="G67" s="811">
        <f>'lokale energieproductie'!F7</f>
        <v>0</v>
      </c>
      <c r="H67" s="811">
        <f>'lokale energieproductie'!G7</f>
        <v>0</v>
      </c>
      <c r="I67" s="811">
        <f>'lokale energieproductie'!H7</f>
        <v>0</v>
      </c>
      <c r="J67" s="811">
        <f>'lokale energieproductie'!I7</f>
        <v>2911.7497991735058</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14778.196805823556</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89105.935111003753</v>
      </c>
      <c r="C69" s="787">
        <f>SUM(C64:C68)</f>
        <v>27185.922440301227</v>
      </c>
      <c r="D69" s="788">
        <f t="shared" ref="D69:M69" si="8">SUM(D67:D68)</f>
        <v>71876.490463847091</v>
      </c>
      <c r="E69" s="788">
        <f t="shared" si="8"/>
        <v>0</v>
      </c>
      <c r="F69" s="788">
        <f t="shared" si="8"/>
        <v>970.58326639116865</v>
      </c>
      <c r="G69" s="788">
        <f t="shared" si="8"/>
        <v>0</v>
      </c>
      <c r="H69" s="788">
        <f t="shared" si="8"/>
        <v>0</v>
      </c>
      <c r="I69" s="788">
        <f t="shared" si="8"/>
        <v>0</v>
      </c>
      <c r="J69" s="788">
        <f t="shared" si="8"/>
        <v>2911.7497991735058</v>
      </c>
      <c r="K69" s="788">
        <f t="shared" si="8"/>
        <v>3831.4285714285716</v>
      </c>
      <c r="L69" s="788">
        <f t="shared" si="8"/>
        <v>0</v>
      </c>
      <c r="M69" s="918">
        <f t="shared" si="8"/>
        <v>0</v>
      </c>
      <c r="N69" s="789">
        <v>0</v>
      </c>
      <c r="O69" s="789">
        <f>SUM(O67:O68)</f>
        <v>14778.196805823556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90856.28571428571</v>
      </c>
      <c r="C78" s="801">
        <f>B78*IFERROR(SUM(I78:L78)/SUM(D78:M78),0)</f>
        <v>3492.0126707025202</v>
      </c>
      <c r="D78" s="816">
        <f>'lokale energieproductie'!C16</f>
        <v>101412.08096472433</v>
      </c>
      <c r="E78" s="816">
        <f>'lokale energieproductie'!D16</f>
        <v>0</v>
      </c>
      <c r="F78" s="816">
        <f>'lokale energieproductie'!E16</f>
        <v>1369.4167336088315</v>
      </c>
      <c r="G78" s="816">
        <f>'lokale energieproductie'!F16</f>
        <v>0</v>
      </c>
      <c r="H78" s="816">
        <f>'lokale energieproductie'!G16</f>
        <v>0</v>
      </c>
      <c r="I78" s="816">
        <f>'lokale energieproductie'!H16</f>
        <v>0</v>
      </c>
      <c r="J78" s="816">
        <f>'lokale energieproductie'!I16</f>
        <v>4108.2502008264946</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20850.874622747873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90856.28571428571</v>
      </c>
      <c r="C81" s="787">
        <f>SUM(C78:C80)</f>
        <v>3492.0126707025202</v>
      </c>
      <c r="D81" s="787">
        <f t="shared" ref="D81:P81" si="9">SUM(D78:D80)</f>
        <v>101412.08096472433</v>
      </c>
      <c r="E81" s="787">
        <f t="shared" si="9"/>
        <v>0</v>
      </c>
      <c r="F81" s="787">
        <f t="shared" si="9"/>
        <v>1369.4167336088315</v>
      </c>
      <c r="G81" s="787">
        <f t="shared" si="9"/>
        <v>0</v>
      </c>
      <c r="H81" s="787">
        <f t="shared" si="9"/>
        <v>0</v>
      </c>
      <c r="I81" s="787">
        <f t="shared" si="9"/>
        <v>0</v>
      </c>
      <c r="J81" s="787">
        <f t="shared" si="9"/>
        <v>4108.2502008264946</v>
      </c>
      <c r="K81" s="787">
        <f t="shared" si="9"/>
        <v>0</v>
      </c>
      <c r="L81" s="787">
        <f t="shared" si="9"/>
        <v>0</v>
      </c>
      <c r="M81" s="787">
        <f t="shared" si="9"/>
        <v>0</v>
      </c>
      <c r="N81" s="787">
        <v>0</v>
      </c>
      <c r="O81" s="787">
        <f>SUM(O78:O80)</f>
        <v>20850.874622747873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37790.534844723777</v>
      </c>
      <c r="C4" s="461">
        <f>huishoudens!C8</f>
        <v>0</v>
      </c>
      <c r="D4" s="461">
        <f>huishoudens!D8</f>
        <v>85525.881611347766</v>
      </c>
      <c r="E4" s="461">
        <f>huishoudens!E8</f>
        <v>8935.0442608447938</v>
      </c>
      <c r="F4" s="461">
        <f>huishoudens!F8</f>
        <v>18191.520055615281</v>
      </c>
      <c r="G4" s="461">
        <f>huishoudens!G8</f>
        <v>0</v>
      </c>
      <c r="H4" s="461">
        <f>huishoudens!H8</f>
        <v>0</v>
      </c>
      <c r="I4" s="461">
        <f>huishoudens!I8</f>
        <v>0</v>
      </c>
      <c r="J4" s="461">
        <f>huishoudens!J8</f>
        <v>0</v>
      </c>
      <c r="K4" s="461">
        <f>huishoudens!K8</f>
        <v>0</v>
      </c>
      <c r="L4" s="461">
        <f>huishoudens!L8</f>
        <v>0</v>
      </c>
      <c r="M4" s="461">
        <f>huishoudens!M8</f>
        <v>0</v>
      </c>
      <c r="N4" s="461">
        <f>huishoudens!N8</f>
        <v>22208.555421415891</v>
      </c>
      <c r="O4" s="461">
        <f>huishoudens!O8</f>
        <v>148.51666666666668</v>
      </c>
      <c r="P4" s="462">
        <f>huishoudens!P8</f>
        <v>419.4666666666667</v>
      </c>
      <c r="Q4" s="463">
        <f>SUM(B4:P4)</f>
        <v>173219.51952728085</v>
      </c>
    </row>
    <row r="5" spans="1:17">
      <c r="A5" s="460" t="s">
        <v>156</v>
      </c>
      <c r="B5" s="461">
        <f ca="1">tertiair!B16</f>
        <v>58096.551158315437</v>
      </c>
      <c r="C5" s="461">
        <f ca="1">tertiair!C16</f>
        <v>12857.142857142857</v>
      </c>
      <c r="D5" s="461">
        <f ca="1">tertiair!D16</f>
        <v>37638.674884930624</v>
      </c>
      <c r="E5" s="461">
        <f>tertiair!E16</f>
        <v>1033.6969593113313</v>
      </c>
      <c r="F5" s="461">
        <f ca="1">tertiair!F16</f>
        <v>9693.4544365259644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76.266666666666666</v>
      </c>
      <c r="Q5" s="460">
        <f t="shared" ref="Q5:Q13" ca="1" si="0">SUM(B5:P5)</f>
        <v>119395.78696289287</v>
      </c>
    </row>
    <row r="6" spans="1:17">
      <c r="A6" s="460" t="s">
        <v>195</v>
      </c>
      <c r="B6" s="461">
        <f>'openbare verlichting'!B8</f>
        <v>1435.539</v>
      </c>
      <c r="C6" s="461"/>
      <c r="D6" s="461"/>
      <c r="E6" s="461"/>
      <c r="F6" s="461"/>
      <c r="G6" s="461"/>
      <c r="H6" s="461"/>
      <c r="I6" s="461"/>
      <c r="J6" s="461"/>
      <c r="K6" s="461"/>
      <c r="L6" s="461"/>
      <c r="M6" s="461"/>
      <c r="N6" s="461"/>
      <c r="O6" s="461"/>
      <c r="P6" s="462"/>
      <c r="Q6" s="460">
        <f t="shared" si="0"/>
        <v>1435.539</v>
      </c>
    </row>
    <row r="7" spans="1:17">
      <c r="A7" s="460" t="s">
        <v>112</v>
      </c>
      <c r="B7" s="461">
        <f>landbouw!B8</f>
        <v>20035.981652065067</v>
      </c>
      <c r="C7" s="461">
        <f>landbouw!C8</f>
        <v>77214.85714285713</v>
      </c>
      <c r="D7" s="461">
        <f>landbouw!D8</f>
        <v>20202.433102493407</v>
      </c>
      <c r="E7" s="461">
        <f>landbouw!E8</f>
        <v>209.82113747356624</v>
      </c>
      <c r="F7" s="461">
        <f>landbouw!F8</f>
        <v>100567.99197950846</v>
      </c>
      <c r="G7" s="461">
        <f>landbouw!G8</f>
        <v>0</v>
      </c>
      <c r="H7" s="461">
        <f>landbouw!H8</f>
        <v>0</v>
      </c>
      <c r="I7" s="461">
        <f>landbouw!I8</f>
        <v>0</v>
      </c>
      <c r="J7" s="461">
        <f>landbouw!J8</f>
        <v>1789.3927470966271</v>
      </c>
      <c r="K7" s="461">
        <f>landbouw!K8</f>
        <v>0</v>
      </c>
      <c r="L7" s="461">
        <f>landbouw!L8</f>
        <v>0</v>
      </c>
      <c r="M7" s="461">
        <f>landbouw!M8</f>
        <v>0</v>
      </c>
      <c r="N7" s="461">
        <f>landbouw!N8</f>
        <v>0</v>
      </c>
      <c r="O7" s="461">
        <f>landbouw!O8</f>
        <v>0</v>
      </c>
      <c r="P7" s="462">
        <f>landbouw!P8</f>
        <v>0</v>
      </c>
      <c r="Q7" s="460">
        <f t="shared" si="0"/>
        <v>220020.47776149426</v>
      </c>
    </row>
    <row r="8" spans="1:17">
      <c r="A8" s="460" t="s">
        <v>656</v>
      </c>
      <c r="B8" s="461">
        <f>industrie!B18</f>
        <v>83190.399502237909</v>
      </c>
      <c r="C8" s="461">
        <f>industrie!C18</f>
        <v>784.28571428571433</v>
      </c>
      <c r="D8" s="461">
        <f>industrie!D18</f>
        <v>51293.692399400861</v>
      </c>
      <c r="E8" s="461">
        <f>industrie!E18</f>
        <v>819.20933337517999</v>
      </c>
      <c r="F8" s="461">
        <f>industrie!F18</f>
        <v>17912.223057748663</v>
      </c>
      <c r="G8" s="461">
        <f>industrie!G18</f>
        <v>0</v>
      </c>
      <c r="H8" s="461">
        <f>industrie!H18</f>
        <v>0</v>
      </c>
      <c r="I8" s="461">
        <f>industrie!I18</f>
        <v>0</v>
      </c>
      <c r="J8" s="461">
        <f>industrie!J18</f>
        <v>531.76651650330541</v>
      </c>
      <c r="K8" s="461">
        <f>industrie!K18</f>
        <v>0</v>
      </c>
      <c r="L8" s="461">
        <f>industrie!L18</f>
        <v>0</v>
      </c>
      <c r="M8" s="461">
        <f>industrie!M18</f>
        <v>0</v>
      </c>
      <c r="N8" s="461">
        <f>industrie!N18</f>
        <v>1566.8783398655639</v>
      </c>
      <c r="O8" s="461">
        <f>industrie!O18</f>
        <v>0</v>
      </c>
      <c r="P8" s="462">
        <f>industrie!P18</f>
        <v>0</v>
      </c>
      <c r="Q8" s="460">
        <f t="shared" si="0"/>
        <v>156098.4548634172</v>
      </c>
    </row>
    <row r="9" spans="1:17" s="466" customFormat="1">
      <c r="A9" s="464" t="s">
        <v>574</v>
      </c>
      <c r="B9" s="465">
        <f>transport!B14</f>
        <v>2.0711652248110677</v>
      </c>
      <c r="C9" s="465">
        <f>transport!C14</f>
        <v>0</v>
      </c>
      <c r="D9" s="465">
        <f>transport!D14</f>
        <v>10.173891440441903</v>
      </c>
      <c r="E9" s="465">
        <f>transport!E14</f>
        <v>1165.9655032509743</v>
      </c>
      <c r="F9" s="465">
        <f>transport!F14</f>
        <v>0</v>
      </c>
      <c r="G9" s="465">
        <f>transport!G14</f>
        <v>261470.15522625193</v>
      </c>
      <c r="H9" s="465">
        <f>transport!H14</f>
        <v>34871.164949103644</v>
      </c>
      <c r="I9" s="465">
        <f>transport!I14</f>
        <v>0</v>
      </c>
      <c r="J9" s="465">
        <f>transport!J14</f>
        <v>0</v>
      </c>
      <c r="K9" s="465">
        <f>transport!K14</f>
        <v>0</v>
      </c>
      <c r="L9" s="465">
        <f>transport!L14</f>
        <v>0</v>
      </c>
      <c r="M9" s="465">
        <f>transport!M14</f>
        <v>12904.197412181942</v>
      </c>
      <c r="N9" s="465">
        <f>transport!N14</f>
        <v>0</v>
      </c>
      <c r="O9" s="465">
        <f>transport!O14</f>
        <v>0</v>
      </c>
      <c r="P9" s="465">
        <f>transport!P14</f>
        <v>0</v>
      </c>
      <c r="Q9" s="464">
        <f>SUM(B9:P9)</f>
        <v>310423.72814745374</v>
      </c>
    </row>
    <row r="10" spans="1:17">
      <c r="A10" s="460" t="s">
        <v>564</v>
      </c>
      <c r="B10" s="461">
        <f>transport!B54</f>
        <v>0</v>
      </c>
      <c r="C10" s="461">
        <f>transport!C54</f>
        <v>0</v>
      </c>
      <c r="D10" s="461">
        <f>transport!D54</f>
        <v>0</v>
      </c>
      <c r="E10" s="461">
        <f>transport!E54</f>
        <v>0</v>
      </c>
      <c r="F10" s="461">
        <f>transport!F54</f>
        <v>0</v>
      </c>
      <c r="G10" s="461">
        <f>transport!G54</f>
        <v>1943.209606754777</v>
      </c>
      <c r="H10" s="461">
        <f>transport!H54</f>
        <v>0</v>
      </c>
      <c r="I10" s="461">
        <f>transport!I54</f>
        <v>0</v>
      </c>
      <c r="J10" s="461">
        <f>transport!J54</f>
        <v>0</v>
      </c>
      <c r="K10" s="461">
        <f>transport!K54</f>
        <v>0</v>
      </c>
      <c r="L10" s="461">
        <f>transport!L54</f>
        <v>0</v>
      </c>
      <c r="M10" s="461">
        <f>transport!M54</f>
        <v>82.830583307355212</v>
      </c>
      <c r="N10" s="461">
        <f>transport!N54</f>
        <v>0</v>
      </c>
      <c r="O10" s="461">
        <f>transport!O54</f>
        <v>0</v>
      </c>
      <c r="P10" s="462">
        <f>transport!P54</f>
        <v>0</v>
      </c>
      <c r="Q10" s="460">
        <f t="shared" si="0"/>
        <v>2026.0401900621323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200551.07732256697</v>
      </c>
      <c r="C14" s="471">
        <f t="shared" ref="C14:Q14" ca="1" si="1">SUM(C4:C13)</f>
        <v>90856.285714285696</v>
      </c>
      <c r="D14" s="471">
        <f t="shared" ca="1" si="1"/>
        <v>194670.8558896131</v>
      </c>
      <c r="E14" s="471">
        <f t="shared" si="1"/>
        <v>12163.737194255846</v>
      </c>
      <c r="F14" s="471">
        <f t="shared" ca="1" si="1"/>
        <v>146365.18952939837</v>
      </c>
      <c r="G14" s="471">
        <f t="shared" si="1"/>
        <v>263413.36483300669</v>
      </c>
      <c r="H14" s="471">
        <f t="shared" si="1"/>
        <v>34871.164949103644</v>
      </c>
      <c r="I14" s="471">
        <f t="shared" si="1"/>
        <v>0</v>
      </c>
      <c r="J14" s="471">
        <f t="shared" si="1"/>
        <v>2321.1592635999323</v>
      </c>
      <c r="K14" s="471">
        <f t="shared" si="1"/>
        <v>0</v>
      </c>
      <c r="L14" s="471">
        <f t="shared" ca="1" si="1"/>
        <v>0</v>
      </c>
      <c r="M14" s="471">
        <f t="shared" si="1"/>
        <v>12987.027995489298</v>
      </c>
      <c r="N14" s="471">
        <f t="shared" ca="1" si="1"/>
        <v>23775.433761281456</v>
      </c>
      <c r="O14" s="471">
        <f t="shared" si="1"/>
        <v>148.51666666666668</v>
      </c>
      <c r="P14" s="472">
        <f t="shared" si="1"/>
        <v>495.73333333333335</v>
      </c>
      <c r="Q14" s="472">
        <f t="shared" ca="1" si="1"/>
        <v>982619.54645260109</v>
      </c>
    </row>
    <row r="16" spans="1:17">
      <c r="A16" s="474" t="s">
        <v>569</v>
      </c>
      <c r="B16" s="828">
        <f ca="1">huishoudens!B10</f>
        <v>0.19649644250574511</v>
      </c>
      <c r="C16" s="828">
        <f ca="1">huishoudens!C10</f>
        <v>0.22949292345405012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7425.7056573776226</v>
      </c>
      <c r="C21" s="461">
        <f t="shared" ref="C21:C30" ca="1" si="3">C4*$C$16</f>
        <v>0</v>
      </c>
      <c r="D21" s="461">
        <f t="shared" ref="D21:D30" si="4">D4*$D$16</f>
        <v>17276.22808549225</v>
      </c>
      <c r="E21" s="461">
        <f t="shared" ref="E21:E30" si="5">E4*$E$16</f>
        <v>2028.2550472117682</v>
      </c>
      <c r="F21" s="461">
        <f t="shared" ref="F21:F30" si="6">F4*$F$16</f>
        <v>4857.1358548492808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31587.324644930923</v>
      </c>
    </row>
    <row r="22" spans="1:17">
      <c r="A22" s="460" t="s">
        <v>156</v>
      </c>
      <c r="B22" s="461">
        <f t="shared" ca="1" si="2"/>
        <v>11415.765624462008</v>
      </c>
      <c r="C22" s="461">
        <f t="shared" ca="1" si="3"/>
        <v>2950.6233015520729</v>
      </c>
      <c r="D22" s="461">
        <f t="shared" ca="1" si="4"/>
        <v>7603.0123267559866</v>
      </c>
      <c r="E22" s="461">
        <f t="shared" si="5"/>
        <v>234.64920976367222</v>
      </c>
      <c r="F22" s="461">
        <f t="shared" ca="1" si="6"/>
        <v>2588.1523345524324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24792.202797086175</v>
      </c>
    </row>
    <row r="23" spans="1:17">
      <c r="A23" s="460" t="s">
        <v>195</v>
      </c>
      <c r="B23" s="461">
        <f t="shared" ca="1" si="2"/>
        <v>282.0783065782548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282.0783065782548</v>
      </c>
    </row>
    <row r="24" spans="1:17">
      <c r="A24" s="460" t="s">
        <v>112</v>
      </c>
      <c r="B24" s="461">
        <f t="shared" ca="1" si="2"/>
        <v>3936.9991167411672</v>
      </c>
      <c r="C24" s="461">
        <f t="shared" ca="1" si="3"/>
        <v>17720.263299801125</v>
      </c>
      <c r="D24" s="461">
        <f t="shared" si="4"/>
        <v>4080.8914867036683</v>
      </c>
      <c r="E24" s="461">
        <f t="shared" si="5"/>
        <v>47.629398206499538</v>
      </c>
      <c r="F24" s="461">
        <f t="shared" si="6"/>
        <v>26851.65385852876</v>
      </c>
      <c r="G24" s="461">
        <f t="shared" si="7"/>
        <v>0</v>
      </c>
      <c r="H24" s="461">
        <f t="shared" si="8"/>
        <v>0</v>
      </c>
      <c r="I24" s="461">
        <f t="shared" si="9"/>
        <v>0</v>
      </c>
      <c r="J24" s="461">
        <f t="shared" si="10"/>
        <v>633.44503247220598</v>
      </c>
      <c r="K24" s="461">
        <f t="shared" si="11"/>
        <v>0</v>
      </c>
      <c r="L24" s="461">
        <f t="shared" si="12"/>
        <v>0</v>
      </c>
      <c r="M24" s="461">
        <f t="shared" si="13"/>
        <v>0</v>
      </c>
      <c r="N24" s="461">
        <f t="shared" si="14"/>
        <v>0</v>
      </c>
      <c r="O24" s="461">
        <f t="shared" si="15"/>
        <v>0</v>
      </c>
      <c r="P24" s="462">
        <f t="shared" si="16"/>
        <v>0</v>
      </c>
      <c r="Q24" s="460">
        <f t="shared" ca="1" si="17"/>
        <v>53270.882192453428</v>
      </c>
    </row>
    <row r="25" spans="1:17">
      <c r="A25" s="460" t="s">
        <v>656</v>
      </c>
      <c r="B25" s="461">
        <f t="shared" ca="1" si="2"/>
        <v>16346.617552821457</v>
      </c>
      <c r="C25" s="461">
        <f t="shared" ca="1" si="3"/>
        <v>179.98802139467645</v>
      </c>
      <c r="D25" s="461">
        <f t="shared" si="4"/>
        <v>10361.325864678975</v>
      </c>
      <c r="E25" s="461">
        <f t="shared" si="5"/>
        <v>185.96051867616586</v>
      </c>
      <c r="F25" s="461">
        <f t="shared" si="6"/>
        <v>4782.5635564188933</v>
      </c>
      <c r="G25" s="461">
        <f t="shared" si="7"/>
        <v>0</v>
      </c>
      <c r="H25" s="461">
        <f t="shared" si="8"/>
        <v>0</v>
      </c>
      <c r="I25" s="461">
        <f t="shared" si="9"/>
        <v>0</v>
      </c>
      <c r="J25" s="461">
        <f t="shared" si="10"/>
        <v>188.24534684217011</v>
      </c>
      <c r="K25" s="461">
        <f t="shared" si="11"/>
        <v>0</v>
      </c>
      <c r="L25" s="461">
        <f t="shared" si="12"/>
        <v>0</v>
      </c>
      <c r="M25" s="461">
        <f t="shared" si="13"/>
        <v>0</v>
      </c>
      <c r="N25" s="461">
        <f t="shared" si="14"/>
        <v>0</v>
      </c>
      <c r="O25" s="461">
        <f t="shared" si="15"/>
        <v>0</v>
      </c>
      <c r="P25" s="462">
        <f t="shared" si="16"/>
        <v>0</v>
      </c>
      <c r="Q25" s="460">
        <f t="shared" ca="1" si="17"/>
        <v>32044.700860832338</v>
      </c>
    </row>
    <row r="26" spans="1:17" s="466" customFormat="1">
      <c r="A26" s="464" t="s">
        <v>574</v>
      </c>
      <c r="B26" s="822">
        <f t="shared" ca="1" si="2"/>
        <v>0.40697659851698659</v>
      </c>
      <c r="C26" s="465">
        <f t="shared" ca="1" si="3"/>
        <v>0</v>
      </c>
      <c r="D26" s="465">
        <f t="shared" si="4"/>
        <v>2.0551260709692647</v>
      </c>
      <c r="E26" s="465">
        <f t="shared" si="5"/>
        <v>264.67416923797117</v>
      </c>
      <c r="F26" s="465">
        <f t="shared" si="6"/>
        <v>0</v>
      </c>
      <c r="G26" s="465">
        <f t="shared" si="7"/>
        <v>69812.531445409273</v>
      </c>
      <c r="H26" s="465">
        <f t="shared" si="8"/>
        <v>8682.9200723268077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78762.587789643527</v>
      </c>
    </row>
    <row r="27" spans="1:17">
      <c r="A27" s="460" t="s">
        <v>564</v>
      </c>
      <c r="B27" s="461">
        <f t="shared" ca="1" si="2"/>
        <v>0</v>
      </c>
      <c r="C27" s="461">
        <f t="shared" ca="1" si="3"/>
        <v>0</v>
      </c>
      <c r="D27" s="461">
        <f t="shared" si="4"/>
        <v>0</v>
      </c>
      <c r="E27" s="461">
        <f t="shared" si="5"/>
        <v>0</v>
      </c>
      <c r="F27" s="461">
        <f t="shared" si="6"/>
        <v>0</v>
      </c>
      <c r="G27" s="461">
        <f t="shared" si="7"/>
        <v>518.83696500352551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518.83696500352551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39407.573234579031</v>
      </c>
      <c r="C31" s="471">
        <f t="shared" ca="1" si="18"/>
        <v>20850.874622747877</v>
      </c>
      <c r="D31" s="471">
        <f t="shared" ca="1" si="18"/>
        <v>39323.512889701851</v>
      </c>
      <c r="E31" s="471">
        <f t="shared" si="18"/>
        <v>2761.168343096077</v>
      </c>
      <c r="F31" s="471">
        <f t="shared" ca="1" si="18"/>
        <v>39079.505604349368</v>
      </c>
      <c r="G31" s="471">
        <f t="shared" si="18"/>
        <v>70331.368410412804</v>
      </c>
      <c r="H31" s="471">
        <f t="shared" si="18"/>
        <v>8682.9200723268077</v>
      </c>
      <c r="I31" s="471">
        <f t="shared" si="18"/>
        <v>0</v>
      </c>
      <c r="J31" s="471">
        <f t="shared" si="18"/>
        <v>821.69037931437606</v>
      </c>
      <c r="K31" s="471">
        <f t="shared" si="18"/>
        <v>0</v>
      </c>
      <c r="L31" s="471">
        <f t="shared" ca="1" si="18"/>
        <v>0</v>
      </c>
      <c r="M31" s="471">
        <f t="shared" si="18"/>
        <v>0</v>
      </c>
      <c r="N31" s="471">
        <f t="shared" ca="1" si="18"/>
        <v>0</v>
      </c>
      <c r="O31" s="471">
        <f t="shared" si="18"/>
        <v>0</v>
      </c>
      <c r="P31" s="472">
        <f t="shared" si="18"/>
        <v>0</v>
      </c>
      <c r="Q31" s="472">
        <f t="shared" ca="1" si="18"/>
        <v>221258.61355652814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0.19649644250574511</v>
      </c>
      <c r="C17" s="511">
        <f ca="1">'EF ele_warmte'!B22</f>
        <v>0.22949292345405012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0.19649644250574511</v>
      </c>
      <c r="C17" s="511">
        <f ca="1">'EF ele_warmte'!B22</f>
        <v>0.22949292345405012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0.19649644250574511</v>
      </c>
      <c r="C29" s="512">
        <f ca="1">'EF ele_warmte'!B22</f>
        <v>0.22949292345405012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2018-06-27T08:59:46Z</dcterms:modified>
</cp:coreProperties>
</file>