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C13" i="15"/>
  <c r="C16" s="1"/>
  <c r="D10" i="14" s="1"/>
  <c r="C18" i="16"/>
  <c r="C8" i="48" s="1"/>
  <c r="N16" i="16"/>
  <c r="B13" i="15"/>
  <c r="F6" i="17"/>
  <c r="E8" i="16"/>
  <c r="H68" i="14"/>
  <c r="D8" i="17"/>
  <c r="D7" i="48" s="1"/>
  <c r="D2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L8" i="17" l="1"/>
  <c r="L7" i="48" s="1"/>
  <c r="L24" s="1"/>
  <c r="L5" i="17"/>
  <c r="B35" i="13"/>
  <c r="B47" s="1"/>
  <c r="J12" i="17"/>
  <c r="K48" i="14" s="1"/>
  <c r="D67"/>
  <c r="D69" s="1"/>
  <c r="F100" i="18"/>
  <c r="I81" i="14"/>
  <c r="E19" i="18"/>
  <c r="D13" i="14"/>
  <c r="D15" s="1"/>
  <c r="F81"/>
  <c r="D16" i="15"/>
  <c r="D12" i="17"/>
  <c r="E48" i="14" s="1"/>
  <c r="D100" i="18"/>
  <c r="G100"/>
  <c r="L29" i="48"/>
  <c r="E22" i="14"/>
  <c r="G31" i="20"/>
  <c r="H43" i="14" s="1"/>
  <c r="E100" i="18"/>
  <c r="E7" s="1"/>
  <c r="H100"/>
  <c r="O78" i="14"/>
  <c r="N5" i="17"/>
  <c r="N8" s="1"/>
  <c r="H19" i="18"/>
  <c r="H9"/>
  <c r="M28" i="48"/>
  <c r="C100" i="18"/>
  <c r="I16"/>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N12" i="17"/>
  <c r="O48" i="14" s="1"/>
  <c r="N7" i="48"/>
  <c r="N24" s="1"/>
  <c r="Q13"/>
  <c r="D8"/>
  <c r="D25" s="1"/>
  <c r="F67" i="14"/>
  <c r="E9" i="18"/>
  <c r="J78" i="14"/>
  <c r="I19" i="18"/>
  <c r="M22" i="14"/>
  <c r="R22" s="1"/>
  <c r="E13"/>
  <c r="E15" s="1"/>
  <c r="E23" s="1"/>
  <c r="L12" i="17"/>
  <c r="M48" i="14" s="1"/>
  <c r="C14" i="48"/>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F69"/>
  <c r="O67"/>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N22" i="16" l="1"/>
  <c r="O39" i="14" s="1"/>
  <c r="O41" s="1"/>
  <c r="O53" s="1"/>
  <c r="O13"/>
  <c r="O15" s="1"/>
  <c r="F13"/>
  <c r="F15" s="1"/>
  <c r="F23" s="1"/>
  <c r="F55"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<sst xmlns="http://schemas.openxmlformats.org/spreadsheetml/2006/main" count="2029" uniqueCount="894">
  <si>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</si>
  <si>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</si>
  <si>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</si>
  <si>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</si>
  <si>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</si>
  <si>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</si>
  <si>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</si>
  <si>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</si>
  <si>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</si>
  <si>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</si>
  <si>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</si>
  <si>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</si>
  <si>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</si>
  <si>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</si>
  <si>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</si>
  <si>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</si>
  <si>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</si>
  <si>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</si>
  <si>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</si>
  <si>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</si>
  <si>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</si>
  <si>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</si>
  <si>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</si>
  <si>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</si>
  <si>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</si>
  <si>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</si>
  <si>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</si>
  <si>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</si>
  <si>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</si>
  <si>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</si>
  <si>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</si>
  <si>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</si>
  <si>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</si>
  <si>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</si>
  <si>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</si>
  <si>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</si>
  <si>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</si>
  <si>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</si>
  <si>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</si>
  <si>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</si>
  <si>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</si>
  <si>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</si>
  <si>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</si>
  <si>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</si>
  <si>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</si>
  <si>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</si>
  <si>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</si>
  <si>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</si>
  <si>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</si>
  <si>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</si>
  <si>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</si>
  <si>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</si>
  <si>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</si>
  <si>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</si>
  <si>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</si>
  <si>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</si>
  <si>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</si>
  <si>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</si>
  <si>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</si>
  <si>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</si>
  <si>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</si>
  <si>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</si>
  <si>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</si>
  <si>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</si>
  <si>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</si>
  <si>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</si>
  <si>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</si>
  <si>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</si>
  <si>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</si>
  <si>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</si>
  <si>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</si>
  <si>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</si>
  <si>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</si>
  <si>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</si>
  <si>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</si>
  <si>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</si>
  <si>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</si>
  <si>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</si>
  <si>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</si>
  <si>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</si>
  <si>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</si>
  <si>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</si>
  <si>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</si>
  <si>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</si>
  <si>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</si>
  <si>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</si>
  <si>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</si>
  <si>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</si>
  <si>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</si>
  <si>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</si>
  <si>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</si>
  <si>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</si>
  <si>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</si>
  <si>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</si>
  <si>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</si>
  <si>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</si>
  <si>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</si>
  <si>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</si>
  <si>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</si>
  <si>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</si>
  <si>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</si>
  <si>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</si>
  <si>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</si>
  <si>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</si>
  <si>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</si>
  <si>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</si>
  <si>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</si>
  <si>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</si>
  <si>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</si>
  <si>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</si>
  <si>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</si>
  <si>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</si>
  <si>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</si>
  <si>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</si>
  <si>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</si>
  <si>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</si>
  <si>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</si>
  <si>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</si>
  <si>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</si>
  <si>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</si>
  <si>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</si>
  <si>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</si>
  <si>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</si>
  <si>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</si>
  <si>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</si>
  <si>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</si>
  <si>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</si>
  <si>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</si>
  <si>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</si>
  <si>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</si>
  <si>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</si>
  <si>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</si>
  <si>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</si>
  <si>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</si>
  <si>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</si>
  <si>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</si>
  <si>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</si>
  <si>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</si>
  <si>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</si>
  <si>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</si>
  <si>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</si>
  <si>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</si>
  <si>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</si>
  <si>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</si>
  <si>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</si>
  <si>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</si>
  <si>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</si>
  <si>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</si>
  <si>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</si>
  <si>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</si>
  <si>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</si>
  <si>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</si>
  <si>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</si>
  <si>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</si>
  <si>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</si>
  <si>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</si>
  <si>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</si>
  <si>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</si>
  <si>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</si>
  <si>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</si>
  <si>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</si>
  <si>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</si>
  <si>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</si>
  <si>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</si>
  <si>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</si>
  <si>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</si>
  <si>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</si>
  <si>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</si>
  <si>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</si>
  <si>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</si>
  <si>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</si>
  <si>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</si>
  <si>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</si>
  <si>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</si>
  <si>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</si>
  <si>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</si>
  <si>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</si>
  <si>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</si>
  <si>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</si>
  <si>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</si>
  <si>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</si>
  <si>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</si>
  <si>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</si>
  <si>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</si>
  <si>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</si>
  <si>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</si>
  <si>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</si>
  <si>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</si>
  <si>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</si>
  <si>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</si>
  <si>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</si>
  <si>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</si>
  <si>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</si>
  <si>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</si>
  <si>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</si>
  <si>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</si>
  <si>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</si>
  <si>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</si>
  <si>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</si>
  <si>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</si>
  <si>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</si>
  <si>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</si>
  <si>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</si>
  <si>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</si>
  <si>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</si>
  <si>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</si>
  <si>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</si>
  <si>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</si>
  <si>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</si>
  <si>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</si>
  <si>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</si>
  <si>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</si>
  <si>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</si>
  <si>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</si>
  <si>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</si>
  <si>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</si>
  <si>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</si>
  <si>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</si>
  <si>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</si>
  <si>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</si>
  <si>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</si>
  <si>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</si>
  <si>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</si>
  <si>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</si>
  <si>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</si>
  <si>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</si>
  <si>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</si>
  <si>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</si>
  <si>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</si>
  <si>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</si>
  <si>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</si>
  <si>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</si>
  <si>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</si>
  <si>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</si>
  <si>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</si>
  <si>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</si>
  <si>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</si>
  <si>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</si>
  <si>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</si>
  <si>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</si>
  <si>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</si>
  <si>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</si>
  <si>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</si>
  <si>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</si>
  <si>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</si>
  <si>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</si>
  <si>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</si>
  <si>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</si>
  <si>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</si>
  <si>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</si>
  <si>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</si>
  <si>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</si>
  <si>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</si>
  <si>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</si>
  <si>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</si>
  <si>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</si>
  <si>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</si>
  <si>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</si>
  <si>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</si>
  <si>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</si>
  <si>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</si>
  <si>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</si>
  <si>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</si>
  <si>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</si>
  <si>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</si>
  <si>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</si>
  <si>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</si>
  <si>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</si>
  <si>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</si>
  <si>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</si>
  <si>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</si>
  <si>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</si>
  <si>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</si>
  <si>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</si>
  <si>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</si>
  <si>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</si>
  <si>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</si>
  <si>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</si>
  <si>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</si>
  <si>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</si>
  <si>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</si>
  <si>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</si>
  <si>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</si>
  <si>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</si>
  <si>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</si>
  <si>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</si>
  <si>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</si>
  <si>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</si>
  <si>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</si>
  <si>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</si>
  <si>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</si>
  <si>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</si>
  <si>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</si>
  <si>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</si>
  <si>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</si>
  <si>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</si>
  <si>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</si>
  <si>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</si>
  <si>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</si>
  <si>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</si>
  <si>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</si>
  <si>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</si>
  <si>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</si>
  <si>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</si>
  <si>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</si>
  <si>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</si>
  <si>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</si>
  <si>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</si>
  <si>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</si>
  <si>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</si>
  <si>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</si>
  <si>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</si>
  <si>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</si>
  <si>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</si>
  <si>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</si>
  <si>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</si>
  <si>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</si>
  <si>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</si>
  <si>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</si>
  <si>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</si>
  <si>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</si>
  <si>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</si>
  <si>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</si>
  <si>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</si>
  <si>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</si>
  <si>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</si>
  <si>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</si>
  <si>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</si>
  <si>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</si>
  <si>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</si>
  <si>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</si>
  <si>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</si>
  <si>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</si>
  <si>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</si>
  <si>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</si>
  <si>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</si>
  <si>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</si>
  <si>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</si>
  <si>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</si>
  <si>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</si>
  <si>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</si>
  <si>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</si>
  <si>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</si>
  <si>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</si>
  <si>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</si>
  <si>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</si>
  <si>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</si>
  <si>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</si>
  <si>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</si>
  <si>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</si>
  <si>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</si>
  <si>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</si>
  <si>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</si>
  <si>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</si>
  <si>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</si>
  <si>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</si>
  <si>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</si>
  <si>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</si>
  <si>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</si>
  <si>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</si>
  <si>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</si>
  <si>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</si>
  <si>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</si>
  <si>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</si>
  <si>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</si>
  <si>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</si>
  <si>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</si>
  <si>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</si>
  <si>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</si>
  <si>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</si>
  <si>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</si>
  <si>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</si>
  <si>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</si>
  <si>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</si>
  <si>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</si>
  <si>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</si>
  <si>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</si>
  <si>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</si>
  <si>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</si>
  <si>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</si>
  <si>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</si>
  <si>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</si>
  <si>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</si>
  <si>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</si>
  <si>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</si>
  <si>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</si>
  <si>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</si>
  <si>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</si>
  <si>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</si>
  <si>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</si>
  <si>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</si>
  <si>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</si>
  <si>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</si>
  <si>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</si>
  <si>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</si>
  <si>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</si>
  <si>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</si>
  <si>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</si>
  <si>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</si>
  <si>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</si>
  <si>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</si>
  <si>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</si>
  <si>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</si>
  <si>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</si>
  <si>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</si>
  <si>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</si>
  <si>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</si>
  <si>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</si>
  <si>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</si>
  <si>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</si>
  <si>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</si>
  <si>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</si>
  <si>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</si>
  <si>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</si>
  <si>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</si>
  <si>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</si>
  <si>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</si>
  <si>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</si>
  <si>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</si>
  <si>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</si>
  <si>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</si>
  <si>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</si>
  <si>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</si>
  <si>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</si>
  <si>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</si>
  <si>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</si>
  <si>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</si>
  <si>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</si>
  <si>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</si>
  <si>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</si>
  <si>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</si>
  <si>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</si>
  <si>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</si>
  <si>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</si>
  <si>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</si>
  <si>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</si>
  <si>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</si>
  <si>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</si>
  <si>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</si>
  <si>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</si>
  <si>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</si>
  <si>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</si>
  <si>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</si>
  <si>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</si>
  <si>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</si>
  <si>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</si>
  <si>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</si>
  <si>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</si>
  <si>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</si>
  <si>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</si>
  <si>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</si>
  <si>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</si>
  <si>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</si>
  <si>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</si>
  <si>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</si>
  <si>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</si>
  <si>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</si>
  <si>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</si>
  <si>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</si>
  <si>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</si>
  <si>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</si>
  <si>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</si>
  <si>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</si>
  <si>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</si>
  <si>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</si>
  <si>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</si>
  <si>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</si>
  <si>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</si>
  <si>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</si>
  <si>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</si>
  <si>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</si>
  <si>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</si>
  <si>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</si>
  <si>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</si>
  <si>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</si>
  <si>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</si>
  <si>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</si>
  <si>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</si>
  <si>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</si>
  <si>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</si>
  <si>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</si>
  <si>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</si>
  <si>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</si>
  <si>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</si>
  <si>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</si>
  <si>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</si>
  <si>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</si>
  <si>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</si>
  <si>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</si>
  <si>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</si>
  <si>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</si>
  <si>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</si>
  <si>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</si>
  <si>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</si>
  <si>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</si>
  <si>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</si>
  <si>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</si>
  <si>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</si>
  <si>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</si>
  <si>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</si>
  <si>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</si>
  <si>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</si>
  <si>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</si>
  <si>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</si>
  <si>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</si>
  <si>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</si>
  <si>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</si>
  <si>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</si>
  <si>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</si>
  <si>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</si>
  <si>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</si>
  <si>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</si>
  <si>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</si>
  <si>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</si>
  <si>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</si>
  <si>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</si>
  <si>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</si>
  <si>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</si>
  <si>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</si>
  <si>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</si>
  <si>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</si>
  <si>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</si>
  <si>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</si>
  <si>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</si>
  <si>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</si>
  <si>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</si>
  <si>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</si>
  <si>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</si>
  <si>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</si>
  <si>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</si>
  <si>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</si>
  <si>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</si>
  <si>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</si>
  <si>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</si>
  <si>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</si>
  <si>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</si>
  <si>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</si>
  <si>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</si>
  <si>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</si>
  <si>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</si>
  <si>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</si>
  <si>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</si>
  <si>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</si>
  <si>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</si>
  <si>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</si>
  <si>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</si>
  <si>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</si>
  <si>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</si>
  <si>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</si>
  <si>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</si>
  <si>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</si>
  <si>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</si>
  <si>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</si>
  <si>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</si>
  <si>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</si>
  <si>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</si>
  <si>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</si>
  <si>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</si>
  <si>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</si>
  <si>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</si>
  <si>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</si>
  <si>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</si>
  <si>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</si>
  <si>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</si>
  <si>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</si>
  <si>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</si>
  <si>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</si>
  <si>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</si>
  <si>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</si>
  <si>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</si>
  <si>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</si>
  <si>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</si>
  <si>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</si>
  <si>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</si>
  <si>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</si>
  <si>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</si>
  <si>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</si>
  <si>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</si>
  <si>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</si>
  <si>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</si>
  <si>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</si>
  <si>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</si>
  <si>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</si>
  <si>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</si>
  <si>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</si>
  <si>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</si>
  <si>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</si>
  <si>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</si>
  <si>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</si>
  <si>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</si>
  <si>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</si>
  <si>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</si>
  <si>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</si>
  <si>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</si>
  <si>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</si>
  <si>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</si>
  <si>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</si>
  <si>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</si>
  <si>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</si>
  <si>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</si>
  <si>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</si>
  <si>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</si>
  <si>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</si>
  <si>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</si>
  <si>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</si>
  <si>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</si>
  <si>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</si>
  <si>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</si>
  <si>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</si>
  <si>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</si>
  <si>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</si>
  <si>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</si>
  <si>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</si>
  <si>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</si>
  <si>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</si>
  <si>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</si>
  <si>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</si>
  <si>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</si>
  <si>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</si>
  <si>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</si>
  <si>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</si>
  <si>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</si>
  <si>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</si>
  <si>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</si>
  <si>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</si>
  <si>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</si>
  <si>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</si>
  <si>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</si>
  <si>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</si>
  <si>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</si>
  <si>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</si>
  <si>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</si>
  <si>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</si>
  <si>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</si>
  <si>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</si>
  <si>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</si>
  <si>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</si>
  <si>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</si>
  <si>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</si>
  <si>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</si>
  <si>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</si>
  <si>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</si>
  <si>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</si>
  <si>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</si>
  <si>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</si>
  <si>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</si>
  <si>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</si>
  <si>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</si>
  <si>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</si>
  <si>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</si>
  <si>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</si>
  <si>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</si>
  <si>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</si>
  <si>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</si>
  <si>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</si>
  <si>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</si>
  <si>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</si>
  <si>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</si>
  <si>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</si>
  <si>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</si>
  <si>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</si>
  <si>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</si>
  <si>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</si>
  <si>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</si>
  <si>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</si>
  <si>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</si>
  <si>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</si>
  <si>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</si>
  <si>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</si>
  <si>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</si>
  <si>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</si>
  <si>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</si>
  <si>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</si>
  <si>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</si>
  <si>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</si>
  <si>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</si>
  <si>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</si>
  <si>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</si>
  <si>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</si>
  <si>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</si>
  <si>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</si>
  <si>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</si>
  <si>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</si>
  <si>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</si>
  <si>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</si>
  <si>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</si>
  <si>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</si>
  <si>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</si>
  <si>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</si>
  <si>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</si>
  <si>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</si>
  <si>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</si>
  <si>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</si>
  <si>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</si>
  <si>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</si>
  <si>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</si>
  <si>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</si>
  <si>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</si>
  <si>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</si>
  <si>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</si>
  <si>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</si>
  <si>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</si>
  <si>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</si>
  <si>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</si>
  <si>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</si>
  <si>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</si>
  <si>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</si>
  <si>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</si>
  <si>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</si>
  <si>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</si>
  <si>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</si>
  <si>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</si>
  <si>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</si>
  <si>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</si>
  <si>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</si>
  <si>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</si>
  <si>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</si>
  <si>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</si>
  <si>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</si>
  <si>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</si>
  <si>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</si>
  <si>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</si>
  <si>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</si>
  <si>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</si>
  <si>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</si>
  <si>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</si>
  <si>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</si>
  <si>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</si>
  <si>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</si>
  <si>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</si>
  <si>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</si>
  <si>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</si>
  <si>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</si>
  <si>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</si>
  <si>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</si>
  <si>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</si>
  <si>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</si>
  <si>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</si>
  <si>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</si>
  <si>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</si>
  <si>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</si>
  <si>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</si>
  <si>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</si>
  <si>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</si>
  <si>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</si>
  <si>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</si>
  <si>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</si>
  <si>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</si>
  <si>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</si>
  <si>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</si>
  <si>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</si>
  <si>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</si>
  <si>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</si>
  <si>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</si>
  <si>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</si>
  <si>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</si>
  <si>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</si>
  <si>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</si>
  <si>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</si>
  <si>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</si>
  <si>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</si>
  <si>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</si>
  <si>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</si>
  <si>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</si>
  <si>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</si>
  <si>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</si>
  <si>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</si>
  <si>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</si>
  <si>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</si>
  <si>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</si>
  <si>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</si>
  <si>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</si>
  <si>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</si>
  <si>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</si>
  <si>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</si>
  <si>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</si>
  <si>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</si>
  <si>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</si>
  <si>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</si>
  <si>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</si>
  <si>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</si>
  <si>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</si>
  <si>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</si>
  <si>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</si>
  <si>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</si>
  <si>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</si>
  <si>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</si>
  <si>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</si>
  <si>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</si>
  <si>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</si>
  <si>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</si>
  <si>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</si>
  <si>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</si>
  <si>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</si>
  <si>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</si>
  <si>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</si>
  <si>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</si>
  <si>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</si>
  <si>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</si>
  <si>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</si>
  <si>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</si>
  <si>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</si>
  <si>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</si>
  <si>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</si>
  <si>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</si>
  <si>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</si>
  <si>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</si>
  <si>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</si>
  <si>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</si>
  <si>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</si>
  <si>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</si>
  <si>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</si>
  <si>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</si>
  <si>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</si>
  <si>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</si>
  <si>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</si>
  <si>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</si>
  <si>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</si>
  <si>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</si>
  <si>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</si>
  <si>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</si>
  <si>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</si>
  <si>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</si>
  <si>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</si>
  <si>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</si>
  <si>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</si>
  <si>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</si>
  <si>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</si>
  <si>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</si>
  <si>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</si>
  <si>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</si>
  <si>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</si>
  <si>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</si>
  <si>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</si>
  <si>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</si>
  <si>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</si>
  <si>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</si>
  <si>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</si>
  <si>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</si>
  <si>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</si>
  <si>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</si>
  <si>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</si>
  <si>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</si>
  <si>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</si>
  <si>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</si>
  <si>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</si>
  <si>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</si>
  <si>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</si>
  <si>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</si>
  <si>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</si>
  <si>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</si>
  <si>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</si>
  <si>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</si>
  <si>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</si>
  <si>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</si>
  <si>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</si>
  <si>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</si>
  <si>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</si>
  <si>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</si>
  <si>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</si>
  <si>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</si>
  <si>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</si>
  <si>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</si>
  <si>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</si>
  <si>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</si>
  <si>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</si>
  <si>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</si>
  <si>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</si>
  <si>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</si>
  <si>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</si>
  <si>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</si>
  <si>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</si>
  <si>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</si>
  <si>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</si>
  <si>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</si>
  <si>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</si>
  <si>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</si>
  <si>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</si>
  <si>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</si>
  <si>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</si>
  <si>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</si>
  <si>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</si>
  <si>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</si>
  <si>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</si>
  <si>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</si>
  <si>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13002</t>
  </si>
  <si>
    <t>BAARLE-HERTOG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</si>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</sst>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13002</v>
      </c>
      <c r="B6" s="396"/>
      <c r="C6" s="397"/>
    </row>
    <row r="7" spans="1:7" s="394" customFormat="1" ht="15.75" customHeight="1">
      <c r="A7" s="398" t="str">
        <f>txtMunicipality</f>
        <v>BAARLE-HERTOG</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1058</v>
      </c>
      <c r="C9" s="336">
        <v>1027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472</v>
      </c>
    </row>
    <row r="15" spans="1:6">
      <c r="A15" s="1194" t="s">
        <v>185</v>
      </c>
      <c r="B15" s="333">
        <v>362</v>
      </c>
    </row>
    <row r="16" spans="1:6">
      <c r="A16" s="1194" t="s">
        <v>6</v>
      </c>
      <c r="B16" s="333">
        <v>688</v>
      </c>
    </row>
    <row r="17" spans="1:6">
      <c r="A17" s="1194" t="s">
        <v>7</v>
      </c>
      <c r="B17" s="333">
        <v>31</v>
      </c>
    </row>
    <row r="18" spans="1:6">
      <c r="A18" s="1194" t="s">
        <v>8</v>
      </c>
      <c r="B18" s="333">
        <v>405</v>
      </c>
    </row>
    <row r="19" spans="1:6">
      <c r="A19" s="1194" t="s">
        <v>9</v>
      </c>
      <c r="B19" s="333">
        <v>359</v>
      </c>
    </row>
    <row r="20" spans="1:6">
      <c r="A20" s="1194" t="s">
        <v>10</v>
      </c>
      <c r="B20" s="333">
        <v>238</v>
      </c>
    </row>
    <row r="21" spans="1:6">
      <c r="A21" s="1194" t="s">
        <v>11</v>
      </c>
      <c r="B21" s="333">
        <v>2108</v>
      </c>
    </row>
    <row r="22" spans="1:6">
      <c r="A22" s="1194" t="s">
        <v>12</v>
      </c>
      <c r="B22" s="333">
        <v>10581</v>
      </c>
    </row>
    <row r="23" spans="1:6">
      <c r="A23" s="1194" t="s">
        <v>13</v>
      </c>
      <c r="B23" s="333">
        <v>117</v>
      </c>
    </row>
    <row r="24" spans="1:6">
      <c r="A24" s="1194" t="s">
        <v>14</v>
      </c>
      <c r="B24" s="333">
        <v>7</v>
      </c>
    </row>
    <row r="25" spans="1:6">
      <c r="A25" s="1194" t="s">
        <v>15</v>
      </c>
      <c r="B25" s="333">
        <v>600</v>
      </c>
    </row>
    <row r="26" spans="1:6">
      <c r="A26" s="1194" t="s">
        <v>16</v>
      </c>
      <c r="B26" s="333">
        <v>0</v>
      </c>
    </row>
    <row r="27" spans="1:6">
      <c r="A27" s="1194" t="s">
        <v>17</v>
      </c>
      <c r="B27" s="333">
        <v>0</v>
      </c>
    </row>
    <row r="28" spans="1:6">
      <c r="A28" s="1194" t="s">
        <v>18</v>
      </c>
      <c r="B28" s="333">
        <v>90278</v>
      </c>
    </row>
    <row r="29" spans="1:6">
      <c r="A29" s="1194" t="s">
        <v>888</v>
      </c>
      <c r="B29" s="333">
        <v>7</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1075</v>
      </c>
      <c r="D39" s="333">
        <v>26908058.321741629</v>
      </c>
      <c r="E39" s="333">
        <v>1042</v>
      </c>
      <c r="F39" s="333">
        <v>4511696.3431440201</v>
      </c>
    </row>
    <row r="40" spans="1:6">
      <c r="A40" s="1194" t="s">
        <v>30</v>
      </c>
      <c r="B40" s="1194" t="s">
        <v>29</v>
      </c>
      <c r="C40" s="333">
        <v>0</v>
      </c>
      <c r="D40" s="333">
        <v>0</v>
      </c>
      <c r="E40" s="333">
        <v>0</v>
      </c>
      <c r="F40" s="333">
        <v>0</v>
      </c>
    </row>
    <row r="41" spans="1:6">
      <c r="A41" s="1194" t="s">
        <v>32</v>
      </c>
      <c r="B41" s="1194" t="s">
        <v>33</v>
      </c>
      <c r="C41" s="333">
        <v>0</v>
      </c>
      <c r="D41" s="333">
        <v>0</v>
      </c>
      <c r="E41" s="333">
        <v>18</v>
      </c>
      <c r="F41" s="333">
        <v>136906.62463953701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0</v>
      </c>
      <c r="D48" s="333">
        <v>0</v>
      </c>
      <c r="E48" s="333">
        <v>11</v>
      </c>
      <c r="F48" s="333">
        <v>256628.635463877</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45</v>
      </c>
      <c r="F51" s="333">
        <v>996120.48480648</v>
      </c>
    </row>
    <row r="52" spans="1:6">
      <c r="A52" s="1194" t="s">
        <v>42</v>
      </c>
      <c r="B52" s="1194" t="s">
        <v>29</v>
      </c>
      <c r="C52" s="333">
        <v>6</v>
      </c>
      <c r="D52" s="333">
        <v>1292713.0705445299</v>
      </c>
      <c r="E52" s="333">
        <v>5</v>
      </c>
      <c r="F52" s="333">
        <v>78521.172934117902</v>
      </c>
    </row>
    <row r="53" spans="1:6">
      <c r="A53" s="1194" t="s">
        <v>44</v>
      </c>
      <c r="B53" s="1194" t="s">
        <v>45</v>
      </c>
      <c r="C53" s="333">
        <v>2</v>
      </c>
      <c r="D53" s="333">
        <v>34785.583615330099</v>
      </c>
      <c r="E53" s="333">
        <v>27</v>
      </c>
      <c r="F53" s="333">
        <v>184824.25538675999</v>
      </c>
    </row>
    <row r="54" spans="1:6">
      <c r="A54" s="1194" t="s">
        <v>46</v>
      </c>
      <c r="B54" s="1194" t="s">
        <v>47</v>
      </c>
      <c r="C54" s="333">
        <v>0</v>
      </c>
      <c r="D54" s="333">
        <v>0</v>
      </c>
      <c r="E54" s="333">
        <v>1</v>
      </c>
      <c r="F54" s="333">
        <v>173351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0</v>
      </c>
      <c r="D57" s="333">
        <v>0</v>
      </c>
      <c r="E57" s="333">
        <v>12</v>
      </c>
      <c r="F57" s="333">
        <v>56556.613674539803</v>
      </c>
    </row>
    <row r="58" spans="1:6">
      <c r="A58" s="1194" t="s">
        <v>49</v>
      </c>
      <c r="B58" s="1194" t="s">
        <v>51</v>
      </c>
      <c r="C58" s="333">
        <v>0</v>
      </c>
      <c r="D58" s="333">
        <v>0</v>
      </c>
      <c r="E58" s="333">
        <v>0</v>
      </c>
      <c r="F58" s="333">
        <v>0</v>
      </c>
    </row>
    <row r="59" spans="1:6">
      <c r="A59" s="1194" t="s">
        <v>49</v>
      </c>
      <c r="B59" s="1194" t="s">
        <v>52</v>
      </c>
      <c r="C59" s="333">
        <v>0</v>
      </c>
      <c r="D59" s="333">
        <v>0</v>
      </c>
      <c r="E59" s="333">
        <v>52</v>
      </c>
      <c r="F59" s="333">
        <v>1548199.08687421</v>
      </c>
    </row>
    <row r="60" spans="1:6">
      <c r="A60" s="1194" t="s">
        <v>49</v>
      </c>
      <c r="B60" s="1194" t="s">
        <v>53</v>
      </c>
      <c r="C60" s="333">
        <v>0</v>
      </c>
      <c r="D60" s="333">
        <v>0</v>
      </c>
      <c r="E60" s="333">
        <v>20</v>
      </c>
      <c r="F60" s="333">
        <v>492517.58346143598</v>
      </c>
    </row>
    <row r="61" spans="1:6">
      <c r="A61" s="1194" t="s">
        <v>49</v>
      </c>
      <c r="B61" s="1194" t="s">
        <v>54</v>
      </c>
      <c r="C61" s="333">
        <v>0</v>
      </c>
      <c r="D61" s="333">
        <v>0</v>
      </c>
      <c r="E61" s="333">
        <v>43</v>
      </c>
      <c r="F61" s="333">
        <v>181449.29684154299</v>
      </c>
    </row>
    <row r="62" spans="1:6">
      <c r="A62" s="1194" t="s">
        <v>49</v>
      </c>
      <c r="B62" s="1194" t="s">
        <v>55</v>
      </c>
      <c r="C62" s="333">
        <v>0</v>
      </c>
      <c r="D62" s="333">
        <v>0</v>
      </c>
      <c r="E62" s="333">
        <v>5</v>
      </c>
      <c r="F62" s="333">
        <v>69176.706400967101</v>
      </c>
    </row>
    <row r="63" spans="1:6">
      <c r="A63" s="1194" t="s">
        <v>49</v>
      </c>
      <c r="B63" s="1194" t="s">
        <v>29</v>
      </c>
      <c r="C63" s="333">
        <v>8</v>
      </c>
      <c r="D63" s="333">
        <v>308914.90609461197</v>
      </c>
      <c r="E63" s="333">
        <v>47</v>
      </c>
      <c r="F63" s="333">
        <v>989014.87022086605</v>
      </c>
    </row>
    <row r="64" spans="1:6">
      <c r="A64" s="1194" t="s">
        <v>56</v>
      </c>
      <c r="B64" s="1194" t="s">
        <v>57</v>
      </c>
      <c r="C64" s="333">
        <v>0</v>
      </c>
      <c r="D64" s="333">
        <v>0</v>
      </c>
      <c r="E64" s="333">
        <v>0</v>
      </c>
      <c r="F64" s="333">
        <v>0</v>
      </c>
    </row>
    <row r="65" spans="1:6">
      <c r="A65" s="1194" t="s">
        <v>56</v>
      </c>
      <c r="B65" s="1194" t="s">
        <v>29</v>
      </c>
      <c r="C65" s="333">
        <v>0</v>
      </c>
      <c r="D65" s="333">
        <v>0</v>
      </c>
      <c r="E65" s="333">
        <v>1</v>
      </c>
      <c r="F65" s="333">
        <v>19618.921520018001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4524804</v>
      </c>
      <c r="E73" s="333">
        <v>4715516.6055657417</v>
      </c>
      <c r="F73" s="333">
        <v>4548151</v>
      </c>
    </row>
    <row r="74" spans="1:6">
      <c r="A74" s="1194" t="s">
        <v>64</v>
      </c>
      <c r="B74" s="1194" t="s">
        <v>775</v>
      </c>
      <c r="C74" s="1205" t="s">
        <v>776</v>
      </c>
      <c r="D74" s="333">
        <v>720356.05500431999</v>
      </c>
      <c r="E74" s="333">
        <v>778183.73128980328</v>
      </c>
      <c r="F74" s="333">
        <v>742213.92311393865</v>
      </c>
    </row>
    <row r="75" spans="1:6">
      <c r="A75" s="1194" t="s">
        <v>65</v>
      </c>
      <c r="B75" s="1194" t="s">
        <v>773</v>
      </c>
      <c r="C75" s="1205" t="s">
        <v>777</v>
      </c>
      <c r="D75" s="333">
        <v>1750966</v>
      </c>
      <c r="E75" s="333">
        <v>1824774.3049567107</v>
      </c>
      <c r="F75" s="333">
        <v>1760007</v>
      </c>
    </row>
    <row r="76" spans="1:6">
      <c r="A76" s="1194" t="s">
        <v>65</v>
      </c>
      <c r="B76" s="1194" t="s">
        <v>775</v>
      </c>
      <c r="C76" s="1205" t="s">
        <v>778</v>
      </c>
      <c r="D76" s="333">
        <v>31335.055004320002</v>
      </c>
      <c r="E76" s="333">
        <v>35872.797929549801</v>
      </c>
      <c r="F76" s="333">
        <v>33523.923113938705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26769.889991359996</v>
      </c>
      <c r="C83" s="333">
        <v>24677.35314581991</v>
      </c>
      <c r="D83" s="333">
        <v>24960.153772122594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161.62025683381594</v>
      </c>
    </row>
    <row r="92" spans="1:6">
      <c r="A92" s="1190" t="s">
        <v>69</v>
      </c>
      <c r="B92" s="336">
        <v>66.832943481043685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675</v>
      </c>
    </row>
    <row r="98" spans="1:6">
      <c r="A98" s="1194" t="s">
        <v>72</v>
      </c>
      <c r="B98" s="333">
        <v>1</v>
      </c>
    </row>
    <row r="99" spans="1:6">
      <c r="A99" s="1194" t="s">
        <v>73</v>
      </c>
      <c r="B99" s="333">
        <v>5</v>
      </c>
    </row>
    <row r="100" spans="1:6">
      <c r="A100" s="1194" t="s">
        <v>74</v>
      </c>
      <c r="B100" s="333">
        <v>23</v>
      </c>
    </row>
    <row r="101" spans="1:6">
      <c r="A101" s="1194" t="s">
        <v>75</v>
      </c>
      <c r="B101" s="333">
        <v>24</v>
      </c>
    </row>
    <row r="102" spans="1:6">
      <c r="A102" s="1194" t="s">
        <v>76</v>
      </c>
      <c r="B102" s="333">
        <v>17</v>
      </c>
    </row>
    <row r="103" spans="1:6">
      <c r="A103" s="1194" t="s">
        <v>77</v>
      </c>
      <c r="B103" s="333">
        <v>16</v>
      </c>
    </row>
    <row r="104" spans="1:6">
      <c r="A104" s="1194" t="s">
        <v>78</v>
      </c>
      <c r="B104" s="333">
        <v>95</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9651.8087812208014</v>
      </c>
      <c r="C3" s="43" t="s">
        <v>171</v>
      </c>
      <c r="D3" s="43"/>
      <c r="E3" s="156"/>
      <c r="F3" s="43"/>
      <c r="G3" s="43"/>
      <c r="H3" s="43"/>
      <c r="I3" s="43"/>
      <c r="J3" s="43"/>
      <c r="K3" s="96"/>
    </row>
    <row r="4" spans="1:11">
      <c r="A4" s="364" t="s">
        <v>172</v>
      </c>
      <c r="B4" s="49">
        <f>IF(ISERROR('SEAP template'!B69),0,'SEAP template'!B69)</f>
        <v>228.45320031485963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0.21576904708599107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173.351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173.351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0.21576904708599107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37.403780081403639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4511.6963431440199</v>
      </c>
      <c r="C5" s="17">
        <f>IF(ISERROR('Eigen informatie GS &amp; warmtenet'!B57),0,'Eigen informatie GS &amp; warmtenet'!B57)</f>
        <v>0</v>
      </c>
      <c r="D5" s="30">
        <f>(SUM(HH_hh_gas_kWh,HH_rest_gas_kWh)/1000)*0.902</f>
        <v>24271.068606210949</v>
      </c>
      <c r="E5" s="17">
        <f>B46*B57</f>
        <v>0</v>
      </c>
      <c r="F5" s="17">
        <f>B51*B62</f>
        <v>0</v>
      </c>
      <c r="G5" s="18"/>
      <c r="H5" s="17"/>
      <c r="I5" s="17"/>
      <c r="J5" s="17">
        <f>B50*B61+C50*C61</f>
        <v>0</v>
      </c>
      <c r="K5" s="17"/>
      <c r="L5" s="17"/>
      <c r="M5" s="17"/>
      <c r="N5" s="17">
        <f>B48*B59+C48*C59</f>
        <v>0</v>
      </c>
      <c r="O5" s="17">
        <f>B69*B70*B71</f>
        <v>7.8166666666666664</v>
      </c>
      <c r="P5" s="17">
        <f>B77*B78*B79/1000-B77*B78*B79/1000/B80</f>
        <v>133.46666666666667</v>
      </c>
    </row>
    <row r="6" spans="1:16">
      <c r="A6" s="16" t="s">
        <v>633</v>
      </c>
      <c r="B6" s="830">
        <f>kWh_PV_kleiner_dan_10kW</f>
        <v>161.62025683381594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4673.3165999778357</v>
      </c>
      <c r="C8" s="21">
        <f>C5</f>
        <v>0</v>
      </c>
      <c r="D8" s="21">
        <f>D5</f>
        <v>24271.068606210949</v>
      </c>
      <c r="E8" s="21">
        <f>E5</f>
        <v>0</v>
      </c>
      <c r="F8" s="21">
        <f>F5</f>
        <v>0</v>
      </c>
      <c r="G8" s="21"/>
      <c r="H8" s="21"/>
      <c r="I8" s="21"/>
      <c r="J8" s="21">
        <f>J5</f>
        <v>0</v>
      </c>
      <c r="K8" s="21"/>
      <c r="L8" s="21">
        <f>L5</f>
        <v>0</v>
      </c>
      <c r="M8" s="21">
        <f>M5</f>
        <v>0</v>
      </c>
      <c r="N8" s="21">
        <f>N5</f>
        <v>0</v>
      </c>
      <c r="O8" s="21">
        <f>O5</f>
        <v>7.8166666666666664</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0.21576904708599107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1008.3570695083613</v>
      </c>
      <c r="C12" s="23">
        <f ca="1">C10*C8</f>
        <v>0</v>
      </c>
      <c r="D12" s="23">
        <f>D8*D10</f>
        <v>4902.7558584546123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675</v>
      </c>
      <c r="C18" s="167" t="s">
        <v>111</v>
      </c>
      <c r="D18" s="229"/>
      <c r="E18" s="15"/>
    </row>
    <row r="19" spans="1:7">
      <c r="A19" s="172" t="s">
        <v>72</v>
      </c>
      <c r="B19" s="37">
        <f>aantalw2001_ander</f>
        <v>1</v>
      </c>
      <c r="C19" s="167" t="s">
        <v>111</v>
      </c>
      <c r="D19" s="230"/>
      <c r="E19" s="15"/>
    </row>
    <row r="20" spans="1:7">
      <c r="A20" s="172" t="s">
        <v>73</v>
      </c>
      <c r="B20" s="37">
        <f>aantalw2001_propaan</f>
        <v>5</v>
      </c>
      <c r="C20" s="168">
        <f>IF(ISERROR(B20/SUM($B$20,$B$21,$B$22)*100),0,B20/SUM($B$20,$B$21,$B$22)*100)</f>
        <v>9.6153846153846168</v>
      </c>
      <c r="D20" s="230"/>
      <c r="E20" s="15"/>
    </row>
    <row r="21" spans="1:7">
      <c r="A21" s="172" t="s">
        <v>74</v>
      </c>
      <c r="B21" s="37">
        <f>aantalw2001_elektriciteit</f>
        <v>23</v>
      </c>
      <c r="C21" s="168">
        <f>IF(ISERROR(B21/SUM($B$20,$B$21,$B$22)*100),0,B21/SUM($B$20,$B$21,$B$22)*100)</f>
        <v>44.230769230769226</v>
      </c>
      <c r="D21" s="230"/>
      <c r="E21" s="15"/>
    </row>
    <row r="22" spans="1:7">
      <c r="A22" s="172" t="s">
        <v>75</v>
      </c>
      <c r="B22" s="37">
        <f>aantalw2001_hout</f>
        <v>24</v>
      </c>
      <c r="C22" s="168">
        <f>IF(ISERROR(B22/SUM($B$20,$B$21,$B$22)*100),0,B22/SUM($B$20,$B$21,$B$22)*100)</f>
        <v>46.153846153846153</v>
      </c>
      <c r="D22" s="230"/>
      <c r="E22" s="15"/>
    </row>
    <row r="23" spans="1:7">
      <c r="A23" s="172" t="s">
        <v>76</v>
      </c>
      <c r="B23" s="37">
        <f>aantalw2001_niet_gespec</f>
        <v>17</v>
      </c>
      <c r="C23" s="167" t="s">
        <v>111</v>
      </c>
      <c r="D23" s="229"/>
      <c r="E23" s="15"/>
    </row>
    <row r="24" spans="1:7">
      <c r="A24" s="172" t="s">
        <v>77</v>
      </c>
      <c r="B24" s="37">
        <f>aantalw2001_steenkool</f>
        <v>16</v>
      </c>
      <c r="C24" s="167" t="s">
        <v>111</v>
      </c>
      <c r="D24" s="230"/>
      <c r="E24" s="15"/>
    </row>
    <row r="25" spans="1:7">
      <c r="A25" s="172" t="s">
        <v>78</v>
      </c>
      <c r="B25" s="37">
        <f>aantalw2001_stookolie</f>
        <v>95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1058</v>
      </c>
      <c r="C28" s="36"/>
      <c r="D28" s="229"/>
    </row>
    <row r="29" spans="1:7" s="15" customFormat="1">
      <c r="A29" s="231" t="s">
        <v>714</v>
      </c>
      <c r="B29" s="37">
        <f>SUM(HH_hh_gas_aantal,HH_rest_gas_aantal)</f>
        <v>1075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1075</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1075</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3336.9141574735622</v>
      </c>
      <c r="C5" s="17">
        <f>IF(ISERROR('Eigen informatie GS &amp; warmtenet'!B58),0,'Eigen informatie GS &amp; warmtenet'!B58)</f>
        <v>0</v>
      </c>
      <c r="D5" s="30">
        <f>SUM(D6:D12)</f>
        <v>278.64124529733999</v>
      </c>
      <c r="E5" s="17">
        <f>SUM(E6:E12)</f>
        <v>63.693218354872947</v>
      </c>
      <c r="F5" s="17">
        <f>SUM(F6:F12)</f>
        <v>612.22345681911759</v>
      </c>
      <c r="G5" s="18"/>
      <c r="H5" s="17"/>
      <c r="I5" s="17"/>
      <c r="J5" s="17">
        <f>SUM(J6:J12)</f>
        <v>0</v>
      </c>
      <c r="K5" s="17"/>
      <c r="L5" s="17"/>
      <c r="M5" s="17"/>
      <c r="N5" s="17">
        <f>SUM(N6:N12)</f>
        <v>43.416771828795916</v>
      </c>
      <c r="O5" s="17">
        <f>B38*B39*B40</f>
        <v>0</v>
      </c>
      <c r="P5" s="17">
        <f>B46*B47*B48/1000-B46*B47*B48/1000/B49</f>
        <v>0</v>
      </c>
      <c r="R5" s="32"/>
    </row>
    <row r="6" spans="1:18">
      <c r="A6" s="32" t="s">
        <v>54</v>
      </c>
      <c r="B6" s="37">
        <f>B26</f>
        <v>181.449296841543</v>
      </c>
      <c r="C6" s="33"/>
      <c r="D6" s="37">
        <f>IF(ISERROR(TER_kantoor_gas_kWh/1000),0,TER_kantoor_gas_kWh/1000)*0.902</f>
        <v>0</v>
      </c>
      <c r="E6" s="33">
        <f>$C$26*'E Balans VL '!I12/100/3.6*1000000</f>
        <v>6.3514391650149227</v>
      </c>
      <c r="F6" s="33">
        <f>$C$26*('E Balans VL '!L12+'E Balans VL '!N12)/100/3.6*1000000</f>
        <v>27.511609079406956</v>
      </c>
      <c r="G6" s="34"/>
      <c r="H6" s="33"/>
      <c r="I6" s="33"/>
      <c r="J6" s="33">
        <f>$C$26*('E Balans VL '!D12+'E Balans VL '!E12)/100/3.6*1000000</f>
        <v>0</v>
      </c>
      <c r="K6" s="33"/>
      <c r="L6" s="33"/>
      <c r="M6" s="33"/>
      <c r="N6" s="33">
        <f>$C$26*'E Balans VL '!Y12/100/3.6*1000000</f>
        <v>1.4025462725182036</v>
      </c>
      <c r="O6" s="33"/>
      <c r="P6" s="33"/>
      <c r="R6" s="32"/>
    </row>
    <row r="7" spans="1:18">
      <c r="A7" s="32" t="s">
        <v>53</v>
      </c>
      <c r="B7" s="37">
        <f t="shared" ref="B7:B12" si="0">B27</f>
        <v>492.517583461436</v>
      </c>
      <c r="C7" s="33"/>
      <c r="D7" s="37">
        <f>IF(ISERROR(TER_horeca_gas_kWh/1000),0,TER_horeca_gas_kWh/1000)*0.902</f>
        <v>0</v>
      </c>
      <c r="E7" s="33">
        <f>$C$27*'E Balans VL '!I9/100/3.6*1000000</f>
        <v>27.784540596160323</v>
      </c>
      <c r="F7" s="33">
        <f>$C$27*('E Balans VL '!L9+'E Balans VL '!N9)/100/3.6*1000000</f>
        <v>85.79928866628444</v>
      </c>
      <c r="G7" s="34"/>
      <c r="H7" s="33"/>
      <c r="I7" s="33"/>
      <c r="J7" s="33">
        <f>$C$27*('E Balans VL '!D9+'E Balans VL '!E9)/100/3.6*1000000</f>
        <v>0</v>
      </c>
      <c r="K7" s="33"/>
      <c r="L7" s="33"/>
      <c r="M7" s="33"/>
      <c r="N7" s="33">
        <f>$C$27*'E Balans VL '!Y9/100/3.6*1000000</f>
        <v>0</v>
      </c>
      <c r="O7" s="33"/>
      <c r="P7" s="33"/>
      <c r="R7" s="32"/>
    </row>
    <row r="8" spans="1:18">
      <c r="A8" s="6" t="s">
        <v>52</v>
      </c>
      <c r="B8" s="37">
        <f t="shared" si="0"/>
        <v>1548.19908687421</v>
      </c>
      <c r="C8" s="33"/>
      <c r="D8" s="37">
        <f>IF(ISERROR(TER_handel_gas_kWh/1000),0,TER_handel_gas_kWh/1000)*0.902</f>
        <v>0</v>
      </c>
      <c r="E8" s="33">
        <f>$C$28*'E Balans VL '!I13/100/3.6*1000000</f>
        <v>7.9482968172662716</v>
      </c>
      <c r="F8" s="33">
        <f>$C$28*('E Balans VL '!L13+'E Balans VL '!N13)/100/3.6*1000000</f>
        <v>238.70837706439698</v>
      </c>
      <c r="G8" s="34"/>
      <c r="H8" s="33"/>
      <c r="I8" s="33"/>
      <c r="J8" s="33">
        <f>$C$28*('E Balans VL '!D13+'E Balans VL '!E13)/100/3.6*1000000</f>
        <v>0</v>
      </c>
      <c r="K8" s="33"/>
      <c r="L8" s="33"/>
      <c r="M8" s="33"/>
      <c r="N8" s="33">
        <f>$C$28*'E Balans VL '!Y13/100/3.6*1000000</f>
        <v>0.72411161124470724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56.556613674539804</v>
      </c>
      <c r="C10" s="33"/>
      <c r="D10" s="37">
        <f>IF(ISERROR(TER_ander_gas_kWh/1000),0,TER_ander_gas_kWh/1000)*0.902</f>
        <v>0</v>
      </c>
      <c r="E10" s="33">
        <f>$C$30*'E Balans VL '!I14/100/3.6*1000000</f>
        <v>0.34477051236421274</v>
      </c>
      <c r="F10" s="33">
        <f>$C$30*('E Balans VL '!L14+'E Balans VL '!N14)/100/3.6*1000000</f>
        <v>14.993933022845525</v>
      </c>
      <c r="G10" s="34"/>
      <c r="H10" s="33"/>
      <c r="I10" s="33"/>
      <c r="J10" s="33">
        <f>$C$30*('E Balans VL '!D14+'E Balans VL '!E14)/100/3.6*1000000</f>
        <v>0</v>
      </c>
      <c r="K10" s="33"/>
      <c r="L10" s="33"/>
      <c r="M10" s="33"/>
      <c r="N10" s="33">
        <f>$C$30*'E Balans VL '!Y14/100/3.6*1000000</f>
        <v>13.03507735351152</v>
      </c>
      <c r="O10" s="33"/>
      <c r="P10" s="33"/>
      <c r="R10" s="32"/>
    </row>
    <row r="11" spans="1:18">
      <c r="A11" s="32" t="s">
        <v>55</v>
      </c>
      <c r="B11" s="37">
        <f t="shared" si="0"/>
        <v>69.176706400967106</v>
      </c>
      <c r="C11" s="33"/>
      <c r="D11" s="37">
        <f>IF(ISERROR(TER_onderwijs_gas_kWh/1000),0,TER_onderwijs_gas_kWh/1000)*0.902</f>
        <v>0</v>
      </c>
      <c r="E11" s="33">
        <f>$C$31*'E Balans VL '!I11/100/3.6*1000000</f>
        <v>5.2716252346692694E-2</v>
      </c>
      <c r="F11" s="33">
        <f>$C$31*('E Balans VL '!L11+'E Balans VL '!N11)/100/3.6*1000000</f>
        <v>50.060055792987555</v>
      </c>
      <c r="G11" s="34"/>
      <c r="H11" s="33"/>
      <c r="I11" s="33"/>
      <c r="J11" s="33">
        <f>$C$31*('E Balans VL '!D11+'E Balans VL '!E11)/100/3.6*1000000</f>
        <v>0</v>
      </c>
      <c r="K11" s="33"/>
      <c r="L11" s="33"/>
      <c r="M11" s="33"/>
      <c r="N11" s="33">
        <f>$C$31*'E Balans VL '!Y11/100/3.6*1000000</f>
        <v>0.20388028669521738</v>
      </c>
      <c r="O11" s="33"/>
      <c r="P11" s="33"/>
      <c r="R11" s="32"/>
    </row>
    <row r="12" spans="1:18">
      <c r="A12" s="32" t="s">
        <v>261</v>
      </c>
      <c r="B12" s="37">
        <f t="shared" si="0"/>
        <v>989.0148702208661</v>
      </c>
      <c r="C12" s="33"/>
      <c r="D12" s="37">
        <f>IF(ISERROR(TER_rest_gas_kWh/1000),0,TER_rest_gas_kWh/1000)*0.902</f>
        <v>278.64124529733999</v>
      </c>
      <c r="E12" s="33">
        <f>$C$32*'E Balans VL '!I8/100/3.6*1000000</f>
        <v>21.211455011720524</v>
      </c>
      <c r="F12" s="33">
        <f>$C$32*('E Balans VL '!L8+'E Balans VL '!N8)/100/3.6*1000000</f>
        <v>195.15019319319612</v>
      </c>
      <c r="G12" s="34"/>
      <c r="H12" s="33"/>
      <c r="I12" s="33"/>
      <c r="J12" s="33">
        <f>$C$32*('E Balans VL '!D8+'E Balans VL '!E8)/100/3.6*1000000</f>
        <v>0</v>
      </c>
      <c r="K12" s="33"/>
      <c r="L12" s="33"/>
      <c r="M12" s="33"/>
      <c r="N12" s="33">
        <f>$C$32*'E Balans VL '!Y8/100/3.6*1000000</f>
        <v>28.051156304826268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3336.9141574735622</v>
      </c>
      <c r="C16" s="21">
        <f ca="1">C5+C13+C14</f>
        <v>0</v>
      </c>
      <c r="D16" s="21">
        <f t="shared" ref="D16:N16" ca="1" si="1">MAX((D5+D13+D14),0)</f>
        <v>278.64124529733999</v>
      </c>
      <c r="E16" s="21">
        <f t="shared" si="1"/>
        <v>63.693218354872947</v>
      </c>
      <c r="F16" s="21">
        <f t="shared" ca="1" si="1"/>
        <v>612.22345681911759</v>
      </c>
      <c r="G16" s="21">
        <f t="shared" si="1"/>
        <v>0</v>
      </c>
      <c r="H16" s="21">
        <f t="shared" si="1"/>
        <v>0</v>
      </c>
      <c r="I16" s="21">
        <f t="shared" si="1"/>
        <v>0</v>
      </c>
      <c r="J16" s="21">
        <f t="shared" si="1"/>
        <v>0</v>
      </c>
      <c r="K16" s="21">
        <f t="shared" si="1"/>
        <v>0</v>
      </c>
      <c r="L16" s="21">
        <f t="shared" ca="1" si="1"/>
        <v>0</v>
      </c>
      <c r="M16" s="21">
        <f t="shared" si="1"/>
        <v>0</v>
      </c>
      <c r="N16" s="21">
        <f t="shared" ca="1" si="1"/>
        <v>43.416771828795916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0.21576904708599107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720.00278796582325</v>
      </c>
      <c r="C20" s="23">
        <f t="shared" ref="C20:P20" ca="1" si="2">C16*C18</f>
        <v>0</v>
      </c>
      <c r="D20" s="23">
        <f t="shared" ca="1" si="2"/>
        <v>56.285531550062679</v>
      </c>
      <c r="E20" s="23">
        <f t="shared" si="2"/>
        <v>14.458360566556159</v>
      </c>
      <c r="F20" s="23">
        <f t="shared" ca="1" si="2"/>
        <v>163.46366297070441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181.449296841543</v>
      </c>
      <c r="C26" s="39">
        <f>IF(ISERROR(B26*3.6/1000000/'E Balans VL '!Z12*100),0,B26*3.6/1000000/'E Balans VL '!Z12*100)</f>
        <v>3.8182995410217585E-3</v>
      </c>
      <c r="D26" s="238" t="s">
        <v>720</v>
      </c>
      <c r="F26" s="6"/>
    </row>
    <row r="27" spans="1:18">
      <c r="A27" s="232" t="s">
        <v>53</v>
      </c>
      <c r="B27" s="33">
        <f>IF(ISERROR(TER_horeca_ele_kWh/1000),0,TER_horeca_ele_kWh/1000)</f>
        <v>492.517583461436</v>
      </c>
      <c r="C27" s="39">
        <f>IF(ISERROR(B27*3.6/1000000/'E Balans VL '!Z9*100),0,B27*3.6/1000000/'E Balans VL '!Z9*100)</f>
        <v>4.1700079830086612E-2</v>
      </c>
      <c r="D27" s="238" t="s">
        <v>720</v>
      </c>
      <c r="F27" s="6"/>
    </row>
    <row r="28" spans="1:18">
      <c r="A28" s="172" t="s">
        <v>52</v>
      </c>
      <c r="B28" s="33">
        <f>IF(ISERROR(TER_handel_ele_kWh/1000),0,TER_handel_ele_kWh/1000)</f>
        <v>1548.19908687421</v>
      </c>
      <c r="C28" s="39">
        <f>IF(ISERROR(B28*3.6/1000000/'E Balans VL '!Z13*100),0,B28*3.6/1000000/'E Balans VL '!Z13*100)</f>
        <v>4.2861677636620209E-2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56.556613674539804</v>
      </c>
      <c r="C30" s="39">
        <f>IF(ISERROR(B30*3.6/1000000/'E Balans VL '!Z14*100),0,B30*3.6/1000000/'E Balans VL '!Z14*100)</f>
        <v>4.3836562235454839E-3</v>
      </c>
      <c r="D30" s="238" t="s">
        <v>720</v>
      </c>
      <c r="F30" s="6"/>
    </row>
    <row r="31" spans="1:18">
      <c r="A31" s="232" t="s">
        <v>55</v>
      </c>
      <c r="B31" s="33">
        <f>IF(ISERROR(TER_onderwijs_ele_kWh/1000),0,TER_onderwijs_ele_kWh/1000)</f>
        <v>69.176706400967106</v>
      </c>
      <c r="C31" s="39">
        <f>IF(ISERROR(B31*3.6/1000000/'E Balans VL '!Z11*100),0,B31*3.6/1000000/'E Balans VL '!Z11*100)</f>
        <v>1.3234682680637285E-2</v>
      </c>
      <c r="D31" s="238" t="s">
        <v>720</v>
      </c>
    </row>
    <row r="32" spans="1:18">
      <c r="A32" s="232" t="s">
        <v>261</v>
      </c>
      <c r="B32" s="33">
        <f>IF(ISERROR(TER_rest_ele_kWh/1000),0,TER_rest_ele_kWh/1000)</f>
        <v>989.0148702208661</v>
      </c>
      <c r="C32" s="39">
        <f>IF(ISERROR(B32*3.6/1000000/'E Balans VL '!Z8*100),0,B32*3.6/1000000/'E Balans VL '!Z8*100)</f>
        <v>8.1551870848821616E-3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393.53526010341398</v>
      </c>
      <c r="C5" s="17">
        <f>IF(ISERROR('Eigen informatie GS &amp; warmtenet'!B59),0,'Eigen informatie GS &amp; warmtenet'!B59)</f>
        <v>0</v>
      </c>
      <c r="D5" s="30">
        <f>SUM(D6:D15)</f>
        <v>0</v>
      </c>
      <c r="E5" s="17">
        <f>SUM(E6:E15)</f>
        <v>4.6155272197354122</v>
      </c>
      <c r="F5" s="17">
        <f>SUM(F6:F15)</f>
        <v>158.32792644284265</v>
      </c>
      <c r="G5" s="18"/>
      <c r="H5" s="17"/>
      <c r="I5" s="17"/>
      <c r="J5" s="17">
        <f>SUM(J6:J15)</f>
        <v>1.7403187620745317</v>
      </c>
      <c r="K5" s="17"/>
      <c r="L5" s="17"/>
      <c r="M5" s="17"/>
      <c r="N5" s="17">
        <f>SUM(N6:N15)</f>
        <v>14.765229566165253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136.906624639537</v>
      </c>
      <c r="C9" s="33"/>
      <c r="D9" s="37">
        <f>IF( ISERROR(IND_andere_gas_kWh/1000),0,IND_andere_gas_kWh/1000)*0.902</f>
        <v>0</v>
      </c>
      <c r="E9" s="33">
        <f>C31*'E Balans VL '!I19/100/3.6*1000000</f>
        <v>2.2995144767910802</v>
      </c>
      <c r="F9" s="33">
        <f>C31*'E Balans VL '!L19/100/3.6*1000000+C31*'E Balans VL '!N19/100/3.6*1000000</f>
        <v>107.0258015240799</v>
      </c>
      <c r="G9" s="34"/>
      <c r="H9" s="33"/>
      <c r="I9" s="33"/>
      <c r="J9" s="40">
        <f>C31*'E Balans VL '!D19/100/3.6*1000000+C31*'E Balans VL '!E19/100/3.6*1000000</f>
        <v>1.2347769015013306E-2</v>
      </c>
      <c r="K9" s="33"/>
      <c r="L9" s="33"/>
      <c r="M9" s="33"/>
      <c r="N9" s="33">
        <f>C31*'E Balans VL '!Y19/100/3.6*1000000</f>
        <v>10.146977359210515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256.628635463877</v>
      </c>
      <c r="C15" s="33"/>
      <c r="D15" s="37">
        <f>IF( ISERROR(IND_rest_gas_kWh/1000),0,IND_rest_gas_kWh/1000)*0.902</f>
        <v>0</v>
      </c>
      <c r="E15" s="33">
        <f>C37*'E Balans VL '!I15/100/3.6*1000000</f>
        <v>2.3160127429443325</v>
      </c>
      <c r="F15" s="33">
        <f>C37*'E Balans VL '!L15/100/3.6*1000000+C37*'E Balans VL '!N15/100/3.6*1000000</f>
        <v>51.30212491876275</v>
      </c>
      <c r="G15" s="34"/>
      <c r="H15" s="33"/>
      <c r="I15" s="33"/>
      <c r="J15" s="40">
        <f>C37*'E Balans VL '!D15/100/3.6*1000000+C37*'E Balans VL '!E15/100/3.6*1000000</f>
        <v>1.7279709930595184</v>
      </c>
      <c r="K15" s="33"/>
      <c r="L15" s="33"/>
      <c r="M15" s="33"/>
      <c r="N15" s="33">
        <f>C37*'E Balans VL '!Y15/100/3.6*1000000</f>
        <v>4.6182522069547387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393.53526010341398</v>
      </c>
      <c r="C18" s="21">
        <f>C5+C16</f>
        <v>0</v>
      </c>
      <c r="D18" s="21">
        <f>MAX((D5+D16),0)</f>
        <v>0</v>
      </c>
      <c r="E18" s="21">
        <f>MAX((E5+E16),0)</f>
        <v>4.6155272197354122</v>
      </c>
      <c r="F18" s="21">
        <f>MAX((F5+F16),0)</f>
        <v>158.32792644284265</v>
      </c>
      <c r="G18" s="21"/>
      <c r="H18" s="21"/>
      <c r="I18" s="21"/>
      <c r="J18" s="21">
        <f>MAX((J5+J16),0)</f>
        <v>1.7403187620745317</v>
      </c>
      <c r="K18" s="21"/>
      <c r="L18" s="21">
        <f>MAX((L5+L16),0)</f>
        <v>0</v>
      </c>
      <c r="M18" s="21"/>
      <c r="N18" s="21">
        <f>MAX((N5+N16),0)</f>
        <v>14.765229566165253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0.21576904708599107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84.912728067251265</v>
      </c>
      <c r="C22" s="23">
        <f ca="1">C18*C20</f>
        <v>0</v>
      </c>
      <c r="D22" s="23">
        <f>D18*D20</f>
        <v>0</v>
      </c>
      <c r="E22" s="23">
        <f>E18*E20</f>
        <v>1.0477246788799386</v>
      </c>
      <c r="F22" s="23">
        <f>F18*F20</f>
        <v>42.273556360238992</v>
      </c>
      <c r="G22" s="23"/>
      <c r="H22" s="23"/>
      <c r="I22" s="23"/>
      <c r="J22" s="23">
        <f>J18*J20</f>
        <v>0.61607284177438415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136.906624639537</v>
      </c>
      <c r="C31" s="39">
        <f>IF(ISERROR(B31*3.6/1000000/'E Balans VL '!Z19*100),0,B31*3.6/1000000/'E Balans VL '!Z19*100)</f>
        <v>6.0685281165935709E-3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256.628635463877</v>
      </c>
      <c r="C37" s="39">
        <f>IF(ISERROR(B37*3.6/1000000/'E Balans VL '!Z15*100),0,B37*3.6/1000000/'E Balans VL '!Z15*100)</f>
        <v>1.9088989640415012E-3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1074.6416577405978</v>
      </c>
      <c r="C5" s="17">
        <f>'Eigen informatie GS &amp; warmtenet'!B60</f>
        <v>0</v>
      </c>
      <c r="D5" s="30">
        <f>IF(ISERROR(SUM(LB_lb_gas_kWh,LB_rest_gas_kWh,onbekend_gas_kWh)/1000),0,SUM(LB_lb_gas_kWh,LB_rest_gas_kWh,onbekend_gas_kWh)/1000)*0.902</f>
        <v>1197.4037860521937</v>
      </c>
      <c r="E5" s="17">
        <f>B17*'E Balans VL '!I25/3.6*1000000/100</f>
        <v>11.253880090291011</v>
      </c>
      <c r="F5" s="17">
        <f>B17*('E Balans VL '!L25/3.6*1000000+'E Balans VL '!N25/3.6*1000000)/100</f>
        <v>5519.5306631864923</v>
      </c>
      <c r="G5" s="18"/>
      <c r="H5" s="17"/>
      <c r="I5" s="17"/>
      <c r="J5" s="17">
        <f>('E Balans VL '!D25+'E Balans VL '!E25)/3.6*1000000*landbouw!B17/100</f>
        <v>95.975132213735392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1074.6416577405978</v>
      </c>
      <c r="C8" s="21">
        <f>C5+C6</f>
        <v>0</v>
      </c>
      <c r="D8" s="21">
        <f>MAX((D5+D6),0)</f>
        <v>1197.4037860521937</v>
      </c>
      <c r="E8" s="21">
        <f>MAX((E5+E6),0)</f>
        <v>11.253880090291011</v>
      </c>
      <c r="F8" s="21">
        <f>MAX((F5+F6),0)</f>
        <v>5519.5306631864923</v>
      </c>
      <c r="G8" s="21"/>
      <c r="H8" s="21"/>
      <c r="I8" s="21"/>
      <c r="J8" s="21">
        <f>MAX((J5+J6),0)</f>
        <v>95.975132213735392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0.21576904708599107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231.87440644959855</v>
      </c>
      <c r="C12" s="23">
        <f ca="1">C8*C10</f>
        <v>0</v>
      </c>
      <c r="D12" s="23">
        <f>D8*D10</f>
        <v>241.87556478254314</v>
      </c>
      <c r="E12" s="23">
        <f>E8*E10</f>
        <v>2.5546307804960597</v>
      </c>
      <c r="F12" s="23">
        <f>F8*F10</f>
        <v>1473.7146870707936</v>
      </c>
      <c r="G12" s="23"/>
      <c r="H12" s="23"/>
      <c r="I12" s="23"/>
      <c r="J12" s="23">
        <f>J8*J10</f>
        <v>33.975196803662328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0.16540809554380836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167.54963020178454</v>
      </c>
      <c r="C26" s="248">
        <f>B26*'GWP N2O_CH4'!B5</f>
        <v>3518.5422342374754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94.49311185054988</v>
      </c>
      <c r="C27" s="248">
        <f>B27*'GWP N2O_CH4'!B5</f>
        <v>1984.3553488615476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2.3651669303466849</v>
      </c>
      <c r="C28" s="248">
        <f>B28*'GWP N2O_CH4'!B4</f>
        <v>733.20174840747234</v>
      </c>
      <c r="D28" s="50"/>
    </row>
    <row r="29" spans="1:4">
      <c r="A29" s="41" t="s">
        <v>278</v>
      </c>
      <c r="B29" s="248">
        <f>B34*'ha_N2O bodem landbouw'!B4</f>
        <v>4.2466134366617698</v>
      </c>
      <c r="C29" s="248">
        <f>B29*'GWP N2O_CH4'!B4</f>
        <v>1316.4501653651487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7.0180864414138471E-4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1.8038133140658697E-7</v>
      </c>
      <c r="C5" s="446" t="s">
        <v>212</v>
      </c>
      <c r="D5" s="431">
        <f>SUM(D6:D11)</f>
        <v>9.4987008276943128E-7</v>
      </c>
      <c r="E5" s="431">
        <f>SUM(E6:E11)</f>
        <v>9.5307995062734563E-5</v>
      </c>
      <c r="F5" s="444" t="s">
        <v>212</v>
      </c>
      <c r="G5" s="431">
        <f>SUM(G6:G11)</f>
        <v>1.8632559780963408E-2</v>
      </c>
      <c r="H5" s="431">
        <f>SUM(H6:H11)</f>
        <v>3.1433088073553215E-3</v>
      </c>
      <c r="I5" s="446" t="s">
        <v>212</v>
      </c>
      <c r="J5" s="446" t="s">
        <v>212</v>
      </c>
      <c r="K5" s="446" t="s">
        <v>212</v>
      </c>
      <c r="L5" s="446" t="s">
        <v>212</v>
      </c>
      <c r="M5" s="431">
        <f>SUM(M6:M11)</f>
        <v>9.500221782349766E-4</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1.300541877528734E-7</v>
      </c>
      <c r="C6" s="432"/>
      <c r="D6" s="432">
        <f>vkm_2011_GW_PW*SUMIFS(TableVerdeelsleutelVkm[CNG],TableVerdeelsleutelVkm[Voertuigtype],"Lichte voertuigen")*SUMIFS(TableECFTransport[EnergieConsumptieFactor (PJ per km)],TableECFTransport[Index],CONCATENATE($A6,"_CNG_CNG"))</f>
        <v>5.6064848592054418E-7</v>
      </c>
      <c r="E6" s="434">
        <f>vkm_2011_GW_PW*SUMIFS(TableVerdeelsleutelVkm[LPG],TableVerdeelsleutelVkm[Voertuigtype],"Lichte voertuigen")*SUMIFS(TableECFTransport[EnergieConsumptieFactor (PJ per km)],TableECFTransport[Index],CONCATENATE($A6,"_LPG_LPG"))</f>
        <v>5.8332034893123536E-5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7.1750004295579959E-3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1.8890289254247018E-3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3.972292209573449E-4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6.7365639896986651E-3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2.3098744391401512E-6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2.9100694222287818E-4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5.0327143653713559E-8</v>
      </c>
      <c r="C8" s="432"/>
      <c r="D8" s="434">
        <f>vkm_2011_NGW_PW*SUMIFS(TableVerdeelsleutelVkm[CNG],TableVerdeelsleutelVkm[Voertuigtype],"Lichte voertuigen")*SUMIFS(TableECFTransport[EnergieConsumptieFactor (PJ per km)],TableECFTransport[Index],CONCATENATE($A8,"_CNG_CNG"))</f>
        <v>3.8922159684888716E-7</v>
      </c>
      <c r="E8" s="434">
        <f>vkm_2011_NGW_PW*SUMIFS(TableVerdeelsleutelVkm[LPG],TableVerdeelsleutelVkm[Voertuigtype],"Lichte voertuigen")*SUMIFS(TableECFTransport[EnergieConsumptieFactor (PJ per km)],TableECFTransport[Index],CONCATENATE($A8,"_LPG_LPG"))</f>
        <v>3.6975960169611033E-5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4.3138116034428442E-3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1.2518487181470499E-3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2.4419728759299839E-4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4.0718375826390277E-4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1.2128934443017042E-7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1.7588727461755119E-5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5.0105925390718606E-2</v>
      </c>
      <c r="C14" s="21"/>
      <c r="D14" s="21">
        <f t="shared" ref="D14:M14" si="0">((D5)*10^9/3600)+D12</f>
        <v>0.26385280076928647</v>
      </c>
      <c r="E14" s="21">
        <f t="shared" si="0"/>
        <v>26.474443072981824</v>
      </c>
      <c r="F14" s="21"/>
      <c r="G14" s="21">
        <f t="shared" si="0"/>
        <v>5175.7110502676142</v>
      </c>
      <c r="H14" s="21">
        <f t="shared" si="0"/>
        <v>873.1413353764782</v>
      </c>
      <c r="I14" s="21"/>
      <c r="J14" s="21"/>
      <c r="K14" s="21"/>
      <c r="L14" s="21"/>
      <c r="M14" s="21">
        <f t="shared" si="0"/>
        <v>263.8950495097157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0.21576904708599107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1.0811307774917117E-2</v>
      </c>
      <c r="C18" s="23"/>
      <c r="D18" s="23">
        <f t="shared" ref="D18:M18" si="1">D14*D16</f>
        <v>5.3298265755395868E-2</v>
      </c>
      <c r="E18" s="23">
        <f t="shared" si="1"/>
        <v>6.0096985775668745</v>
      </c>
      <c r="F18" s="23"/>
      <c r="G18" s="23">
        <f t="shared" si="1"/>
        <v>1381.9148504214531</v>
      </c>
      <c r="H18" s="23">
        <f t="shared" si="1"/>
        <v>217.41219250874306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3.5149895827321133E-4</v>
      </c>
      <c r="H50" s="322">
        <f t="shared" si="2"/>
        <v>0</v>
      </c>
      <c r="I50" s="322">
        <f t="shared" si="2"/>
        <v>0</v>
      </c>
      <c r="J50" s="322">
        <f t="shared" si="2"/>
        <v>0</v>
      </c>
      <c r="K50" s="322">
        <f t="shared" si="2"/>
        <v>0</v>
      </c>
      <c r="L50" s="322">
        <f t="shared" si="2"/>
        <v>0</v>
      </c>
      <c r="M50" s="322">
        <f t="shared" si="2"/>
        <v>1.4982873512199529E-5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3.5149895827321133E-4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1.4982873512199529E-5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97.638599520336484</v>
      </c>
      <c r="H54" s="21">
        <f t="shared" si="3"/>
        <v>0</v>
      </c>
      <c r="I54" s="21">
        <f t="shared" si="3"/>
        <v>0</v>
      </c>
      <c r="J54" s="21">
        <f t="shared" si="3"/>
        <v>0</v>
      </c>
      <c r="K54" s="21">
        <f t="shared" si="3"/>
        <v>0</v>
      </c>
      <c r="L54" s="21">
        <f t="shared" si="3"/>
        <v>0</v>
      </c>
      <c r="M54" s="21">
        <f t="shared" si="3"/>
        <v>4.1619093089443133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0.21576904708599107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26.069506071929844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228.45320031485963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228.45320031485963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3510.2651574735623</v>
      </c>
      <c r="D10" s="702">
        <f ca="1">tertiair!C16</f>
        <v>0</v>
      </c>
      <c r="E10" s="702">
        <f ca="1">tertiair!D16</f>
        <v>278.64124529733999</v>
      </c>
      <c r="F10" s="702">
        <f>tertiair!E16</f>
        <v>63.693218354872947</v>
      </c>
      <c r="G10" s="702">
        <f ca="1">tertiair!F16</f>
        <v>612.22345681911759</v>
      </c>
      <c r="H10" s="702">
        <f>tertiair!G16</f>
        <v>0</v>
      </c>
      <c r="I10" s="702">
        <f>tertiair!H16</f>
        <v>0</v>
      </c>
      <c r="J10" s="702">
        <f>tertiair!I16</f>
        <v>0</v>
      </c>
      <c r="K10" s="702">
        <f>tertiair!J16</f>
        <v>0</v>
      </c>
      <c r="L10" s="702">
        <f>tertiair!K16</f>
        <v>0</v>
      </c>
      <c r="M10" s="702">
        <f ca="1">tertiair!L16</f>
        <v>0</v>
      </c>
      <c r="N10" s="702">
        <f>tertiair!M16</f>
        <v>0</v>
      </c>
      <c r="O10" s="702">
        <f ca="1">tertiair!N16</f>
        <v>43.416771828795916</v>
      </c>
      <c r="P10" s="702">
        <f>tertiair!O16</f>
        <v>0</v>
      </c>
      <c r="Q10" s="703">
        <f>tertiair!P16</f>
        <v>0</v>
      </c>
      <c r="R10" s="705">
        <f ca="1">SUM(C10:Q10)</f>
        <v>4508.2398497736895</v>
      </c>
      <c r="S10" s="67"/>
    </row>
    <row r="11" spans="1:19" s="457" customFormat="1">
      <c r="A11" s="858" t="s">
        <v>226</v>
      </c>
      <c r="B11" s="863"/>
      <c r="C11" s="702">
        <f>huishoudens!B8</f>
        <v>4673.3165999778357</v>
      </c>
      <c r="D11" s="702">
        <f>huishoudens!C8</f>
        <v>0</v>
      </c>
      <c r="E11" s="702">
        <f>huishoudens!D8</f>
        <v>24271.068606210949</v>
      </c>
      <c r="F11" s="702">
        <f>huishoudens!E8</f>
        <v>0</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0</v>
      </c>
      <c r="P11" s="702">
        <f>huishoudens!O8</f>
        <v>7.8166666666666664</v>
      </c>
      <c r="Q11" s="703">
        <f>huishoudens!P8</f>
        <v>133.46666666666667</v>
      </c>
      <c r="R11" s="705">
        <f>SUM(C11:Q11)</f>
        <v>29085.668539522117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393.53526010341398</v>
      </c>
      <c r="D13" s="702">
        <f>industrie!C18</f>
        <v>0</v>
      </c>
      <c r="E13" s="702">
        <f>industrie!D18</f>
        <v>0</v>
      </c>
      <c r="F13" s="702">
        <f>industrie!E18</f>
        <v>4.6155272197354122</v>
      </c>
      <c r="G13" s="702">
        <f>industrie!F18</f>
        <v>158.32792644284265</v>
      </c>
      <c r="H13" s="702">
        <f>industrie!G18</f>
        <v>0</v>
      </c>
      <c r="I13" s="702">
        <f>industrie!H18</f>
        <v>0</v>
      </c>
      <c r="J13" s="702">
        <f>industrie!I18</f>
        <v>0</v>
      </c>
      <c r="K13" s="702">
        <f>industrie!J18</f>
        <v>1.7403187620745317</v>
      </c>
      <c r="L13" s="702">
        <f>industrie!K18</f>
        <v>0</v>
      </c>
      <c r="M13" s="702">
        <f>industrie!L18</f>
        <v>0</v>
      </c>
      <c r="N13" s="702">
        <f>industrie!M18</f>
        <v>0</v>
      </c>
      <c r="O13" s="702">
        <f>industrie!N18</f>
        <v>14.765229566165253</v>
      </c>
      <c r="P13" s="702">
        <f>industrie!O18</f>
        <v>0</v>
      </c>
      <c r="Q13" s="703">
        <f>industrie!P18</f>
        <v>0</v>
      </c>
      <c r="R13" s="705">
        <f>SUM(C13:Q13)</f>
        <v>572.98426209423178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8577.1170175548123</v>
      </c>
      <c r="D15" s="707">
        <f t="shared" ref="D15:Q15" ca="1" si="0">SUM(D9:D14)</f>
        <v>0</v>
      </c>
      <c r="E15" s="707">
        <f t="shared" ca="1" si="0"/>
        <v>24549.709851508291</v>
      </c>
      <c r="F15" s="707">
        <f t="shared" si="0"/>
        <v>68.308745574608366</v>
      </c>
      <c r="G15" s="707">
        <f t="shared" ca="1" si="0"/>
        <v>770.55138326196027</v>
      </c>
      <c r="H15" s="707">
        <f t="shared" si="0"/>
        <v>0</v>
      </c>
      <c r="I15" s="707">
        <f t="shared" si="0"/>
        <v>0</v>
      </c>
      <c r="J15" s="707">
        <f t="shared" si="0"/>
        <v>0</v>
      </c>
      <c r="K15" s="707">
        <f t="shared" si="0"/>
        <v>1.7403187620745317</v>
      </c>
      <c r="L15" s="707">
        <f t="shared" si="0"/>
        <v>0</v>
      </c>
      <c r="M15" s="707">
        <f t="shared" ca="1" si="0"/>
        <v>0</v>
      </c>
      <c r="N15" s="707">
        <f t="shared" si="0"/>
        <v>0</v>
      </c>
      <c r="O15" s="707">
        <f t="shared" ca="1" si="0"/>
        <v>58.182001394961169</v>
      </c>
      <c r="P15" s="707">
        <f t="shared" si="0"/>
        <v>7.8166666666666664</v>
      </c>
      <c r="Q15" s="708">
        <f t="shared" si="0"/>
        <v>133.46666666666667</v>
      </c>
      <c r="R15" s="709">
        <f ca="1">SUM(R9:R14)</f>
        <v>34166.892651390037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97.638599520336484</v>
      </c>
      <c r="I18" s="702">
        <f>transport!H54</f>
        <v>0</v>
      </c>
      <c r="J18" s="702">
        <f>transport!I54</f>
        <v>0</v>
      </c>
      <c r="K18" s="702">
        <f>transport!J54</f>
        <v>0</v>
      </c>
      <c r="L18" s="702">
        <f>transport!K54</f>
        <v>0</v>
      </c>
      <c r="M18" s="702">
        <f>transport!L54</f>
        <v>0</v>
      </c>
      <c r="N18" s="702">
        <f>transport!M54</f>
        <v>4.1619093089443133</v>
      </c>
      <c r="O18" s="702">
        <f>transport!N54</f>
        <v>0</v>
      </c>
      <c r="P18" s="702">
        <f>transport!O54</f>
        <v>0</v>
      </c>
      <c r="Q18" s="703">
        <f>transport!P54</f>
        <v>0</v>
      </c>
      <c r="R18" s="705">
        <f>SUM(C18:Q18)</f>
        <v>101.8005088292808</v>
      </c>
      <c r="S18" s="67"/>
    </row>
    <row r="19" spans="1:19" s="457" customFormat="1" ht="15" thickBot="1">
      <c r="A19" s="858" t="s">
        <v>308</v>
      </c>
      <c r="B19" s="863"/>
      <c r="C19" s="711">
        <f>transport!B14</f>
        <v>5.0105925390718606E-2</v>
      </c>
      <c r="D19" s="711">
        <f>transport!C14</f>
        <v>0</v>
      </c>
      <c r="E19" s="711">
        <f>transport!D14</f>
        <v>0.26385280076928647</v>
      </c>
      <c r="F19" s="711">
        <f>transport!E14</f>
        <v>26.474443072981824</v>
      </c>
      <c r="G19" s="711">
        <f>transport!F14</f>
        <v>0</v>
      </c>
      <c r="H19" s="711">
        <f>transport!G14</f>
        <v>5175.7110502676142</v>
      </c>
      <c r="I19" s="711">
        <f>transport!H14</f>
        <v>873.1413353764782</v>
      </c>
      <c r="J19" s="711">
        <f>transport!I14</f>
        <v>0</v>
      </c>
      <c r="K19" s="711">
        <f>transport!J14</f>
        <v>0</v>
      </c>
      <c r="L19" s="711">
        <f>transport!K14</f>
        <v>0</v>
      </c>
      <c r="M19" s="711">
        <f>transport!L14</f>
        <v>0</v>
      </c>
      <c r="N19" s="711">
        <f>transport!M14</f>
        <v>263.8950495097157</v>
      </c>
      <c r="O19" s="711">
        <f>transport!N14</f>
        <v>0</v>
      </c>
      <c r="P19" s="711">
        <f>transport!O14</f>
        <v>0</v>
      </c>
      <c r="Q19" s="712">
        <f>transport!P14</f>
        <v>0</v>
      </c>
      <c r="R19" s="713">
        <f>SUM(C19:Q19)</f>
        <v>6339.5358369529504</v>
      </c>
      <c r="S19" s="67"/>
    </row>
    <row r="20" spans="1:19" s="457" customFormat="1" ht="15.75" thickBot="1">
      <c r="A20" s="714" t="s">
        <v>231</v>
      </c>
      <c r="B20" s="866"/>
      <c r="C20" s="861">
        <f>SUM(C17:C19)</f>
        <v>5.0105925390718606E-2</v>
      </c>
      <c r="D20" s="715">
        <f t="shared" ref="D20:R20" si="1">SUM(D17:D19)</f>
        <v>0</v>
      </c>
      <c r="E20" s="715">
        <f t="shared" si="1"/>
        <v>0.26385280076928647</v>
      </c>
      <c r="F20" s="715">
        <f t="shared" si="1"/>
        <v>26.474443072981824</v>
      </c>
      <c r="G20" s="715">
        <f t="shared" si="1"/>
        <v>0</v>
      </c>
      <c r="H20" s="715">
        <f t="shared" si="1"/>
        <v>5273.3496497879505</v>
      </c>
      <c r="I20" s="715">
        <f t="shared" si="1"/>
        <v>873.1413353764782</v>
      </c>
      <c r="J20" s="715">
        <f t="shared" si="1"/>
        <v>0</v>
      </c>
      <c r="K20" s="715">
        <f t="shared" si="1"/>
        <v>0</v>
      </c>
      <c r="L20" s="715">
        <f t="shared" si="1"/>
        <v>0</v>
      </c>
      <c r="M20" s="715">
        <f t="shared" si="1"/>
        <v>0</v>
      </c>
      <c r="N20" s="715">
        <f t="shared" si="1"/>
        <v>268.05695881866001</v>
      </c>
      <c r="O20" s="715">
        <f t="shared" si="1"/>
        <v>0</v>
      </c>
      <c r="P20" s="715">
        <f t="shared" si="1"/>
        <v>0</v>
      </c>
      <c r="Q20" s="716">
        <f t="shared" si="1"/>
        <v>0</v>
      </c>
      <c r="R20" s="717">
        <f t="shared" si="1"/>
        <v>6441.3363457822315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1074.6416577405978</v>
      </c>
      <c r="D22" s="711">
        <f>+landbouw!C8</f>
        <v>0</v>
      </c>
      <c r="E22" s="711">
        <f>+landbouw!D8</f>
        <v>1197.4037860521937</v>
      </c>
      <c r="F22" s="711">
        <f>+landbouw!E8</f>
        <v>11.253880090291011</v>
      </c>
      <c r="G22" s="711">
        <f>+landbouw!F8</f>
        <v>5519.5306631864923</v>
      </c>
      <c r="H22" s="711">
        <f>+landbouw!G8</f>
        <v>0</v>
      </c>
      <c r="I22" s="711">
        <f>+landbouw!H8</f>
        <v>0</v>
      </c>
      <c r="J22" s="711">
        <f>+landbouw!I8</f>
        <v>0</v>
      </c>
      <c r="K22" s="711">
        <f>+landbouw!J8</f>
        <v>95.975132213735392</v>
      </c>
      <c r="L22" s="711">
        <f>+landbouw!K8</f>
        <v>0</v>
      </c>
      <c r="M22" s="711">
        <f>+landbouw!L8</f>
        <v>0</v>
      </c>
      <c r="N22" s="711">
        <f>+landbouw!M8</f>
        <v>0</v>
      </c>
      <c r="O22" s="711">
        <f>+landbouw!N8</f>
        <v>0</v>
      </c>
      <c r="P22" s="711">
        <f>+landbouw!O8</f>
        <v>0</v>
      </c>
      <c r="Q22" s="712">
        <f>+landbouw!P8</f>
        <v>0</v>
      </c>
      <c r="R22" s="713">
        <f>SUM(C22:Q22)</f>
        <v>7898.8051192833109</v>
      </c>
      <c r="S22" s="67"/>
    </row>
    <row r="23" spans="1:19" s="457" customFormat="1" ht="17.25" thickTop="1" thickBot="1">
      <c r="A23" s="718" t="s">
        <v>116</v>
      </c>
      <c r="B23" s="852"/>
      <c r="C23" s="719">
        <f ca="1">C20+C15+C22</f>
        <v>9651.8087812208014</v>
      </c>
      <c r="D23" s="719">
        <f t="shared" ref="D23:Q23" ca="1" si="2">D20+D15+D22</f>
        <v>0</v>
      </c>
      <c r="E23" s="719">
        <f t="shared" ca="1" si="2"/>
        <v>25747.377490361254</v>
      </c>
      <c r="F23" s="719">
        <f t="shared" si="2"/>
        <v>106.0370687378812</v>
      </c>
      <c r="G23" s="719">
        <f t="shared" ca="1" si="2"/>
        <v>6290.0820464484523</v>
      </c>
      <c r="H23" s="719">
        <f t="shared" si="2"/>
        <v>5273.3496497879505</v>
      </c>
      <c r="I23" s="719">
        <f t="shared" si="2"/>
        <v>873.1413353764782</v>
      </c>
      <c r="J23" s="719">
        <f t="shared" si="2"/>
        <v>0</v>
      </c>
      <c r="K23" s="719">
        <f t="shared" si="2"/>
        <v>97.715450975809929</v>
      </c>
      <c r="L23" s="719">
        <f t="shared" si="2"/>
        <v>0</v>
      </c>
      <c r="M23" s="719">
        <f t="shared" ca="1" si="2"/>
        <v>0</v>
      </c>
      <c r="N23" s="719">
        <f t="shared" si="2"/>
        <v>268.05695881866001</v>
      </c>
      <c r="O23" s="719">
        <f t="shared" ca="1" si="2"/>
        <v>58.182001394961169</v>
      </c>
      <c r="P23" s="719">
        <f t="shared" si="2"/>
        <v>7.8166666666666664</v>
      </c>
      <c r="Q23" s="720">
        <f t="shared" si="2"/>
        <v>133.46666666666667</v>
      </c>
      <c r="R23" s="721">
        <f ca="1">R20+R15+R22</f>
        <v>48507.034116455579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757.40656804722687</v>
      </c>
      <c r="D36" s="702">
        <f ca="1">tertiair!C20</f>
        <v>0</v>
      </c>
      <c r="E36" s="702">
        <f ca="1">tertiair!D20</f>
        <v>56.285531550062679</v>
      </c>
      <c r="F36" s="702">
        <f>tertiair!E20</f>
        <v>14.458360566556159</v>
      </c>
      <c r="G36" s="702">
        <f ca="1">tertiair!F20</f>
        <v>163.46366297070441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991.61412313455014</v>
      </c>
    </row>
    <row r="37" spans="1:18">
      <c r="A37" s="873" t="s">
        <v>226</v>
      </c>
      <c r="B37" s="880"/>
      <c r="C37" s="702">
        <f ca="1">huishoudens!B12</f>
        <v>1008.3570695083613</v>
      </c>
      <c r="D37" s="702">
        <f ca="1">huishoudens!C12</f>
        <v>0</v>
      </c>
      <c r="E37" s="702">
        <f>huishoudens!D12</f>
        <v>4902.7558584546123</v>
      </c>
      <c r="F37" s="702">
        <f>huishoudens!E12</f>
        <v>0</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5911.1129279629731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84.912728067251265</v>
      </c>
      <c r="D39" s="702">
        <f ca="1">industrie!C22</f>
        <v>0</v>
      </c>
      <c r="E39" s="702">
        <f>industrie!D22</f>
        <v>0</v>
      </c>
      <c r="F39" s="702">
        <f>industrie!E22</f>
        <v>1.0477246788799386</v>
      </c>
      <c r="G39" s="702">
        <f>industrie!F22</f>
        <v>42.273556360238992</v>
      </c>
      <c r="H39" s="702">
        <f>industrie!G22</f>
        <v>0</v>
      </c>
      <c r="I39" s="702">
        <f>industrie!H22</f>
        <v>0</v>
      </c>
      <c r="J39" s="702">
        <f>industrie!I22</f>
        <v>0</v>
      </c>
      <c r="K39" s="702">
        <f>industrie!J22</f>
        <v>0.61607284177438415</v>
      </c>
      <c r="L39" s="702">
        <f>industrie!K22</f>
        <v>0</v>
      </c>
      <c r="M39" s="702">
        <f>industrie!L22</f>
        <v>0</v>
      </c>
      <c r="N39" s="702">
        <f>industrie!M22</f>
        <v>0</v>
      </c>
      <c r="O39" s="702">
        <f>industrie!N22</f>
        <v>0</v>
      </c>
      <c r="P39" s="702">
        <f>industrie!O22</f>
        <v>0</v>
      </c>
      <c r="Q39" s="812">
        <f>industrie!P22</f>
        <v>0</v>
      </c>
      <c r="R39" s="906">
        <f ca="1">SUM(C39:Q39)</f>
        <v>128.85008194814458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1850.6763656228393</v>
      </c>
      <c r="D41" s="747">
        <f t="shared" ref="D41:R41" ca="1" si="4">SUM(D35:D40)</f>
        <v>0</v>
      </c>
      <c r="E41" s="747">
        <f t="shared" ca="1" si="4"/>
        <v>4959.0413900046751</v>
      </c>
      <c r="F41" s="747">
        <f t="shared" si="4"/>
        <v>15.506085245436097</v>
      </c>
      <c r="G41" s="747">
        <f t="shared" ca="1" si="4"/>
        <v>205.73721933094339</v>
      </c>
      <c r="H41" s="747">
        <f t="shared" si="4"/>
        <v>0</v>
      </c>
      <c r="I41" s="747">
        <f t="shared" si="4"/>
        <v>0</v>
      </c>
      <c r="J41" s="747">
        <f t="shared" si="4"/>
        <v>0</v>
      </c>
      <c r="K41" s="747">
        <f t="shared" si="4"/>
        <v>0.61607284177438415</v>
      </c>
      <c r="L41" s="747">
        <f t="shared" si="4"/>
        <v>0</v>
      </c>
      <c r="M41" s="747">
        <f t="shared" ca="1" si="4"/>
        <v>0</v>
      </c>
      <c r="N41" s="747">
        <f t="shared" si="4"/>
        <v>0</v>
      </c>
      <c r="O41" s="747">
        <f t="shared" ca="1" si="4"/>
        <v>0</v>
      </c>
      <c r="P41" s="747">
        <f t="shared" si="4"/>
        <v>0</v>
      </c>
      <c r="Q41" s="748">
        <f t="shared" si="4"/>
        <v>0</v>
      </c>
      <c r="R41" s="749">
        <f t="shared" ca="1" si="4"/>
        <v>7031.5771330456673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26.069506071929844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26.069506071929844</v>
      </c>
    </row>
    <row r="45" spans="1:18" ht="15" thickBot="1">
      <c r="A45" s="876" t="s">
        <v>308</v>
      </c>
      <c r="B45" s="886"/>
      <c r="C45" s="711">
        <f ca="1">transport!B18</f>
        <v>1.0811307774917117E-2</v>
      </c>
      <c r="D45" s="711">
        <f>transport!C18</f>
        <v>0</v>
      </c>
      <c r="E45" s="711">
        <f>transport!D18</f>
        <v>5.3298265755395868E-2</v>
      </c>
      <c r="F45" s="711">
        <f>transport!E18</f>
        <v>6.0096985775668745</v>
      </c>
      <c r="G45" s="711">
        <f>transport!F18</f>
        <v>0</v>
      </c>
      <c r="H45" s="711">
        <f>transport!G18</f>
        <v>1381.9148504214531</v>
      </c>
      <c r="I45" s="711">
        <f>transport!H18</f>
        <v>217.41219250874306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1605.4008510812935</v>
      </c>
    </row>
    <row r="46" spans="1:18" ht="15.75" thickBot="1">
      <c r="A46" s="874" t="s">
        <v>231</v>
      </c>
      <c r="B46" s="887"/>
      <c r="C46" s="747">
        <f t="shared" ref="C46:R46" ca="1" si="5">SUM(C43:C45)</f>
        <v>1.0811307774917117E-2</v>
      </c>
      <c r="D46" s="747">
        <f t="shared" ca="1" si="5"/>
        <v>0</v>
      </c>
      <c r="E46" s="747">
        <f t="shared" si="5"/>
        <v>5.3298265755395868E-2</v>
      </c>
      <c r="F46" s="747">
        <f t="shared" si="5"/>
        <v>6.0096985775668745</v>
      </c>
      <c r="G46" s="747">
        <f t="shared" si="5"/>
        <v>0</v>
      </c>
      <c r="H46" s="747">
        <f t="shared" si="5"/>
        <v>1407.9843564933831</v>
      </c>
      <c r="I46" s="747">
        <f t="shared" si="5"/>
        <v>217.41219250874306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1631.4703571532234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231.87440644959855</v>
      </c>
      <c r="D48" s="702">
        <f ca="1">+landbouw!C12</f>
        <v>0</v>
      </c>
      <c r="E48" s="702">
        <f>+landbouw!D12</f>
        <v>241.87556478254314</v>
      </c>
      <c r="F48" s="702">
        <f>+landbouw!E12</f>
        <v>2.5546307804960597</v>
      </c>
      <c r="G48" s="702">
        <f>+landbouw!F12</f>
        <v>1473.7146870707936</v>
      </c>
      <c r="H48" s="702">
        <f>+landbouw!G12</f>
        <v>0</v>
      </c>
      <c r="I48" s="702">
        <f>+landbouw!H12</f>
        <v>0</v>
      </c>
      <c r="J48" s="702">
        <f>+landbouw!I12</f>
        <v>0</v>
      </c>
      <c r="K48" s="702">
        <f>+landbouw!J12</f>
        <v>33.975196803662328</v>
      </c>
      <c r="L48" s="702">
        <f>+landbouw!K12</f>
        <v>0</v>
      </c>
      <c r="M48" s="702">
        <f>+landbouw!L12</f>
        <v>0</v>
      </c>
      <c r="N48" s="702">
        <f>+landbouw!M12</f>
        <v>0</v>
      </c>
      <c r="O48" s="702">
        <f>+landbouw!N12</f>
        <v>0</v>
      </c>
      <c r="P48" s="702">
        <f>+landbouw!O12</f>
        <v>0</v>
      </c>
      <c r="Q48" s="703">
        <f>+landbouw!P12</f>
        <v>0</v>
      </c>
      <c r="R48" s="745">
        <f ca="1">SUM(C48:Q48)</f>
        <v>1983.9944858870938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2082.5615833802126</v>
      </c>
      <c r="D53" s="757">
        <f t="shared" ref="D53:Q53" ca="1" si="6">D41+D46+D48</f>
        <v>0</v>
      </c>
      <c r="E53" s="757">
        <f t="shared" ca="1" si="6"/>
        <v>5200.970253052973</v>
      </c>
      <c r="F53" s="757">
        <f t="shared" si="6"/>
        <v>24.070414603499028</v>
      </c>
      <c r="G53" s="757">
        <f t="shared" ca="1" si="6"/>
        <v>1679.451906401737</v>
      </c>
      <c r="H53" s="757">
        <f t="shared" si="6"/>
        <v>1407.9843564933831</v>
      </c>
      <c r="I53" s="757">
        <f t="shared" si="6"/>
        <v>217.41219250874306</v>
      </c>
      <c r="J53" s="757">
        <f t="shared" si="6"/>
        <v>0</v>
      </c>
      <c r="K53" s="757">
        <f t="shared" si="6"/>
        <v>34.591269645436711</v>
      </c>
      <c r="L53" s="757">
        <f t="shared" si="6"/>
        <v>0</v>
      </c>
      <c r="M53" s="757">
        <f t="shared" ca="1" si="6"/>
        <v>0</v>
      </c>
      <c r="N53" s="757">
        <f t="shared" si="6"/>
        <v>0</v>
      </c>
      <c r="O53" s="757">
        <f t="shared" ca="1" si="6"/>
        <v>0</v>
      </c>
      <c r="P53" s="757">
        <f>P41+P46+P48</f>
        <v>0</v>
      </c>
      <c r="Q53" s="758">
        <f t="shared" si="6"/>
        <v>0</v>
      </c>
      <c r="R53" s="759">
        <f ca="1">R41+R46+R48</f>
        <v>10647.041976085984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0.21576904708599101</v>
      </c>
      <c r="D55" s="823">
        <f t="shared" ca="1" si="7"/>
        <v>0</v>
      </c>
      <c r="E55" s="823">
        <f t="shared" ca="1" si="7"/>
        <v>0.20199999999999999</v>
      </c>
      <c r="F55" s="823">
        <f t="shared" si="7"/>
        <v>0.22699999999999995</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228.45320031485963</v>
      </c>
      <c r="C66" s="779">
        <f>'lokale energieproductie'!B6</f>
        <v>228.45320031485963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228.45320031485963</v>
      </c>
      <c r="C69" s="787">
        <f>SUM(C64:C68)</f>
        <v>228.45320031485963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4673.3165999778357</v>
      </c>
      <c r="C4" s="461">
        <f>huishoudens!C8</f>
        <v>0</v>
      </c>
      <c r="D4" s="461">
        <f>huishoudens!D8</f>
        <v>24271.068606210949</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7.8166666666666664</v>
      </c>
      <c r="P4" s="462">
        <f>huishoudens!P8</f>
        <v>133.46666666666667</v>
      </c>
      <c r="Q4" s="463">
        <f>SUM(B4:P4)</f>
        <v>29085.668539522117</v>
      </c>
    </row>
    <row r="5" spans="1:17">
      <c r="A5" s="460" t="s">
        <v>156</v>
      </c>
      <c r="B5" s="461">
        <f ca="1">tertiair!B16</f>
        <v>3336.9141574735622</v>
      </c>
      <c r="C5" s="461">
        <f ca="1">tertiair!C16</f>
        <v>0</v>
      </c>
      <c r="D5" s="461">
        <f ca="1">tertiair!D16</f>
        <v>278.64124529733999</v>
      </c>
      <c r="E5" s="461">
        <f>tertiair!E16</f>
        <v>63.693218354872947</v>
      </c>
      <c r="F5" s="461">
        <f ca="1">tertiair!F16</f>
        <v>612.22345681911759</v>
      </c>
      <c r="G5" s="461">
        <f>tertiair!G16</f>
        <v>0</v>
      </c>
      <c r="H5" s="461">
        <f>tertiair!H16</f>
        <v>0</v>
      </c>
      <c r="I5" s="461">
        <f>tertiair!I16</f>
        <v>0</v>
      </c>
      <c r="J5" s="461">
        <f>tertiair!J16</f>
        <v>0</v>
      </c>
      <c r="K5" s="461">
        <f>tertiair!K16</f>
        <v>0</v>
      </c>
      <c r="L5" s="461">
        <f ca="1">tertiair!L16</f>
        <v>0</v>
      </c>
      <c r="M5" s="461">
        <f>tertiair!M16</f>
        <v>0</v>
      </c>
      <c r="N5" s="461">
        <f ca="1">tertiair!N16</f>
        <v>43.416771828795916</v>
      </c>
      <c r="O5" s="461">
        <f>tertiair!O16</f>
        <v>0</v>
      </c>
      <c r="P5" s="462">
        <f>tertiair!P16</f>
        <v>0</v>
      </c>
      <c r="Q5" s="460">
        <f t="shared" ref="Q5:Q13" ca="1" si="0">SUM(B5:P5)</f>
        <v>4334.8888497736889</v>
      </c>
    </row>
    <row r="6" spans="1:17">
      <c r="A6" s="460" t="s">
        <v>195</v>
      </c>
      <c r="B6" s="461">
        <f>'openbare verlichting'!B8</f>
        <v>173.351</v>
      </c>
      <c r="C6" s="461"/>
      <c r="D6" s="461"/>
      <c r="E6" s="461"/>
      <c r="F6" s="461"/>
      <c r="G6" s="461"/>
      <c r="H6" s="461"/>
      <c r="I6" s="461"/>
      <c r="J6" s="461"/>
      <c r="K6" s="461"/>
      <c r="L6" s="461"/>
      <c r="M6" s="461"/>
      <c r="N6" s="461"/>
      <c r="O6" s="461"/>
      <c r="P6" s="462"/>
      <c r="Q6" s="460">
        <f t="shared" si="0"/>
        <v>173.351</v>
      </c>
    </row>
    <row r="7" spans="1:17">
      <c r="A7" s="460" t="s">
        <v>112</v>
      </c>
      <c r="B7" s="461">
        <f>landbouw!B8</f>
        <v>1074.6416577405978</v>
      </c>
      <c r="C7" s="461">
        <f>landbouw!C8</f>
        <v>0</v>
      </c>
      <c r="D7" s="461">
        <f>landbouw!D8</f>
        <v>1197.4037860521937</v>
      </c>
      <c r="E7" s="461">
        <f>landbouw!E8</f>
        <v>11.253880090291011</v>
      </c>
      <c r="F7" s="461">
        <f>landbouw!F8</f>
        <v>5519.5306631864923</v>
      </c>
      <c r="G7" s="461">
        <f>landbouw!G8</f>
        <v>0</v>
      </c>
      <c r="H7" s="461">
        <f>landbouw!H8</f>
        <v>0</v>
      </c>
      <c r="I7" s="461">
        <f>landbouw!I8</f>
        <v>0</v>
      </c>
      <c r="J7" s="461">
        <f>landbouw!J8</f>
        <v>95.975132213735392</v>
      </c>
      <c r="K7" s="461">
        <f>landbouw!K8</f>
        <v>0</v>
      </c>
      <c r="L7" s="461">
        <f>landbouw!L8</f>
        <v>0</v>
      </c>
      <c r="M7" s="461">
        <f>landbouw!M8</f>
        <v>0</v>
      </c>
      <c r="N7" s="461">
        <f>landbouw!N8</f>
        <v>0</v>
      </c>
      <c r="O7" s="461">
        <f>landbouw!O8</f>
        <v>0</v>
      </c>
      <c r="P7" s="462">
        <f>landbouw!P8</f>
        <v>0</v>
      </c>
      <c r="Q7" s="460">
        <f t="shared" si="0"/>
        <v>7898.8051192833109</v>
      </c>
    </row>
    <row r="8" spans="1:17">
      <c r="A8" s="460" t="s">
        <v>656</v>
      </c>
      <c r="B8" s="461">
        <f>industrie!B18</f>
        <v>393.53526010341398</v>
      </c>
      <c r="C8" s="461">
        <f>industrie!C18</f>
        <v>0</v>
      </c>
      <c r="D8" s="461">
        <f>industrie!D18</f>
        <v>0</v>
      </c>
      <c r="E8" s="461">
        <f>industrie!E18</f>
        <v>4.6155272197354122</v>
      </c>
      <c r="F8" s="461">
        <f>industrie!F18</f>
        <v>158.32792644284265</v>
      </c>
      <c r="G8" s="461">
        <f>industrie!G18</f>
        <v>0</v>
      </c>
      <c r="H8" s="461">
        <f>industrie!H18</f>
        <v>0</v>
      </c>
      <c r="I8" s="461">
        <f>industrie!I18</f>
        <v>0</v>
      </c>
      <c r="J8" s="461">
        <f>industrie!J18</f>
        <v>1.7403187620745317</v>
      </c>
      <c r="K8" s="461">
        <f>industrie!K18</f>
        <v>0</v>
      </c>
      <c r="L8" s="461">
        <f>industrie!L18</f>
        <v>0</v>
      </c>
      <c r="M8" s="461">
        <f>industrie!M18</f>
        <v>0</v>
      </c>
      <c r="N8" s="461">
        <f>industrie!N18</f>
        <v>14.765229566165253</v>
      </c>
      <c r="O8" s="461">
        <f>industrie!O18</f>
        <v>0</v>
      </c>
      <c r="P8" s="462">
        <f>industrie!P18</f>
        <v>0</v>
      </c>
      <c r="Q8" s="460">
        <f t="shared" si="0"/>
        <v>572.98426209423178</v>
      </c>
    </row>
    <row r="9" spans="1:17" s="466" customFormat="1">
      <c r="A9" s="464" t="s">
        <v>574</v>
      </c>
      <c r="B9" s="465">
        <f>transport!B14</f>
        <v>5.0105925390718606E-2</v>
      </c>
      <c r="C9" s="465">
        <f>transport!C14</f>
        <v>0</v>
      </c>
      <c r="D9" s="465">
        <f>transport!D14</f>
        <v>0.26385280076928647</v>
      </c>
      <c r="E9" s="465">
        <f>transport!E14</f>
        <v>26.474443072981824</v>
      </c>
      <c r="F9" s="465">
        <f>transport!F14</f>
        <v>0</v>
      </c>
      <c r="G9" s="465">
        <f>transport!G14</f>
        <v>5175.7110502676142</v>
      </c>
      <c r="H9" s="465">
        <f>transport!H14</f>
        <v>873.1413353764782</v>
      </c>
      <c r="I9" s="465">
        <f>transport!I14</f>
        <v>0</v>
      </c>
      <c r="J9" s="465">
        <f>transport!J14</f>
        <v>0</v>
      </c>
      <c r="K9" s="465">
        <f>transport!K14</f>
        <v>0</v>
      </c>
      <c r="L9" s="465">
        <f>transport!L14</f>
        <v>0</v>
      </c>
      <c r="M9" s="465">
        <f>transport!M14</f>
        <v>263.8950495097157</v>
      </c>
      <c r="N9" s="465">
        <f>transport!N14</f>
        <v>0</v>
      </c>
      <c r="O9" s="465">
        <f>transport!O14</f>
        <v>0</v>
      </c>
      <c r="P9" s="465">
        <f>transport!P14</f>
        <v>0</v>
      </c>
      <c r="Q9" s="464">
        <f>SUM(B9:P9)</f>
        <v>6339.5358369529504</v>
      </c>
    </row>
    <row r="10" spans="1:17">
      <c r="A10" s="460" t="s">
        <v>564</v>
      </c>
      <c r="B10" s="461">
        <f>transport!B54</f>
        <v>0</v>
      </c>
      <c r="C10" s="461">
        <f>transport!C54</f>
        <v>0</v>
      </c>
      <c r="D10" s="461">
        <f>transport!D54</f>
        <v>0</v>
      </c>
      <c r="E10" s="461">
        <f>transport!E54</f>
        <v>0</v>
      </c>
      <c r="F10" s="461">
        <f>transport!F54</f>
        <v>0</v>
      </c>
      <c r="G10" s="461">
        <f>transport!G54</f>
        <v>97.638599520336484</v>
      </c>
      <c r="H10" s="461">
        <f>transport!H54</f>
        <v>0</v>
      </c>
      <c r="I10" s="461">
        <f>transport!I54</f>
        <v>0</v>
      </c>
      <c r="J10" s="461">
        <f>transport!J54</f>
        <v>0</v>
      </c>
      <c r="K10" s="461">
        <f>transport!K54</f>
        <v>0</v>
      </c>
      <c r="L10" s="461">
        <f>transport!L54</f>
        <v>0</v>
      </c>
      <c r="M10" s="461">
        <f>transport!M54</f>
        <v>4.1619093089443133</v>
      </c>
      <c r="N10" s="461">
        <f>transport!N54</f>
        <v>0</v>
      </c>
      <c r="O10" s="461">
        <f>transport!O54</f>
        <v>0</v>
      </c>
      <c r="P10" s="462">
        <f>transport!P54</f>
        <v>0</v>
      </c>
      <c r="Q10" s="460">
        <f t="shared" si="0"/>
        <v>101.8005088292808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9651.8087812207996</v>
      </c>
      <c r="C14" s="471">
        <f t="shared" ref="C14:Q14" ca="1" si="1">SUM(C4:C13)</f>
        <v>0</v>
      </c>
      <c r="D14" s="471">
        <f t="shared" ca="1" si="1"/>
        <v>25747.377490361254</v>
      </c>
      <c r="E14" s="471">
        <f t="shared" si="1"/>
        <v>106.0370687378812</v>
      </c>
      <c r="F14" s="471">
        <f t="shared" ca="1" si="1"/>
        <v>6290.0820464484532</v>
      </c>
      <c r="G14" s="471">
        <f t="shared" si="1"/>
        <v>5273.3496497879505</v>
      </c>
      <c r="H14" s="471">
        <f t="shared" si="1"/>
        <v>873.1413353764782</v>
      </c>
      <c r="I14" s="471">
        <f t="shared" si="1"/>
        <v>0</v>
      </c>
      <c r="J14" s="471">
        <f t="shared" si="1"/>
        <v>97.715450975809929</v>
      </c>
      <c r="K14" s="471">
        <f t="shared" si="1"/>
        <v>0</v>
      </c>
      <c r="L14" s="471">
        <f t="shared" ca="1" si="1"/>
        <v>0</v>
      </c>
      <c r="M14" s="471">
        <f t="shared" si="1"/>
        <v>268.05695881866001</v>
      </c>
      <c r="N14" s="471">
        <f t="shared" ca="1" si="1"/>
        <v>58.182001394961169</v>
      </c>
      <c r="O14" s="471">
        <f t="shared" si="1"/>
        <v>7.8166666666666664</v>
      </c>
      <c r="P14" s="472">
        <f t="shared" si="1"/>
        <v>133.46666666666667</v>
      </c>
      <c r="Q14" s="472">
        <f t="shared" ca="1" si="1"/>
        <v>48507.034116455572</v>
      </c>
    </row>
    <row r="16" spans="1:17">
      <c r="A16" s="474" t="s">
        <v>569</v>
      </c>
      <c r="B16" s="828">
        <f ca="1">huishoudens!B10</f>
        <v>0.21576904708599107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1008.3570695083613</v>
      </c>
      <c r="C21" s="461">
        <f t="shared" ref="C21:C30" ca="1" si="3">C4*$C$16</f>
        <v>0</v>
      </c>
      <c r="D21" s="461">
        <f t="shared" ref="D21:D30" si="4">D4*$D$16</f>
        <v>4902.7558584546123</v>
      </c>
      <c r="E21" s="461">
        <f t="shared" ref="E21:E30" si="5">E4*$E$16</f>
        <v>0</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5911.1129279629731</v>
      </c>
    </row>
    <row r="22" spans="1:17">
      <c r="A22" s="460" t="s">
        <v>156</v>
      </c>
      <c r="B22" s="461">
        <f t="shared" ca="1" si="2"/>
        <v>720.00278796582325</v>
      </c>
      <c r="C22" s="461">
        <f t="shared" ca="1" si="3"/>
        <v>0</v>
      </c>
      <c r="D22" s="461">
        <f t="shared" ca="1" si="4"/>
        <v>56.285531550062679</v>
      </c>
      <c r="E22" s="461">
        <f t="shared" si="5"/>
        <v>14.458360566556159</v>
      </c>
      <c r="F22" s="461">
        <f t="shared" ca="1" si="6"/>
        <v>163.46366297070441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954.21034305314652</v>
      </c>
    </row>
    <row r="23" spans="1:17">
      <c r="A23" s="460" t="s">
        <v>195</v>
      </c>
      <c r="B23" s="461">
        <f t="shared" ca="1" si="2"/>
        <v>37.403780081403639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37.403780081403639</v>
      </c>
    </row>
    <row r="24" spans="1:17">
      <c r="A24" s="460" t="s">
        <v>112</v>
      </c>
      <c r="B24" s="461">
        <f t="shared" ca="1" si="2"/>
        <v>231.87440644959855</v>
      </c>
      <c r="C24" s="461">
        <f t="shared" ca="1" si="3"/>
        <v>0</v>
      </c>
      <c r="D24" s="461">
        <f t="shared" si="4"/>
        <v>241.87556478254314</v>
      </c>
      <c r="E24" s="461">
        <f t="shared" si="5"/>
        <v>2.5546307804960597</v>
      </c>
      <c r="F24" s="461">
        <f t="shared" si="6"/>
        <v>1473.7146870707936</v>
      </c>
      <c r="G24" s="461">
        <f t="shared" si="7"/>
        <v>0</v>
      </c>
      <c r="H24" s="461">
        <f t="shared" si="8"/>
        <v>0</v>
      </c>
      <c r="I24" s="461">
        <f t="shared" si="9"/>
        <v>0</v>
      </c>
      <c r="J24" s="461">
        <f t="shared" si="10"/>
        <v>33.975196803662328</v>
      </c>
      <c r="K24" s="461">
        <f t="shared" si="11"/>
        <v>0</v>
      </c>
      <c r="L24" s="461">
        <f t="shared" si="12"/>
        <v>0</v>
      </c>
      <c r="M24" s="461">
        <f t="shared" si="13"/>
        <v>0</v>
      </c>
      <c r="N24" s="461">
        <f t="shared" si="14"/>
        <v>0</v>
      </c>
      <c r="O24" s="461">
        <f t="shared" si="15"/>
        <v>0</v>
      </c>
      <c r="P24" s="462">
        <f t="shared" si="16"/>
        <v>0</v>
      </c>
      <c r="Q24" s="460">
        <f t="shared" ca="1" si="17"/>
        <v>1983.9944858870938</v>
      </c>
    </row>
    <row r="25" spans="1:17">
      <c r="A25" s="460" t="s">
        <v>656</v>
      </c>
      <c r="B25" s="461">
        <f t="shared" ca="1" si="2"/>
        <v>84.912728067251265</v>
      </c>
      <c r="C25" s="461">
        <f t="shared" ca="1" si="3"/>
        <v>0</v>
      </c>
      <c r="D25" s="461">
        <f t="shared" si="4"/>
        <v>0</v>
      </c>
      <c r="E25" s="461">
        <f t="shared" si="5"/>
        <v>1.0477246788799386</v>
      </c>
      <c r="F25" s="461">
        <f t="shared" si="6"/>
        <v>42.273556360238992</v>
      </c>
      <c r="G25" s="461">
        <f t="shared" si="7"/>
        <v>0</v>
      </c>
      <c r="H25" s="461">
        <f t="shared" si="8"/>
        <v>0</v>
      </c>
      <c r="I25" s="461">
        <f t="shared" si="9"/>
        <v>0</v>
      </c>
      <c r="J25" s="461">
        <f t="shared" si="10"/>
        <v>0.61607284177438415</v>
      </c>
      <c r="K25" s="461">
        <f t="shared" si="11"/>
        <v>0</v>
      </c>
      <c r="L25" s="461">
        <f t="shared" si="12"/>
        <v>0</v>
      </c>
      <c r="M25" s="461">
        <f t="shared" si="13"/>
        <v>0</v>
      </c>
      <c r="N25" s="461">
        <f t="shared" si="14"/>
        <v>0</v>
      </c>
      <c r="O25" s="461">
        <f t="shared" si="15"/>
        <v>0</v>
      </c>
      <c r="P25" s="462">
        <f t="shared" si="16"/>
        <v>0</v>
      </c>
      <c r="Q25" s="460">
        <f t="shared" ca="1" si="17"/>
        <v>128.85008194814458</v>
      </c>
    </row>
    <row r="26" spans="1:17" s="466" customFormat="1">
      <c r="A26" s="464" t="s">
        <v>574</v>
      </c>
      <c r="B26" s="822">
        <f t="shared" ca="1" si="2"/>
        <v>1.0811307774917117E-2</v>
      </c>
      <c r="C26" s="465">
        <f t="shared" ca="1" si="3"/>
        <v>0</v>
      </c>
      <c r="D26" s="465">
        <f t="shared" si="4"/>
        <v>5.3298265755395868E-2</v>
      </c>
      <c r="E26" s="465">
        <f t="shared" si="5"/>
        <v>6.0096985775668745</v>
      </c>
      <c r="F26" s="465">
        <f t="shared" si="6"/>
        <v>0</v>
      </c>
      <c r="G26" s="465">
        <f t="shared" si="7"/>
        <v>1381.9148504214531</v>
      </c>
      <c r="H26" s="465">
        <f t="shared" si="8"/>
        <v>217.41219250874306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1605.4008510812935</v>
      </c>
    </row>
    <row r="27" spans="1:17">
      <c r="A27" s="460" t="s">
        <v>564</v>
      </c>
      <c r="B27" s="461">
        <f t="shared" ca="1" si="2"/>
        <v>0</v>
      </c>
      <c r="C27" s="461">
        <f t="shared" ca="1" si="3"/>
        <v>0</v>
      </c>
      <c r="D27" s="461">
        <f t="shared" si="4"/>
        <v>0</v>
      </c>
      <c r="E27" s="461">
        <f t="shared" si="5"/>
        <v>0</v>
      </c>
      <c r="F27" s="461">
        <f t="shared" si="6"/>
        <v>0</v>
      </c>
      <c r="G27" s="461">
        <f t="shared" si="7"/>
        <v>26.069506071929844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26.069506071929844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2082.5615833802131</v>
      </c>
      <c r="C31" s="471">
        <f t="shared" ca="1" si="18"/>
        <v>0</v>
      </c>
      <c r="D31" s="471">
        <f t="shared" ca="1" si="18"/>
        <v>5200.970253052973</v>
      </c>
      <c r="E31" s="471">
        <f t="shared" si="18"/>
        <v>24.070414603499032</v>
      </c>
      <c r="F31" s="471">
        <f t="shared" ca="1" si="18"/>
        <v>1679.451906401737</v>
      </c>
      <c r="G31" s="471">
        <f t="shared" si="18"/>
        <v>1407.9843564933831</v>
      </c>
      <c r="H31" s="471">
        <f t="shared" si="18"/>
        <v>217.41219250874306</v>
      </c>
      <c r="I31" s="471">
        <f t="shared" si="18"/>
        <v>0</v>
      </c>
      <c r="J31" s="471">
        <f t="shared" si="18"/>
        <v>34.591269645436711</v>
      </c>
      <c r="K31" s="471">
        <f t="shared" si="18"/>
        <v>0</v>
      </c>
      <c r="L31" s="471">
        <f t="shared" ca="1" si="18"/>
        <v>0</v>
      </c>
      <c r="M31" s="471">
        <f t="shared" si="18"/>
        <v>0</v>
      </c>
      <c r="N31" s="471">
        <f t="shared" ca="1" si="18"/>
        <v>0</v>
      </c>
      <c r="O31" s="471">
        <f t="shared" si="18"/>
        <v>0</v>
      </c>
      <c r="P31" s="472">
        <f t="shared" si="18"/>
        <v>0</v>
      </c>
      <c r="Q31" s="472">
        <f t="shared" ca="1" si="18"/>
        <v>10647.041976085984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0.21576904708599107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0.21576904708599107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0.21576904708599107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2018-06-27T08:59:37Z</dcterms:modified>
</cp:coreProperties>
</file>