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J8" s="1"/>
  <c r="U88"/>
  <c r="T88"/>
  <c r="S88"/>
  <c r="R8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C13" i="15"/>
  <c r="C16" s="1"/>
  <c r="D10" i="14" s="1"/>
  <c r="C18" i="16"/>
  <c r="C8" i="48" s="1"/>
  <c r="N16" i="16"/>
  <c r="B13" i="15"/>
  <c r="F6" i="17"/>
  <c r="F8" s="1"/>
  <c r="D16" i="16"/>
  <c r="O80" i="14"/>
  <c r="H68"/>
  <c r="H69" s="1"/>
  <c r="D8" i="17"/>
  <c r="C97" i="18"/>
  <c r="I100" s="1"/>
  <c r="H7" s="1"/>
  <c r="I67" i="14" s="1"/>
  <c r="F16" i="16"/>
  <c r="D13" i="15"/>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G22" i="14" l="1"/>
  <c r="F7" i="48"/>
  <c r="F24" s="1"/>
  <c r="F12" i="17"/>
  <c r="G48" i="14" s="1"/>
  <c r="L8" i="17"/>
  <c r="L7" i="48" s="1"/>
  <c r="L24" s="1"/>
  <c r="L5" i="17"/>
  <c r="D100" i="18"/>
  <c r="G100"/>
  <c r="L29" i="48"/>
  <c r="E100" i="18"/>
  <c r="E7" s="1"/>
  <c r="H100"/>
  <c r="J7" s="1"/>
  <c r="O78" i="14"/>
  <c r="K14" i="48"/>
  <c r="L30"/>
  <c r="L23"/>
  <c r="B100" i="18"/>
  <c r="C7" s="1"/>
  <c r="B35" i="13"/>
  <c r="N5" i="17"/>
  <c r="N8" s="1"/>
  <c r="E19" i="18"/>
  <c r="D13" i="14"/>
  <c r="D15" s="1"/>
  <c r="J16" i="18"/>
  <c r="K78" i="14" s="1"/>
  <c r="K81" s="1"/>
  <c r="H9" i="18"/>
  <c r="M28" i="48"/>
  <c r="C100" i="18"/>
  <c r="I16"/>
  <c r="L12" i="17"/>
  <c r="M48" i="14" s="1"/>
  <c r="D81"/>
  <c r="O79"/>
  <c r="M23" i="48"/>
  <c r="L27"/>
  <c r="B9" i="18"/>
  <c r="M31" i="20"/>
  <c r="N43" i="14" s="1"/>
  <c r="M12" i="22"/>
  <c r="O18" i="16"/>
  <c r="B34" i="13"/>
  <c r="B46" s="1"/>
  <c r="E5" s="1"/>
  <c r="E8" s="1"/>
  <c r="E12" s="1"/>
  <c r="F37" i="14" s="1"/>
  <c r="I7" i="18"/>
  <c r="K22" i="14"/>
  <c r="M13"/>
  <c r="L8" i="48"/>
  <c r="L25" s="1"/>
  <c r="L22" i="16"/>
  <c r="M39" i="14" s="1"/>
  <c r="C7" i="48"/>
  <c r="D22" i="14"/>
  <c r="M22" i="48"/>
  <c r="B36" i="13"/>
  <c r="O68" i="14"/>
  <c r="C68"/>
  <c r="E8" i="17"/>
  <c r="F22" i="14" s="1"/>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O22" i="14" l="1"/>
  <c r="N12" i="17"/>
  <c r="O48" i="14" s="1"/>
  <c r="N7" i="48"/>
  <c r="N24" s="1"/>
  <c r="C9" i="18"/>
  <c r="D67" i="14"/>
  <c r="J78"/>
  <c r="I19" i="18"/>
  <c r="F67" i="14"/>
  <c r="F69" s="1"/>
  <c r="E9" i="18"/>
  <c r="C14" i="48"/>
  <c r="M22" i="14"/>
  <c r="R22" s="1"/>
  <c r="M16" i="18"/>
  <c r="M19" s="1"/>
  <c r="E7" i="48"/>
  <c r="E24" s="1"/>
  <c r="J19" i="18"/>
  <c r="O81" i="14"/>
  <c r="B17" i="6" s="1"/>
  <c r="E16" i="15"/>
  <c r="E20" s="1"/>
  <c r="F36" i="14" s="1"/>
  <c r="K67"/>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P14" i="48"/>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E5" i="48" l="1"/>
  <c r="E22" s="1"/>
  <c r="O67" i="14"/>
  <c r="D69"/>
  <c r="C78"/>
  <c r="C81" s="1"/>
  <c r="J81"/>
  <c r="Q7" i="48"/>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N22" i="16" l="1"/>
  <c r="O39" i="14" s="1"/>
  <c r="O41" s="1"/>
  <c r="O53" s="1"/>
  <c r="Q5" i="48"/>
  <c r="N25"/>
  <c r="N31" s="1"/>
  <c r="N14"/>
  <c r="E8"/>
  <c r="Q8" s="1"/>
  <c r="Q14" s="1"/>
  <c r="J22" i="16"/>
  <c r="K39" i="14" s="1"/>
  <c r="K41" s="1"/>
  <c r="K53" s="1"/>
  <c r="J31" i="48"/>
  <c r="J14"/>
  <c r="R20" i="14"/>
  <c r="N55"/>
  <c r="H55"/>
  <c r="G31" i="48"/>
  <c r="F55" i="14"/>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<sst xmlns="http://schemas.openxmlformats.org/spreadsheetml/2006/main" count="2056" uniqueCount="907">
  <si>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</si>
  <si>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</si>
  <si>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</si>
  <si>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</si>
  <si>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</si>
  <si>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</si>
  <si>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</si>
  <si>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</si>
  <si>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</si>
  <si>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</si>
  <si>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</si>
  <si>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</si>
  <si>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</si>
  <si>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</si>
  <si>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</si>
  <si>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</si>
  <si>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</si>
  <si>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</si>
  <si>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</si>
  <si>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</si>
  <si>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</si>
  <si>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</si>
  <si>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</si>
  <si>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</si>
  <si>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</si>
  <si>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</si>
  <si>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</si>
  <si>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</si>
  <si>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</si>
  <si>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</si>
  <si>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</si>
  <si>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</si>
  <si>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</si>
  <si>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</si>
  <si>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</si>
  <si>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</si>
  <si>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</si>
  <si>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</si>
  <si>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</si>
  <si>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</si>
  <si>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</si>
  <si>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</si>
  <si>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</si>
  <si>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</si>
  <si>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</si>
  <si>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</si>
  <si>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</si>
  <si>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</si>
  <si>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</si>
  <si>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</si>
  <si>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</si>
  <si>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</si>
  <si>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</si>
  <si>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</si>
  <si>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</si>
  <si>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</si>
  <si>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</si>
  <si>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</si>
  <si>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</si>
  <si>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</si>
  <si>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</si>
  <si>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</si>
  <si>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</si>
  <si>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</si>
  <si>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</si>
  <si>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</si>
  <si>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</si>
  <si>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</si>
  <si>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</si>
  <si>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</si>
  <si>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</si>
  <si>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</si>
  <si>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</si>
  <si>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</si>
  <si>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</si>
  <si>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</si>
  <si>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</si>
  <si>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</si>
  <si>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</si>
  <si>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</si>
  <si>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</si>
  <si>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</si>
  <si>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</si>
  <si>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</si>
  <si>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</si>
  <si>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</si>
  <si>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</si>
  <si>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</si>
  <si>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</si>
  <si>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</si>
  <si>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</si>
  <si>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</si>
  <si>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</si>
  <si>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</si>
  <si>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</si>
  <si>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</si>
  <si>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</si>
  <si>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</si>
  <si>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</si>
  <si>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</si>
  <si>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</si>
  <si>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</si>
  <si>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</si>
  <si>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</si>
  <si>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</si>
  <si>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</si>
  <si>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</si>
  <si>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</si>
  <si>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</si>
  <si>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</si>
  <si>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</si>
  <si>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</si>
  <si>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</si>
  <si>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</si>
  <si>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</si>
  <si>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</si>
  <si>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</si>
  <si>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</si>
  <si>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</si>
  <si>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</si>
  <si>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</si>
  <si>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</si>
  <si>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</si>
  <si>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</si>
  <si>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</si>
  <si>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</si>
  <si>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</si>
  <si>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</si>
  <si>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</si>
  <si>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</si>
  <si>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</si>
  <si>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</si>
  <si>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</si>
  <si>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</si>
  <si>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</si>
  <si>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</si>
  <si>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</si>
  <si>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</si>
  <si>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</si>
  <si>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</si>
  <si>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</si>
  <si>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</si>
  <si>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</si>
  <si>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</si>
  <si>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</si>
  <si>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</si>
  <si>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</si>
  <si>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</si>
  <si>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</si>
  <si>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</si>
  <si>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</si>
  <si>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</si>
  <si>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</si>
  <si>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</si>
  <si>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</si>
  <si>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</si>
  <si>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</si>
  <si>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</si>
  <si>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</si>
  <si>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</si>
  <si>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</si>
  <si>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</si>
  <si>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</si>
  <si>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</si>
  <si>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</si>
  <si>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</si>
  <si>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</si>
  <si>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</si>
  <si>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</si>
  <si>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</si>
  <si>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</si>
  <si>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</si>
  <si>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</si>
  <si>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</si>
  <si>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</si>
  <si>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</si>
  <si>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</si>
  <si>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</si>
  <si>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</si>
  <si>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</si>
  <si>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</si>
  <si>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</si>
  <si>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</si>
  <si>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</si>
  <si>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</si>
  <si>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</si>
  <si>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</si>
  <si>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</si>
  <si>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</si>
  <si>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</si>
  <si>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</si>
  <si>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</si>
  <si>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</si>
  <si>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</si>
  <si>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</si>
  <si>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</si>
  <si>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</si>
  <si>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</si>
  <si>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</si>
  <si>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</si>
  <si>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</si>
  <si>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</si>
  <si>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</si>
  <si>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</si>
  <si>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</si>
  <si>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</si>
  <si>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</si>
  <si>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</si>
  <si>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</si>
  <si>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</si>
  <si>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</si>
  <si>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</si>
  <si>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</si>
  <si>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</si>
  <si>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</si>
  <si>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</si>
  <si>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</si>
  <si>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</si>
  <si>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</si>
  <si>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</si>
  <si>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</si>
  <si>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</si>
  <si>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</si>
  <si>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</si>
  <si>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</si>
  <si>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</si>
  <si>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</si>
  <si>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</si>
  <si>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</si>
  <si>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</si>
  <si>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</si>
  <si>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</si>
  <si>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</si>
  <si>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</si>
  <si>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</si>
  <si>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</si>
  <si>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</si>
  <si>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</si>
  <si>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</si>
  <si>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</si>
  <si>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</si>
  <si>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</si>
  <si>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</si>
  <si>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</si>
  <si>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</si>
  <si>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</si>
  <si>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</si>
  <si>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</si>
  <si>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</si>
  <si>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</si>
  <si>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</si>
  <si>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</si>
  <si>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</si>
  <si>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</si>
  <si>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</si>
  <si>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</si>
  <si>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</si>
  <si>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</si>
  <si>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</si>
  <si>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</si>
  <si>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</si>
  <si>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</si>
  <si>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</si>
  <si>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</si>
  <si>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</si>
  <si>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</si>
  <si>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</si>
  <si>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</si>
  <si>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</si>
  <si>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</si>
  <si>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</si>
  <si>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</si>
  <si>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</si>
  <si>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</si>
  <si>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</si>
  <si>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</si>
  <si>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</si>
  <si>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</si>
  <si>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</si>
  <si>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</si>
  <si>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</si>
  <si>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</si>
  <si>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</si>
  <si>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</si>
  <si>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</si>
  <si>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</si>
  <si>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</si>
  <si>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</si>
  <si>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</si>
  <si>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</si>
  <si>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</si>
  <si>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</si>
  <si>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</si>
  <si>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</si>
  <si>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</si>
  <si>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</si>
  <si>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</si>
  <si>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</si>
  <si>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</si>
  <si>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</si>
  <si>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</si>
  <si>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</si>
  <si>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</si>
  <si>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</si>
  <si>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</si>
  <si>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</si>
  <si>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</si>
  <si>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</si>
  <si>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</si>
  <si>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</si>
  <si>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</si>
  <si>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</si>
  <si>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</si>
  <si>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</si>
  <si>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</si>
  <si>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</si>
  <si>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</si>
  <si>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</si>
  <si>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</si>
  <si>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</si>
  <si>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</si>
  <si>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</si>
  <si>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</si>
  <si>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</si>
  <si>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</si>
  <si>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</si>
  <si>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</si>
  <si>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</si>
  <si>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</si>
  <si>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</si>
  <si>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</si>
  <si>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</si>
  <si>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</si>
  <si>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</si>
  <si>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</si>
  <si>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</si>
  <si>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</si>
  <si>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</si>
  <si>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</si>
  <si>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</si>
  <si>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</si>
  <si>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</si>
  <si>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</si>
  <si>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</si>
  <si>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</si>
  <si>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</si>
  <si>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</si>
  <si>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</si>
  <si>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</si>
  <si>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</si>
  <si>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</si>
  <si>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</si>
  <si>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</si>
  <si>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</si>
  <si>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</si>
  <si>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</si>
  <si>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</si>
  <si>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</si>
  <si>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</si>
  <si>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</si>
  <si>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</si>
  <si>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</si>
  <si>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</si>
  <si>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</si>
  <si>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</si>
  <si>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</si>
  <si>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</si>
  <si>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</si>
  <si>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</si>
  <si>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</si>
  <si>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</si>
  <si>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</si>
  <si>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</si>
  <si>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</si>
  <si>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</si>
  <si>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</si>
  <si>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</si>
  <si>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</si>
  <si>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</si>
  <si>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</si>
  <si>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</si>
  <si>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</si>
  <si>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</si>
  <si>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</si>
  <si>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</si>
  <si>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</si>
  <si>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</si>
  <si>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</si>
  <si>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</si>
  <si>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</si>
  <si>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</si>
  <si>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</si>
  <si>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</si>
  <si>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</si>
  <si>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</si>
  <si>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</si>
  <si>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</si>
  <si>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</si>
  <si>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</si>
  <si>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</si>
  <si>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</si>
  <si>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</si>
  <si>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</si>
  <si>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</si>
  <si>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</si>
  <si>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</si>
  <si>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</si>
  <si>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</si>
  <si>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</si>
  <si>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</si>
  <si>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</si>
  <si>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</si>
  <si>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</si>
  <si>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</si>
  <si>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</si>
  <si>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</si>
  <si>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</si>
  <si>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</si>
  <si>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</si>
  <si>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</si>
  <si>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</si>
  <si>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</si>
  <si>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</si>
  <si>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</si>
  <si>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</si>
  <si>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</si>
  <si>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</si>
  <si>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</si>
  <si>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</si>
  <si>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</si>
  <si>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</si>
  <si>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</si>
  <si>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</si>
  <si>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</si>
  <si>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</si>
  <si>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</si>
  <si>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</si>
  <si>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</si>
  <si>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</si>
  <si>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</si>
  <si>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</si>
  <si>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</si>
  <si>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</si>
  <si>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</si>
  <si>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</si>
  <si>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</si>
  <si>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</si>
  <si>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</si>
  <si>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</si>
  <si>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</si>
  <si>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</si>
  <si>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</si>
  <si>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</si>
  <si>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</si>
  <si>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</si>
  <si>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</si>
  <si>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</si>
  <si>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</si>
  <si>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</si>
  <si>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</si>
  <si>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</si>
  <si>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</si>
  <si>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</si>
  <si>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</si>
  <si>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</si>
  <si>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</si>
  <si>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</si>
  <si>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</si>
  <si>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</si>
  <si>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</si>
  <si>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</si>
  <si>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</si>
  <si>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</si>
  <si>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</si>
  <si>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</si>
  <si>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</si>
  <si>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</si>
  <si>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</si>
  <si>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</si>
  <si>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</si>
  <si>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</si>
  <si>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</si>
  <si>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</si>
  <si>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</si>
  <si>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</si>
  <si>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</si>
  <si>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</si>
  <si>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</si>
  <si>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</si>
  <si>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</si>
  <si>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</si>
  <si>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</si>
  <si>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</si>
  <si>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</si>
  <si>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</si>
  <si>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</si>
  <si>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</si>
  <si>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</si>
  <si>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</si>
  <si>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</si>
  <si>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</si>
  <si>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</si>
  <si>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</si>
  <si>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</si>
  <si>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</si>
  <si>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</si>
  <si>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</si>
  <si>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</si>
  <si>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</si>
  <si>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</si>
  <si>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</si>
  <si>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</si>
  <si>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</si>
  <si>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</si>
  <si>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</si>
  <si>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</si>
  <si>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</si>
  <si>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</si>
  <si>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</si>
  <si>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</si>
  <si>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</si>
  <si>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</si>
  <si>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</si>
  <si>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</si>
  <si>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</si>
  <si>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</si>
  <si>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</si>
  <si>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</si>
  <si>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</si>
  <si>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</si>
  <si>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</si>
  <si>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</si>
  <si>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</si>
  <si>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</si>
  <si>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</si>
  <si>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</si>
  <si>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</si>
  <si>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</si>
  <si>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</si>
  <si>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</si>
  <si>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</si>
  <si>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</si>
  <si>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</si>
  <si>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</si>
  <si>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</si>
  <si>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</si>
  <si>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</si>
  <si>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</si>
  <si>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</si>
  <si>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</si>
  <si>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</si>
  <si>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</si>
  <si>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</si>
  <si>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</si>
  <si>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</si>
  <si>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</si>
  <si>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</si>
  <si>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</si>
  <si>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</si>
  <si>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</si>
  <si>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</si>
  <si>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</si>
  <si>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</si>
  <si>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</si>
  <si>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</si>
  <si>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</si>
  <si>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</si>
  <si>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</si>
  <si>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</si>
  <si>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</si>
  <si>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</si>
  <si>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</si>
  <si>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</si>
  <si>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</si>
  <si>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</si>
  <si>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</si>
  <si>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</si>
  <si>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</si>
  <si>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</si>
  <si>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</si>
  <si>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</si>
  <si>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</si>
  <si>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</si>
  <si>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</si>
  <si>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</si>
  <si>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</si>
  <si>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</si>
  <si>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</si>
  <si>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</si>
  <si>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</si>
  <si>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</si>
  <si>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</si>
  <si>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</si>
  <si>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</si>
  <si>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</si>
  <si>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</si>
  <si>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</si>
  <si>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</si>
  <si>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</si>
  <si>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</si>
  <si>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</si>
  <si>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</si>
  <si>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</si>
  <si>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</si>
  <si>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</si>
  <si>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</si>
  <si>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</si>
  <si>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</si>
  <si>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</si>
  <si>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</si>
  <si>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</si>
  <si>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</si>
  <si>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</si>
  <si>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</si>
  <si>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</si>
  <si>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</si>
  <si>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</si>
  <si>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</si>
  <si>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</si>
  <si>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</si>
  <si>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</si>
  <si>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</si>
  <si>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</si>
  <si>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</si>
  <si>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</si>
  <si>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</si>
  <si>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</si>
  <si>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</si>
  <si>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</si>
  <si>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</si>
  <si>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</si>
  <si>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</si>
  <si>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</si>
  <si>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</si>
  <si>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</si>
  <si>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</si>
  <si>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</si>
  <si>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</si>
  <si>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</si>
  <si>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</si>
  <si>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</si>
  <si>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</si>
  <si>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</si>
  <si>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</si>
  <si>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</si>
  <si>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</si>
  <si>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</si>
  <si>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</si>
  <si>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</si>
  <si>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</si>
  <si>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</si>
  <si>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</si>
  <si>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</si>
  <si>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</si>
  <si>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</si>
  <si>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</si>
  <si>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</si>
  <si>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</si>
  <si>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</si>
  <si>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</si>
  <si>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</si>
  <si>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</si>
  <si>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</si>
  <si>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</si>
  <si>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</si>
  <si>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</si>
  <si>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</si>
  <si>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</si>
  <si>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</si>
  <si>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</si>
  <si>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</si>
  <si>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</si>
  <si>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</si>
  <si>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</si>
  <si>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</si>
  <si>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</si>
  <si>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</si>
  <si>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</si>
  <si>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</si>
  <si>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</si>
  <si>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</si>
  <si>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</si>
  <si>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</si>
  <si>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</si>
  <si>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</si>
  <si>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</si>
  <si>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</si>
  <si>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</si>
  <si>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</si>
  <si>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</si>
  <si>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</si>
  <si>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</si>
  <si>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</si>
  <si>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</si>
  <si>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</si>
  <si>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</si>
  <si>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</si>
  <si>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</si>
  <si>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</si>
  <si>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</si>
  <si>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</si>
  <si>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</si>
  <si>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</si>
  <si>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</si>
  <si>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</si>
  <si>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</si>
  <si>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</si>
  <si>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</si>
  <si>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</si>
  <si>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</si>
  <si>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</si>
  <si>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</si>
  <si>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</si>
  <si>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</si>
  <si>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</si>
  <si>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</si>
  <si>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</si>
  <si>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</si>
  <si>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</si>
  <si>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</si>
  <si>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</si>
  <si>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</si>
  <si>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</si>
  <si>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</si>
  <si>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</si>
  <si>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</si>
  <si>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</si>
  <si>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</si>
  <si>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</si>
  <si>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</si>
  <si>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</si>
  <si>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</si>
  <si>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</si>
  <si>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</si>
  <si>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</si>
  <si>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</si>
  <si>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</si>
  <si>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</si>
  <si>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</si>
  <si>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</si>
  <si>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</si>
  <si>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</si>
  <si>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</si>
  <si>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</si>
  <si>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</si>
  <si>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</si>
  <si>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</si>
  <si>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</si>
  <si>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</si>
  <si>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</si>
  <si>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</si>
  <si>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</si>
  <si>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</si>
  <si>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</si>
  <si>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</si>
  <si>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</si>
  <si>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</si>
  <si>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</si>
  <si>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</si>
  <si>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</si>
  <si>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</si>
  <si>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</si>
  <si>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</si>
  <si>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</si>
  <si>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</si>
  <si>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</si>
  <si>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</si>
  <si>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</si>
  <si>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</si>
  <si>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</si>
  <si>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</si>
  <si>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</si>
  <si>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</si>
  <si>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</si>
  <si>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</si>
  <si>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</si>
  <si>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</si>
  <si>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</si>
  <si>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</si>
  <si>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</si>
  <si>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</si>
  <si>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</si>
  <si>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</si>
  <si>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</si>
  <si>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</si>
  <si>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</si>
  <si>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</si>
  <si>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</si>
  <si>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</si>
  <si>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</si>
  <si>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</si>
  <si>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</si>
  <si>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</si>
  <si>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</si>
  <si>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</si>
  <si>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</si>
  <si>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</si>
  <si>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</si>
  <si>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</si>
  <si>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</si>
  <si>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</si>
  <si>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</si>
  <si>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</si>
  <si>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</si>
  <si>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</si>
  <si>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</si>
  <si>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</si>
  <si>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</si>
  <si>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</si>
  <si>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</si>
  <si>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</si>
  <si>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</si>
  <si>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</si>
  <si>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</si>
  <si>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</si>
  <si>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</si>
  <si>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</si>
  <si>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</si>
  <si>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</si>
  <si>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</si>
  <si>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</si>
  <si>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</si>
  <si>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</si>
  <si>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</si>
  <si>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</si>
  <si>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</si>
  <si>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</si>
  <si>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</si>
  <si>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</si>
  <si>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</si>
  <si>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</si>
  <si>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</si>
  <si>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</si>
  <si>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</si>
  <si>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</si>
  <si>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</si>
  <si>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</si>
  <si>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</si>
  <si>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</si>
  <si>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</si>
  <si>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</si>
  <si>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</si>
  <si>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</si>
  <si>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</si>
  <si>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</si>
  <si>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</si>
  <si>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</si>
  <si>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</si>
  <si>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</si>
  <si>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</si>
  <si>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</si>
  <si>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</si>
  <si>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</si>
  <si>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</si>
  <si>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</si>
  <si>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</si>
  <si>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</si>
  <si>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</si>
  <si>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</si>
  <si>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</si>
  <si>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</si>
  <si>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</si>
  <si>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</si>
  <si>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</si>
  <si>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</si>
  <si>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</si>
  <si>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</si>
  <si>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</si>
  <si>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</si>
  <si>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</si>
  <si>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</si>
  <si>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</si>
  <si>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</si>
  <si>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</si>
  <si>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</si>
  <si>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</si>
  <si>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</si>
  <si>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</si>
  <si>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</si>
  <si>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</si>
  <si>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</si>
  <si>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</si>
  <si>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</si>
  <si>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</si>
  <si>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</si>
  <si>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11056</t>
  </si>
  <si>
    <t>ZWIJNDRECHT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</si>
  <si>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</si>
  <si>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</si>
  <si>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</si>
  <si>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</si>
  <si>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</si>
  <si>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</si>
  <si>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</si>
  <si>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Keeponrunning bvba</t>
  </si>
  <si>
    <t>Westpoort 68 , 2070 Zwijndrecht</t>
  </si>
  <si>
    <t>WKK-0365 Keeponrunning</t>
  </si>
  <si>
    <t>interne verbrandingsmotor</t>
  </si>
  <si>
    <t>WKK interne verbrandinsgmotor (gas)</t>
  </si>
  <si>
    <t>IMEA</t>
  </si>
  <si>
    <t>Vitaetom bvba</t>
  </si>
  <si>
    <t>Krijgsbaan 151 , 2070 Zwijndrecht</t>
  </si>
  <si>
    <t>WKK-0246 Vitaetom</t>
  </si>
  <si>
    <t>Herdi BVBA</t>
  </si>
  <si>
    <t>Blauwe Hoevestraat 17 , 2070 Zwijndrecht</t>
  </si>
  <si>
    <t>WKK-0044 De Langhe</t>
  </si>
  <si>
    <t>Blauwe Hoevestraat 15, 2070 Zwijndrecht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</si>
</sst>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11056</v>
      </c>
      <c r="B6" s="396"/>
      <c r="C6" s="397"/>
    </row>
    <row r="7" spans="1:7" s="394" customFormat="1" ht="15.75" customHeight="1">
      <c r="A7" s="398" t="str">
        <f>txtMunicipality</f>
        <v>ZWIJNDRECHT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7932</v>
      </c>
      <c r="C9" s="336">
        <v>8568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362</v>
      </c>
    </row>
    <row r="15" spans="1:6">
      <c r="A15" s="1194" t="s">
        <v>185</v>
      </c>
      <c r="B15" s="333">
        <v>0</v>
      </c>
    </row>
    <row r="16" spans="1:6">
      <c r="A16" s="1194" t="s">
        <v>6</v>
      </c>
      <c r="B16" s="333">
        <v>23</v>
      </c>
    </row>
    <row r="17" spans="1:6">
      <c r="A17" s="1194" t="s">
        <v>7</v>
      </c>
      <c r="B17" s="333">
        <v>21</v>
      </c>
    </row>
    <row r="18" spans="1:6">
      <c r="A18" s="1194" t="s">
        <v>8</v>
      </c>
      <c r="B18" s="333">
        <v>23</v>
      </c>
    </row>
    <row r="19" spans="1:6">
      <c r="A19" s="1194" t="s">
        <v>9</v>
      </c>
      <c r="B19" s="333">
        <v>25</v>
      </c>
    </row>
    <row r="20" spans="1:6">
      <c r="A20" s="1194" t="s">
        <v>10</v>
      </c>
      <c r="B20" s="333">
        <v>35</v>
      </c>
    </row>
    <row r="21" spans="1:6">
      <c r="A21" s="1194" t="s">
        <v>11</v>
      </c>
      <c r="B21" s="333">
        <v>72</v>
      </c>
    </row>
    <row r="22" spans="1:6">
      <c r="A22" s="1194" t="s">
        <v>12</v>
      </c>
      <c r="B22" s="333">
        <v>700</v>
      </c>
    </row>
    <row r="23" spans="1:6">
      <c r="A23" s="1194" t="s">
        <v>13</v>
      </c>
      <c r="B23" s="333">
        <v>4</v>
      </c>
    </row>
    <row r="24" spans="1:6">
      <c r="A24" s="1194" t="s">
        <v>14</v>
      </c>
      <c r="B24" s="333">
        <v>2</v>
      </c>
    </row>
    <row r="25" spans="1:6">
      <c r="A25" s="1194" t="s">
        <v>15</v>
      </c>
      <c r="B25" s="333">
        <v>34</v>
      </c>
    </row>
    <row r="26" spans="1:6">
      <c r="A26" s="1194" t="s">
        <v>16</v>
      </c>
      <c r="B26" s="333">
        <v>0</v>
      </c>
    </row>
    <row r="27" spans="1:6">
      <c r="A27" s="1194" t="s">
        <v>17</v>
      </c>
      <c r="B27" s="333">
        <v>0</v>
      </c>
    </row>
    <row r="28" spans="1:6">
      <c r="A28" s="1194" t="s">
        <v>18</v>
      </c>
      <c r="B28" s="333">
        <v>0</v>
      </c>
    </row>
    <row r="29" spans="1:6">
      <c r="A29" s="1194" t="s">
        <v>888</v>
      </c>
      <c r="B29" s="333">
        <v>2</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4</v>
      </c>
      <c r="D36" s="333">
        <v>42648223.100703798</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9267.5194841119992</v>
      </c>
    </row>
    <row r="39" spans="1:6">
      <c r="A39" s="1194" t="s">
        <v>30</v>
      </c>
      <c r="B39" s="1194" t="s">
        <v>31</v>
      </c>
      <c r="C39" s="333">
        <v>6273</v>
      </c>
      <c r="D39" s="333">
        <v>96335259.278748497</v>
      </c>
      <c r="E39" s="333">
        <v>7836</v>
      </c>
      <c r="F39" s="333">
        <v>32954691.6061063</v>
      </c>
    </row>
    <row r="40" spans="1:6">
      <c r="A40" s="1194" t="s">
        <v>30</v>
      </c>
      <c r="B40" s="1194" t="s">
        <v>29</v>
      </c>
      <c r="C40" s="333">
        <v>0</v>
      </c>
      <c r="D40" s="333">
        <v>0</v>
      </c>
      <c r="E40" s="333">
        <v>0</v>
      </c>
      <c r="F40" s="333">
        <v>0</v>
      </c>
    </row>
    <row r="41" spans="1:6">
      <c r="A41" s="1194" t="s">
        <v>32</v>
      </c>
      <c r="B41" s="1194" t="s">
        <v>33</v>
      </c>
      <c r="C41" s="333">
        <v>21</v>
      </c>
      <c r="D41" s="333">
        <v>2376451.8869955898</v>
      </c>
      <c r="E41" s="333">
        <v>61</v>
      </c>
      <c r="F41" s="333">
        <v>1810873.3917385801</v>
      </c>
    </row>
    <row r="42" spans="1:6">
      <c r="A42" s="1194" t="s">
        <v>32</v>
      </c>
      <c r="B42" s="1194" t="s">
        <v>34</v>
      </c>
      <c r="C42" s="333">
        <v>0</v>
      </c>
      <c r="D42" s="333">
        <v>0</v>
      </c>
      <c r="E42" s="333">
        <v>4</v>
      </c>
      <c r="F42" s="333">
        <v>3319051.2746397499</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3</v>
      </c>
      <c r="D45" s="333">
        <v>41839.143587936902</v>
      </c>
      <c r="E45" s="333">
        <v>4</v>
      </c>
      <c r="F45" s="333">
        <v>48433.065977079401</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23</v>
      </c>
      <c r="D48" s="333">
        <v>8515273.0694107693</v>
      </c>
      <c r="E48" s="333">
        <v>35</v>
      </c>
      <c r="F48" s="333">
        <v>33950359.866920702</v>
      </c>
    </row>
    <row r="49" spans="1:6">
      <c r="A49" s="1194" t="s">
        <v>32</v>
      </c>
      <c r="B49" s="1194" t="s">
        <v>40</v>
      </c>
      <c r="C49" s="333">
        <v>0</v>
      </c>
      <c r="D49" s="333">
        <v>0</v>
      </c>
      <c r="E49" s="333">
        <v>0</v>
      </c>
      <c r="F49" s="333">
        <v>0</v>
      </c>
    </row>
    <row r="50" spans="1:6">
      <c r="A50" s="1194" t="s">
        <v>32</v>
      </c>
      <c r="B50" s="1194" t="s">
        <v>41</v>
      </c>
      <c r="C50" s="333">
        <v>3</v>
      </c>
      <c r="D50" s="333">
        <v>496798.50823179301</v>
      </c>
      <c r="E50" s="333">
        <v>4</v>
      </c>
      <c r="F50" s="333">
        <v>218288.74009917199</v>
      </c>
    </row>
    <row r="51" spans="1:6">
      <c r="A51" s="1194" t="s">
        <v>42</v>
      </c>
      <c r="B51" s="1194" t="s">
        <v>43</v>
      </c>
      <c r="C51" s="333">
        <v>12</v>
      </c>
      <c r="D51" s="333">
        <v>233743.05794878301</v>
      </c>
      <c r="E51" s="333">
        <v>34</v>
      </c>
      <c r="F51" s="333">
        <v>996142.35005239304</v>
      </c>
    </row>
    <row r="52" spans="1:6">
      <c r="A52" s="1194" t="s">
        <v>42</v>
      </c>
      <c r="B52" s="1194" t="s">
        <v>29</v>
      </c>
      <c r="C52" s="333">
        <v>4</v>
      </c>
      <c r="D52" s="333">
        <v>54430194.619408198</v>
      </c>
      <c r="E52" s="333">
        <v>2</v>
      </c>
      <c r="F52" s="333">
        <v>19003.716192297499</v>
      </c>
    </row>
    <row r="53" spans="1:6">
      <c r="A53" s="1194" t="s">
        <v>44</v>
      </c>
      <c r="B53" s="1194" t="s">
        <v>45</v>
      </c>
      <c r="C53" s="333">
        <v>249</v>
      </c>
      <c r="D53" s="333">
        <v>4131086.53723642</v>
      </c>
      <c r="E53" s="333">
        <v>384</v>
      </c>
      <c r="F53" s="333">
        <v>1906102.8087484101</v>
      </c>
    </row>
    <row r="54" spans="1:6">
      <c r="A54" s="1194" t="s">
        <v>46</v>
      </c>
      <c r="B54" s="1194" t="s">
        <v>47</v>
      </c>
      <c r="C54" s="333">
        <v>0</v>
      </c>
      <c r="D54" s="333">
        <v>0</v>
      </c>
      <c r="E54" s="333">
        <v>4</v>
      </c>
      <c r="F54" s="333">
        <v>1024711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44</v>
      </c>
      <c r="D57" s="333">
        <v>2348828.8107586</v>
      </c>
      <c r="E57" s="333">
        <v>83</v>
      </c>
      <c r="F57" s="333">
        <v>3360934.6416252698</v>
      </c>
    </row>
    <row r="58" spans="1:6">
      <c r="A58" s="1194" t="s">
        <v>49</v>
      </c>
      <c r="B58" s="1194" t="s">
        <v>51</v>
      </c>
      <c r="C58" s="333">
        <v>6</v>
      </c>
      <c r="D58" s="333">
        <v>150387.05512726601</v>
      </c>
      <c r="E58" s="333">
        <v>11</v>
      </c>
      <c r="F58" s="333">
        <v>53308.505095340901</v>
      </c>
    </row>
    <row r="59" spans="1:6">
      <c r="A59" s="1194" t="s">
        <v>49</v>
      </c>
      <c r="B59" s="1194" t="s">
        <v>52</v>
      </c>
      <c r="C59" s="333">
        <v>88</v>
      </c>
      <c r="D59" s="333">
        <v>4903563.89562329</v>
      </c>
      <c r="E59" s="333">
        <v>162</v>
      </c>
      <c r="F59" s="333">
        <v>7741105.9027162502</v>
      </c>
    </row>
    <row r="60" spans="1:6">
      <c r="A60" s="1194" t="s">
        <v>49</v>
      </c>
      <c r="B60" s="1194" t="s">
        <v>53</v>
      </c>
      <c r="C60" s="333">
        <v>45</v>
      </c>
      <c r="D60" s="333">
        <v>1613941.5958462399</v>
      </c>
      <c r="E60" s="333">
        <v>52</v>
      </c>
      <c r="F60" s="333">
        <v>937342.22726242198</v>
      </c>
    </row>
    <row r="61" spans="1:6">
      <c r="A61" s="1194" t="s">
        <v>49</v>
      </c>
      <c r="B61" s="1194" t="s">
        <v>54</v>
      </c>
      <c r="C61" s="333">
        <v>99</v>
      </c>
      <c r="D61" s="333">
        <v>8648394.2340488899</v>
      </c>
      <c r="E61" s="333">
        <v>322</v>
      </c>
      <c r="F61" s="333">
        <v>8093286.5754447002</v>
      </c>
    </row>
    <row r="62" spans="1:6">
      <c r="A62" s="1194" t="s">
        <v>49</v>
      </c>
      <c r="B62" s="1194" t="s">
        <v>55</v>
      </c>
      <c r="C62" s="333">
        <v>4</v>
      </c>
      <c r="D62" s="333">
        <v>975925.98025614</v>
      </c>
      <c r="E62" s="333">
        <v>4</v>
      </c>
      <c r="F62" s="333">
        <v>150589.5617779</v>
      </c>
    </row>
    <row r="63" spans="1:6">
      <c r="A63" s="1194" t="s">
        <v>49</v>
      </c>
      <c r="B63" s="1194" t="s">
        <v>29</v>
      </c>
      <c r="C63" s="333">
        <v>108</v>
      </c>
      <c r="D63" s="333">
        <v>8464823.1125653591</v>
      </c>
      <c r="E63" s="333">
        <v>101</v>
      </c>
      <c r="F63" s="333">
        <v>5328983.8294920102</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250075.01554668599</v>
      </c>
      <c r="E68" s="333">
        <v>10</v>
      </c>
      <c r="F68" s="333">
        <v>1236107.48199774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36126366</v>
      </c>
      <c r="E73" s="333">
        <v>41783638.994203873</v>
      </c>
      <c r="F73" s="333">
        <v>41855479</v>
      </c>
    </row>
    <row r="74" spans="1:6">
      <c r="A74" s="1194" t="s">
        <v>64</v>
      </c>
      <c r="B74" s="1194" t="s">
        <v>775</v>
      </c>
      <c r="C74" s="1205" t="s">
        <v>776</v>
      </c>
      <c r="D74" s="333">
        <v>3101830.5798343066</v>
      </c>
      <c r="E74" s="333">
        <v>3934699.6679136986</v>
      </c>
      <c r="F74" s="333">
        <v>3650426.7632148489</v>
      </c>
    </row>
    <row r="75" spans="1:6">
      <c r="A75" s="1194" t="s">
        <v>65</v>
      </c>
      <c r="B75" s="1194" t="s">
        <v>773</v>
      </c>
      <c r="C75" s="1205" t="s">
        <v>777</v>
      </c>
      <c r="D75" s="333">
        <v>12235926</v>
      </c>
      <c r="E75" s="333">
        <v>14165060.656913327</v>
      </c>
      <c r="F75" s="333">
        <v>14164463</v>
      </c>
    </row>
    <row r="76" spans="1:6">
      <c r="A76" s="1194" t="s">
        <v>65</v>
      </c>
      <c r="B76" s="1194" t="s">
        <v>775</v>
      </c>
      <c r="C76" s="1205" t="s">
        <v>778</v>
      </c>
      <c r="D76" s="333">
        <v>1632549.5798343066</v>
      </c>
      <c r="E76" s="333">
        <v>2093004.4511186422</v>
      </c>
      <c r="F76" s="333">
        <v>1935976.7632148487</v>
      </c>
    </row>
    <row r="77" spans="1:6">
      <c r="A77" s="1194" t="s">
        <v>66</v>
      </c>
      <c r="B77" s="1194" t="s">
        <v>773</v>
      </c>
      <c r="C77" s="1205" t="s">
        <v>779</v>
      </c>
      <c r="D77" s="333">
        <v>135832686</v>
      </c>
      <c r="E77" s="333">
        <v>143421803.81750351</v>
      </c>
      <c r="F77" s="333">
        <v>135866400</v>
      </c>
    </row>
    <row r="78" spans="1:6">
      <c r="A78" s="1190" t="s">
        <v>66</v>
      </c>
      <c r="B78" s="1190" t="s">
        <v>775</v>
      </c>
      <c r="C78" s="1190" t="s">
        <v>780</v>
      </c>
      <c r="D78" s="1190">
        <v>31041418</v>
      </c>
      <c r="E78" s="1190">
        <v>33945113.097169653</v>
      </c>
      <c r="F78" s="336">
        <v>31561624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323716.84033138683</v>
      </c>
      <c r="C83" s="333">
        <v>298412.68644304917</v>
      </c>
      <c r="D83" s="333">
        <v>301832.47357030259</v>
      </c>
    </row>
    <row r="84" spans="1:6">
      <c r="A84" s="1190" t="s">
        <v>338</v>
      </c>
      <c r="B84" s="336">
        <v>295545.54966676631</v>
      </c>
      <c r="C84" s="336">
        <v>335006.33841962682</v>
      </c>
      <c r="D84" s="336">
        <v>327112.65868993173</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983.28309915311695</v>
      </c>
    </row>
    <row r="92" spans="1:6">
      <c r="A92" s="1190" t="s">
        <v>69</v>
      </c>
      <c r="B92" s="336">
        <v>1230.3862385053376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5156</v>
      </c>
    </row>
    <row r="98" spans="1:6">
      <c r="A98" s="1194" t="s">
        <v>72</v>
      </c>
      <c r="B98" s="333">
        <v>14</v>
      </c>
    </row>
    <row r="99" spans="1:6">
      <c r="A99" s="1194" t="s">
        <v>73</v>
      </c>
      <c r="B99" s="333">
        <v>13</v>
      </c>
    </row>
    <row r="100" spans="1:6">
      <c r="A100" s="1194" t="s">
        <v>74</v>
      </c>
      <c r="B100" s="333">
        <v>969</v>
      </c>
    </row>
    <row r="101" spans="1:6">
      <c r="A101" s="1194" t="s">
        <v>75</v>
      </c>
      <c r="B101" s="333">
        <v>49</v>
      </c>
    </row>
    <row r="102" spans="1:6">
      <c r="A102" s="1194" t="s">
        <v>76</v>
      </c>
      <c r="B102" s="333">
        <v>101</v>
      </c>
    </row>
    <row r="103" spans="1:6">
      <c r="A103" s="1194" t="s">
        <v>77</v>
      </c>
      <c r="B103" s="333">
        <v>138</v>
      </c>
    </row>
    <row r="104" spans="1:6">
      <c r="A104" s="1194" t="s">
        <v>78</v>
      </c>
      <c r="B104" s="333">
        <v>696</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2</v>
      </c>
    </row>
    <row r="124" spans="1:6">
      <c r="A124" s="1190" t="s">
        <v>89</v>
      </c>
      <c r="B124" s="333">
        <v>1</v>
      </c>
      <c r="C124" s="333">
        <v>4</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35</v>
      </c>
    </row>
    <row r="130" spans="1:6">
      <c r="A130" s="1194" t="s">
        <v>296</v>
      </c>
      <c r="B130" s="333">
        <v>0</v>
      </c>
    </row>
    <row r="131" spans="1:6">
      <c r="A131" s="1194" t="s">
        <v>297</v>
      </c>
      <c r="B131" s="333">
        <v>1</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102035.53303478882</v>
      </c>
      <c r="C3" s="43" t="s">
        <v>171</v>
      </c>
      <c r="D3" s="43"/>
      <c r="E3" s="156"/>
      <c r="F3" s="43"/>
      <c r="G3" s="43"/>
      <c r="H3" s="43"/>
      <c r="I3" s="43"/>
      <c r="J3" s="43"/>
      <c r="K3" s="96"/>
    </row>
    <row r="4" spans="1:11">
      <c r="A4" s="364" t="s">
        <v>172</v>
      </c>
      <c r="B4" s="49">
        <f>IF(ISERROR('SEAP template'!B69),0,'SEAP template'!B69)</f>
        <v>33117.044337658452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7344.096176470588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0.22124726070514544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10491.565966386555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44147.678571428572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1024.711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1024.711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0.22124726070514544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226.71450176443028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32954.691606106302</v>
      </c>
      <c r="C5" s="17">
        <f>IF(ISERROR('Eigen informatie GS &amp; warmtenet'!B57),0,'Eigen informatie GS &amp; warmtenet'!B57)</f>
        <v>0</v>
      </c>
      <c r="D5" s="30">
        <f>(SUM(HH_hh_gas_kWh,HH_rest_gas_kWh)/1000)*0.902</f>
        <v>86894.40386943116</v>
      </c>
      <c r="E5" s="17">
        <f>B46*B57</f>
        <v>422.42863546957943</v>
      </c>
      <c r="F5" s="17">
        <f>B51*B62</f>
        <v>0</v>
      </c>
      <c r="G5" s="18"/>
      <c r="H5" s="17"/>
      <c r="I5" s="17"/>
      <c r="J5" s="17">
        <f>B50*B61+C50*C61</f>
        <v>754.44307180324392</v>
      </c>
      <c r="K5" s="17"/>
      <c r="L5" s="17"/>
      <c r="M5" s="17"/>
      <c r="N5" s="17">
        <f>B48*B59+C48*C59</f>
        <v>4606.8702312655842</v>
      </c>
      <c r="O5" s="17">
        <f>B69*B70*B71</f>
        <v>64.096666666666678</v>
      </c>
      <c r="P5" s="17">
        <f>B77*B78*B79/1000-B77*B78*B79/1000/B80</f>
        <v>76.266666666666666</v>
      </c>
    </row>
    <row r="6" spans="1:16">
      <c r="A6" s="16" t="s">
        <v>633</v>
      </c>
      <c r="B6" s="830">
        <f>kWh_PV_kleiner_dan_10kW</f>
        <v>983.28309915311695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33937.974705259418</v>
      </c>
      <c r="C8" s="21">
        <f>C5</f>
        <v>0</v>
      </c>
      <c r="D8" s="21">
        <f>D5</f>
        <v>86894.40386943116</v>
      </c>
      <c r="E8" s="21">
        <f>E5</f>
        <v>422.42863546957943</v>
      </c>
      <c r="F8" s="21">
        <f>F5</f>
        <v>0</v>
      </c>
      <c r="G8" s="21"/>
      <c r="H8" s="21"/>
      <c r="I8" s="21"/>
      <c r="J8" s="21">
        <f>J5</f>
        <v>754.44307180324392</v>
      </c>
      <c r="K8" s="21"/>
      <c r="L8" s="21">
        <f>L5</f>
        <v>0</v>
      </c>
      <c r="M8" s="21">
        <f>M5</f>
        <v>0</v>
      </c>
      <c r="N8" s="21">
        <f>N5</f>
        <v>4606.8702312655842</v>
      </c>
      <c r="O8" s="21">
        <f>O5</f>
        <v>64.096666666666678</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0.22124726070514544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7508.6839374191622</v>
      </c>
      <c r="C12" s="23">
        <f ca="1">C10*C8</f>
        <v>0</v>
      </c>
      <c r="D12" s="23">
        <f>D8*D10</f>
        <v>17552.669581625094</v>
      </c>
      <c r="E12" s="23">
        <f>E10*E8</f>
        <v>95.891300251594529</v>
      </c>
      <c r="F12" s="23">
        <f>F10*F8</f>
        <v>0</v>
      </c>
      <c r="G12" s="23"/>
      <c r="H12" s="23"/>
      <c r="I12" s="23"/>
      <c r="J12" s="23">
        <f>J10*J8</f>
        <v>267.07284741834832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5156</v>
      </c>
      <c r="C18" s="167" t="s">
        <v>111</v>
      </c>
      <c r="D18" s="229"/>
      <c r="E18" s="15"/>
    </row>
    <row r="19" spans="1:7">
      <c r="A19" s="172" t="s">
        <v>72</v>
      </c>
      <c r="B19" s="37">
        <f>aantalw2001_ander</f>
        <v>14</v>
      </c>
      <c r="C19" s="167" t="s">
        <v>111</v>
      </c>
      <c r="D19" s="230"/>
      <c r="E19" s="15"/>
    </row>
    <row r="20" spans="1:7">
      <c r="A20" s="172" t="s">
        <v>73</v>
      </c>
      <c r="B20" s="37">
        <f>aantalw2001_propaan</f>
        <v>13</v>
      </c>
      <c r="C20" s="168">
        <f>IF(ISERROR(B20/SUM($B$20,$B$21,$B$22)*100),0,B20/SUM($B$20,$B$21,$B$22)*100)</f>
        <v>1.2609117361784674</v>
      </c>
      <c r="D20" s="230"/>
      <c r="E20" s="15"/>
    </row>
    <row r="21" spans="1:7">
      <c r="A21" s="172" t="s">
        <v>74</v>
      </c>
      <c r="B21" s="37">
        <f>aantalw2001_elektriciteit</f>
        <v>969</v>
      </c>
      <c r="C21" s="168">
        <f>IF(ISERROR(B21/SUM($B$20,$B$21,$B$22)*100),0,B21/SUM($B$20,$B$21,$B$22)*100)</f>
        <v>93.986420950533471</v>
      </c>
      <c r="D21" s="230"/>
      <c r="E21" s="15"/>
    </row>
    <row r="22" spans="1:7">
      <c r="A22" s="172" t="s">
        <v>75</v>
      </c>
      <c r="B22" s="37">
        <f>aantalw2001_hout</f>
        <v>49</v>
      </c>
      <c r="C22" s="168">
        <f>IF(ISERROR(B22/SUM($B$20,$B$21,$B$22)*100),0,B22/SUM($B$20,$B$21,$B$22)*100)</f>
        <v>4.7526673132880699</v>
      </c>
      <c r="D22" s="230"/>
      <c r="E22" s="15"/>
    </row>
    <row r="23" spans="1:7">
      <c r="A23" s="172" t="s">
        <v>76</v>
      </c>
      <c r="B23" s="37">
        <f>aantalw2001_niet_gespec</f>
        <v>101</v>
      </c>
      <c r="C23" s="167" t="s">
        <v>111</v>
      </c>
      <c r="D23" s="229"/>
      <c r="E23" s="15"/>
    </row>
    <row r="24" spans="1:7">
      <c r="A24" s="172" t="s">
        <v>77</v>
      </c>
      <c r="B24" s="37">
        <f>aantalw2001_steenkool</f>
        <v>138</v>
      </c>
      <c r="C24" s="167" t="s">
        <v>111</v>
      </c>
      <c r="D24" s="230"/>
      <c r="E24" s="15"/>
    </row>
    <row r="25" spans="1:7">
      <c r="A25" s="172" t="s">
        <v>78</v>
      </c>
      <c r="B25" s="37">
        <f>aantalw2001_stookolie</f>
        <v>696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7932</v>
      </c>
      <c r="C28" s="36"/>
      <c r="D28" s="229"/>
    </row>
    <row r="29" spans="1:7" s="15" customFormat="1">
      <c r="A29" s="231" t="s">
        <v>714</v>
      </c>
      <c r="B29" s="37">
        <f>SUM(HH_hh_gas_aantal,HH_rest_gas_aantal)</f>
        <v>6273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6273</v>
      </c>
      <c r="C32" s="168">
        <f>IF(ISERROR(B32/SUM($B$32,$B$34,$B$35,$B$36,$B$38,$B$39)*100),0,B32/SUM($B$32,$B$34,$B$35,$B$36,$B$38,$B$39)*100)</f>
        <v>79.124621594349136</v>
      </c>
      <c r="D32" s="234"/>
      <c r="G32" s="15"/>
    </row>
    <row r="33" spans="1:7">
      <c r="A33" s="172" t="s">
        <v>72</v>
      </c>
      <c r="B33" s="34" t="s">
        <v>111</v>
      </c>
      <c r="C33" s="168"/>
      <c r="D33" s="234"/>
      <c r="G33" s="15"/>
    </row>
    <row r="34" spans="1:7">
      <c r="A34" s="172" t="s">
        <v>73</v>
      </c>
      <c r="B34" s="33">
        <f>IF((($B$28-$B$32-$B$39-$B$77-$B$38)*C20/100)&lt;0,0,($B$28-$B$32-$B$39-$B$77-$B$38)*C20/100)</f>
        <v>20.536469447138696</v>
      </c>
      <c r="C34" s="168">
        <f>IF(ISERROR(B34/SUM($B$32,$B$34,$B$35,$B$36,$B$38,$B$39)*100),0,B34/SUM($B$32,$B$34,$B$35,$B$36,$B$38,$B$39)*100)</f>
        <v>0.25903720291547294</v>
      </c>
      <c r="D34" s="234"/>
      <c r="G34" s="15"/>
    </row>
    <row r="35" spans="1:7">
      <c r="A35" s="172" t="s">
        <v>74</v>
      </c>
      <c r="B35" s="33">
        <f>IF((($B$28-$B$32-$B$39-$B$77-$B$38)*C21/100)&lt;0,0,($B$28-$B$32-$B$39-$B$77-$B$38)*C21/100)</f>
        <v>1530.7568380213386</v>
      </c>
      <c r="C35" s="168">
        <f>IF(ISERROR(B35/SUM($B$32,$B$34,$B$35,$B$36,$B$38,$B$39)*100),0,B35/SUM($B$32,$B$34,$B$35,$B$36,$B$38,$B$39)*100)</f>
        <v>19.308234586545641</v>
      </c>
      <c r="D35" s="234"/>
      <c r="G35" s="15"/>
    </row>
    <row r="36" spans="1:7">
      <c r="A36" s="172" t="s">
        <v>75</v>
      </c>
      <c r="B36" s="33">
        <f>IF((($B$28-$B$32-$B$39-$B$77-$B$38)*C22/100)&lt;0,0,($B$28-$B$32-$B$39-$B$77-$B$38)*C22/100)</f>
        <v>77.406692531522793</v>
      </c>
      <c r="C36" s="168">
        <f>IF(ISERROR(B36/SUM($B$32,$B$34,$B$35,$B$36,$B$38,$B$39)*100),0,B36/SUM($B$32,$B$34,$B$35,$B$36,$B$38,$B$39)*100)</f>
        <v>0.97637099560447504</v>
      </c>
      <c r="D36" s="234"/>
      <c r="G36" s="15"/>
    </row>
    <row r="37" spans="1:7">
      <c r="A37" s="172" t="s">
        <v>76</v>
      </c>
      <c r="B37" s="34" t="s">
        <v>111</v>
      </c>
      <c r="C37" s="168"/>
      <c r="D37" s="174"/>
      <c r="G37" s="15"/>
    </row>
    <row r="38" spans="1:7">
      <c r="A38" s="172" t="s">
        <v>77</v>
      </c>
      <c r="B38" s="33">
        <f>IF((B24-(B29-B18)*0.1)&lt;0,0,B24-(B29-B18)*0.1)</f>
        <v>26.299999999999997</v>
      </c>
      <c r="C38" s="168">
        <f>IF(ISERROR(B38/SUM($B$32,$B$34,$B$35,$B$36,$B$38,$B$39)*100),0,B38/SUM($B$32,$B$34,$B$35,$B$36,$B$38,$B$39)*100)</f>
        <v>0.33173562058526734</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6273</v>
      </c>
      <c r="C44" s="34" t="s">
        <v>111</v>
      </c>
      <c r="D44" s="175"/>
    </row>
    <row r="45" spans="1:7">
      <c r="A45" s="172" t="s">
        <v>72</v>
      </c>
      <c r="B45" s="33" t="str">
        <f t="shared" si="0"/>
        <v>-</v>
      </c>
      <c r="C45" s="34" t="s">
        <v>111</v>
      </c>
      <c r="D45" s="175"/>
    </row>
    <row r="46" spans="1:7">
      <c r="A46" s="172" t="s">
        <v>73</v>
      </c>
      <c r="B46" s="33">
        <f t="shared" si="0"/>
        <v>20.536469447138696</v>
      </c>
      <c r="C46" s="34" t="s">
        <v>111</v>
      </c>
      <c r="D46" s="175"/>
    </row>
    <row r="47" spans="1:7">
      <c r="A47" s="172" t="s">
        <v>74</v>
      </c>
      <c r="B47" s="33">
        <f t="shared" si="0"/>
        <v>1530.7568380213386</v>
      </c>
      <c r="C47" s="34" t="s">
        <v>111</v>
      </c>
      <c r="D47" s="175"/>
    </row>
    <row r="48" spans="1:7">
      <c r="A48" s="172" t="s">
        <v>75</v>
      </c>
      <c r="B48" s="33">
        <f t="shared" si="0"/>
        <v>77.406692531522793</v>
      </c>
      <c r="C48" s="33">
        <f>B48*10</f>
        <v>774.06692531522799</v>
      </c>
      <c r="D48" s="235"/>
    </row>
    <row r="49" spans="1:6">
      <c r="A49" s="172" t="s">
        <v>76</v>
      </c>
      <c r="B49" s="33" t="str">
        <f t="shared" si="0"/>
        <v>-</v>
      </c>
      <c r="C49" s="34" t="s">
        <v>111</v>
      </c>
      <c r="D49" s="235"/>
    </row>
    <row r="50" spans="1:6">
      <c r="A50" s="172" t="s">
        <v>77</v>
      </c>
      <c r="B50" s="33">
        <f t="shared" si="0"/>
        <v>26.299999999999997</v>
      </c>
      <c r="C50" s="33">
        <f>B50*2</f>
        <v>52.599999999999994</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25665.551243413895</v>
      </c>
      <c r="C5" s="17">
        <f>IF(ISERROR('Eigen informatie GS &amp; warmtenet'!B58),0,'Eigen informatie GS &amp; warmtenet'!B58)</f>
        <v>0</v>
      </c>
      <c r="D5" s="30">
        <f>SUM(D6:D12)</f>
        <v>24449.489945171656</v>
      </c>
      <c r="E5" s="17">
        <f>SUM(E6:E12)</f>
        <v>510.83367936430579</v>
      </c>
      <c r="F5" s="17">
        <f>SUM(F6:F12)</f>
        <v>4648.6020421371368</v>
      </c>
      <c r="G5" s="18"/>
      <c r="H5" s="17"/>
      <c r="I5" s="17"/>
      <c r="J5" s="17">
        <f>SUM(J6:J12)</f>
        <v>0</v>
      </c>
      <c r="K5" s="17"/>
      <c r="L5" s="17"/>
      <c r="M5" s="17"/>
      <c r="N5" s="17">
        <f>SUM(N6:N12)</f>
        <v>992.85103342150865</v>
      </c>
      <c r="O5" s="17">
        <f>B38*B39*B40</f>
        <v>0</v>
      </c>
      <c r="P5" s="17">
        <f>B46*B47*B48/1000-B46*B47*B48/1000/B49</f>
        <v>19.066666666666666</v>
      </c>
      <c r="R5" s="32"/>
    </row>
    <row r="6" spans="1:18">
      <c r="A6" s="32" t="s">
        <v>54</v>
      </c>
      <c r="B6" s="37">
        <f>B26</f>
        <v>8093.2865754447002</v>
      </c>
      <c r="C6" s="33"/>
      <c r="D6" s="37">
        <f>IF(ISERROR(TER_kantoor_gas_kWh/1000),0,TER_kantoor_gas_kWh/1000)*0.902</f>
        <v>7800.8515991120994</v>
      </c>
      <c r="E6" s="33">
        <f>$C$26*'E Balans VL '!I12/100/3.6*1000000</f>
        <v>283.29686707939874</v>
      </c>
      <c r="F6" s="33">
        <f>$C$26*('E Balans VL '!L12+'E Balans VL '!N12)/100/3.6*1000000</f>
        <v>1227.1160059974879</v>
      </c>
      <c r="G6" s="34"/>
      <c r="H6" s="33"/>
      <c r="I6" s="33"/>
      <c r="J6" s="33">
        <f>$C$26*('E Balans VL '!D12+'E Balans VL '!E12)/100/3.6*1000000</f>
        <v>0</v>
      </c>
      <c r="K6" s="33"/>
      <c r="L6" s="33"/>
      <c r="M6" s="33"/>
      <c r="N6" s="33">
        <f>$C$26*'E Balans VL '!Y12/100/3.6*1000000</f>
        <v>62.55857209920427</v>
      </c>
      <c r="O6" s="33"/>
      <c r="P6" s="33"/>
      <c r="R6" s="32"/>
    </row>
    <row r="7" spans="1:18">
      <c r="A7" s="32" t="s">
        <v>53</v>
      </c>
      <c r="B7" s="37">
        <f t="shared" ref="B7:B12" si="0">B27</f>
        <v>937.34222726242194</v>
      </c>
      <c r="C7" s="33"/>
      <c r="D7" s="37">
        <f>IF(ISERROR(TER_horeca_gas_kWh/1000),0,TER_horeca_gas_kWh/1000)*0.902</f>
        <v>1455.7753194533086</v>
      </c>
      <c r="E7" s="33">
        <f>$C$27*'E Balans VL '!I9/100/3.6*1000000</f>
        <v>52.878565233818321</v>
      </c>
      <c r="F7" s="33">
        <f>$C$27*('E Balans VL '!L9+'E Balans VL '!N9)/100/3.6*1000000</f>
        <v>163.29020330760159</v>
      </c>
      <c r="G7" s="34"/>
      <c r="H7" s="33"/>
      <c r="I7" s="33"/>
      <c r="J7" s="33">
        <f>$C$27*('E Balans VL '!D9+'E Balans VL '!E9)/100/3.6*1000000</f>
        <v>0</v>
      </c>
      <c r="K7" s="33"/>
      <c r="L7" s="33"/>
      <c r="M7" s="33"/>
      <c r="N7" s="33">
        <f>$C$27*'E Balans VL '!Y9/100/3.6*1000000</f>
        <v>0</v>
      </c>
      <c r="O7" s="33"/>
      <c r="P7" s="33"/>
      <c r="R7" s="32"/>
    </row>
    <row r="8" spans="1:18">
      <c r="A8" s="6" t="s">
        <v>52</v>
      </c>
      <c r="B8" s="37">
        <f t="shared" si="0"/>
        <v>7741.1059027162501</v>
      </c>
      <c r="C8" s="33"/>
      <c r="D8" s="37">
        <f>IF(ISERROR(TER_handel_gas_kWh/1000),0,TER_handel_gas_kWh/1000)*0.902</f>
        <v>4423.0146338522072</v>
      </c>
      <c r="E8" s="33">
        <f>$C$28*'E Balans VL '!I13/100/3.6*1000000</f>
        <v>39.742051219592199</v>
      </c>
      <c r="F8" s="33">
        <f>$C$28*('E Balans VL '!L13+'E Balans VL '!N13)/100/3.6*1000000</f>
        <v>1193.5589178339037</v>
      </c>
      <c r="G8" s="34"/>
      <c r="H8" s="33"/>
      <c r="I8" s="33"/>
      <c r="J8" s="33">
        <f>$C$28*('E Balans VL '!D13+'E Balans VL '!E13)/100/3.6*1000000</f>
        <v>0</v>
      </c>
      <c r="K8" s="33"/>
      <c r="L8" s="33"/>
      <c r="M8" s="33"/>
      <c r="N8" s="33">
        <f>$C$28*'E Balans VL '!Y13/100/3.6*1000000</f>
        <v>3.6206097236170338</v>
      </c>
      <c r="O8" s="33"/>
      <c r="P8" s="33"/>
      <c r="R8" s="32"/>
    </row>
    <row r="9" spans="1:18">
      <c r="A9" s="32" t="s">
        <v>51</v>
      </c>
      <c r="B9" s="37">
        <f t="shared" si="0"/>
        <v>53.308505095340898</v>
      </c>
      <c r="C9" s="33"/>
      <c r="D9" s="37">
        <f>IF(ISERROR(TER_gezond_gas_kWh/1000),0,TER_gezond_gas_kWh/1000)*0.902</f>
        <v>135.64912372479392</v>
      </c>
      <c r="E9" s="33">
        <f>$C$29*'E Balans VL '!I10/100/3.6*1000000</f>
        <v>2.209599571245207E-2</v>
      </c>
      <c r="F9" s="33">
        <f>$C$29*('E Balans VL '!L10+'E Balans VL '!N10)/100/3.6*1000000</f>
        <v>13.129120259034678</v>
      </c>
      <c r="G9" s="34"/>
      <c r="H9" s="33"/>
      <c r="I9" s="33"/>
      <c r="J9" s="33">
        <f>$C$29*('E Balans VL '!D10+'E Balans VL '!E10)/100/3.6*1000000</f>
        <v>0</v>
      </c>
      <c r="K9" s="33"/>
      <c r="L9" s="33"/>
      <c r="M9" s="33"/>
      <c r="N9" s="33">
        <f>$C$29*'E Balans VL '!Y10/100/3.6*1000000</f>
        <v>0.46071742924370163</v>
      </c>
      <c r="O9" s="33"/>
      <c r="P9" s="33"/>
      <c r="R9" s="32"/>
    </row>
    <row r="10" spans="1:18">
      <c r="A10" s="32" t="s">
        <v>50</v>
      </c>
      <c r="B10" s="37">
        <f t="shared" si="0"/>
        <v>3360.9346416252697</v>
      </c>
      <c r="C10" s="33"/>
      <c r="D10" s="37">
        <f>IF(ISERROR(TER_ander_gas_kWh/1000),0,TER_ander_gas_kWh/1000)*0.902</f>
        <v>2118.6435873042574</v>
      </c>
      <c r="E10" s="33">
        <f>$C$30*'E Balans VL '!I14/100/3.6*1000000</f>
        <v>20.48834049867121</v>
      </c>
      <c r="F10" s="33">
        <f>$C$30*('E Balans VL '!L14+'E Balans VL '!N14)/100/3.6*1000000</f>
        <v>891.02981307695268</v>
      </c>
      <c r="G10" s="34"/>
      <c r="H10" s="33"/>
      <c r="I10" s="33"/>
      <c r="J10" s="33">
        <f>$C$30*('E Balans VL '!D14+'E Balans VL '!E14)/100/3.6*1000000</f>
        <v>0</v>
      </c>
      <c r="K10" s="33"/>
      <c r="L10" s="33"/>
      <c r="M10" s="33"/>
      <c r="N10" s="33">
        <f>$C$30*'E Balans VL '!Y14/100/3.6*1000000</f>
        <v>774.62281044248516</v>
      </c>
      <c r="O10" s="33"/>
      <c r="P10" s="33"/>
      <c r="R10" s="32"/>
    </row>
    <row r="11" spans="1:18">
      <c r="A11" s="32" t="s">
        <v>55</v>
      </c>
      <c r="B11" s="37">
        <f t="shared" si="0"/>
        <v>150.5895617779</v>
      </c>
      <c r="C11" s="33"/>
      <c r="D11" s="37">
        <f>IF(ISERROR(TER_onderwijs_gas_kWh/1000),0,TER_onderwijs_gas_kWh/1000)*0.902</f>
        <v>880.28523419103828</v>
      </c>
      <c r="E11" s="33">
        <f>$C$31*'E Balans VL '!I11/100/3.6*1000000</f>
        <v>0.11475708735607948</v>
      </c>
      <c r="F11" s="33">
        <f>$C$31*('E Balans VL '!L11+'E Balans VL '!N11)/100/3.6*1000000</f>
        <v>108.97485955384875</v>
      </c>
      <c r="G11" s="34"/>
      <c r="H11" s="33"/>
      <c r="I11" s="33"/>
      <c r="J11" s="33">
        <f>$C$31*('E Balans VL '!D11+'E Balans VL '!E11)/100/3.6*1000000</f>
        <v>0</v>
      </c>
      <c r="K11" s="33"/>
      <c r="L11" s="33"/>
      <c r="M11" s="33"/>
      <c r="N11" s="33">
        <f>$C$31*'E Balans VL '!Y11/100/3.6*1000000</f>
        <v>0.44382342880892306</v>
      </c>
      <c r="O11" s="33"/>
      <c r="P11" s="33"/>
      <c r="R11" s="32"/>
    </row>
    <row r="12" spans="1:18">
      <c r="A12" s="32" t="s">
        <v>261</v>
      </c>
      <c r="B12" s="37">
        <f t="shared" si="0"/>
        <v>5328.98382949201</v>
      </c>
      <c r="C12" s="33"/>
      <c r="D12" s="37">
        <f>IF(ISERROR(TER_rest_gas_kWh/1000),0,TER_rest_gas_kWh/1000)*0.902</f>
        <v>7635.2704475339533</v>
      </c>
      <c r="E12" s="33">
        <f>$C$32*'E Balans VL '!I8/100/3.6*1000000</f>
        <v>114.2910022497568</v>
      </c>
      <c r="F12" s="33">
        <f>$C$32*('E Balans VL '!L8+'E Balans VL '!N8)/100/3.6*1000000</f>
        <v>1051.5031221083084</v>
      </c>
      <c r="G12" s="34"/>
      <c r="H12" s="33"/>
      <c r="I12" s="33"/>
      <c r="J12" s="33">
        <f>$C$32*('E Balans VL '!D8+'E Balans VL '!E8)/100/3.6*1000000</f>
        <v>0</v>
      </c>
      <c r="K12" s="33"/>
      <c r="L12" s="33"/>
      <c r="M12" s="33"/>
      <c r="N12" s="33">
        <f>$C$32*'E Balans VL '!Y8/100/3.6*1000000</f>
        <v>151.14450029814955</v>
      </c>
      <c r="O12" s="33"/>
      <c r="P12" s="33"/>
      <c r="R12" s="32"/>
    </row>
    <row r="13" spans="1:18">
      <c r="A13" s="16" t="s">
        <v>497</v>
      </c>
      <c r="B13" s="248">
        <f ca="1">'lokale energieproductie'!N90+'lokale energieproductie'!N59</f>
        <v>1.875</v>
      </c>
      <c r="C13" s="248">
        <f ca="1">'lokale energieproductie'!O90+'lokale energieproductie'!O59</f>
        <v>2.6785714285714288</v>
      </c>
      <c r="D13" s="311">
        <f ca="1">('lokale energieproductie'!P59+'lokale energieproductie'!P90)*(-1)</f>
        <v>-5.3571428571428577</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25667.426243413895</v>
      </c>
      <c r="C16" s="21">
        <f ca="1">C5+C13+C14</f>
        <v>2.6785714285714288</v>
      </c>
      <c r="D16" s="21">
        <f t="shared" ref="D16:N16" ca="1" si="1">MAX((D5+D13+D14),0)</f>
        <v>24444.132802314514</v>
      </c>
      <c r="E16" s="21">
        <f t="shared" si="1"/>
        <v>510.83367936430579</v>
      </c>
      <c r="F16" s="21">
        <f t="shared" ca="1" si="1"/>
        <v>4648.6020421371368</v>
      </c>
      <c r="G16" s="21">
        <f t="shared" si="1"/>
        <v>0</v>
      </c>
      <c r="H16" s="21">
        <f t="shared" si="1"/>
        <v>0</v>
      </c>
      <c r="I16" s="21">
        <f t="shared" si="1"/>
        <v>0</v>
      </c>
      <c r="J16" s="21">
        <f t="shared" si="1"/>
        <v>0</v>
      </c>
      <c r="K16" s="21">
        <f t="shared" si="1"/>
        <v>0</v>
      </c>
      <c r="L16" s="21">
        <f t="shared" ca="1" si="1"/>
        <v>0</v>
      </c>
      <c r="M16" s="21">
        <f t="shared" si="1"/>
        <v>0</v>
      </c>
      <c r="N16" s="21">
        <f t="shared" ca="1" si="1"/>
        <v>992.85103342150865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0.22124726070514544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5678.8477457066856</v>
      </c>
      <c r="C20" s="23">
        <f t="shared" ref="C20:P20" ca="1" si="2">C16*C18</f>
        <v>0.63655462184873957</v>
      </c>
      <c r="D20" s="23">
        <f t="shared" ca="1" si="2"/>
        <v>4937.7148260675322</v>
      </c>
      <c r="E20" s="23">
        <f t="shared" si="2"/>
        <v>115.95924521569742</v>
      </c>
      <c r="F20" s="23">
        <f t="shared" ca="1" si="2"/>
        <v>1241.1767452506156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8093.2865754447002</v>
      </c>
      <c r="C26" s="39">
        <f>IF(ISERROR(B26*3.6/1000000/'E Balans VL '!Z12*100),0,B26*3.6/1000000/'E Balans VL '!Z12*100)</f>
        <v>0.17030979427473253</v>
      </c>
      <c r="D26" s="238" t="s">
        <v>720</v>
      </c>
      <c r="F26" s="6"/>
    </row>
    <row r="27" spans="1:18">
      <c r="A27" s="232" t="s">
        <v>53</v>
      </c>
      <c r="B27" s="33">
        <f>IF(ISERROR(TER_horeca_ele_kWh/1000),0,TER_horeca_ele_kWh/1000)</f>
        <v>937.34222726242194</v>
      </c>
      <c r="C27" s="39">
        <f>IF(ISERROR(B27*3.6/1000000/'E Balans VL '!Z9*100),0,B27*3.6/1000000/'E Balans VL '!Z9*100)</f>
        <v>7.9362132475042299E-2</v>
      </c>
      <c r="D27" s="238" t="s">
        <v>720</v>
      </c>
      <c r="F27" s="6"/>
    </row>
    <row r="28" spans="1:18">
      <c r="A28" s="172" t="s">
        <v>52</v>
      </c>
      <c r="B28" s="33">
        <f>IF(ISERROR(TER_handel_ele_kWh/1000),0,TER_handel_ele_kWh/1000)</f>
        <v>7741.1059027162501</v>
      </c>
      <c r="C28" s="39">
        <f>IF(ISERROR(B28*3.6/1000000/'E Balans VL '!Z13*100),0,B28*3.6/1000000/'E Balans VL '!Z13*100)</f>
        <v>0.21431144648396244</v>
      </c>
      <c r="D28" s="238" t="s">
        <v>720</v>
      </c>
      <c r="F28" s="6"/>
    </row>
    <row r="29" spans="1:18">
      <c r="A29" s="232" t="s">
        <v>51</v>
      </c>
      <c r="B29" s="33">
        <f>IF(ISERROR(TER_gezond_ele_kWh/1000),0,TER_gezond_ele_kWh/1000)</f>
        <v>53.308505095340898</v>
      </c>
      <c r="C29" s="39">
        <f>IF(ISERROR(B29*3.6/1000000/'E Balans VL '!Z10*100),0,B29*3.6/1000000/'E Balans VL '!Z10*100)</f>
        <v>6.9295146687115465E-3</v>
      </c>
      <c r="D29" s="238" t="s">
        <v>720</v>
      </c>
      <c r="F29" s="6"/>
    </row>
    <row r="30" spans="1:18">
      <c r="A30" s="232" t="s">
        <v>50</v>
      </c>
      <c r="B30" s="33">
        <f>IF(ISERROR(TER_ander_ele_kWh/1000),0,TER_ander_ele_kWh/1000)</f>
        <v>3360.9346416252697</v>
      </c>
      <c r="C30" s="39">
        <f>IF(ISERROR(B30*3.6/1000000/'E Balans VL '!Z14*100),0,B30*3.6/1000000/'E Balans VL '!Z14*100)</f>
        <v>0.26050325685115566</v>
      </c>
      <c r="D30" s="238" t="s">
        <v>720</v>
      </c>
      <c r="F30" s="6"/>
    </row>
    <row r="31" spans="1:18">
      <c r="A31" s="232" t="s">
        <v>55</v>
      </c>
      <c r="B31" s="33">
        <f>IF(ISERROR(TER_onderwijs_ele_kWh/1000),0,TER_onderwijs_ele_kWh/1000)</f>
        <v>150.5895617779</v>
      </c>
      <c r="C31" s="39">
        <f>IF(ISERROR(B31*3.6/1000000/'E Balans VL '!Z11*100),0,B31*3.6/1000000/'E Balans VL '!Z11*100)</f>
        <v>2.8810349159943075E-2</v>
      </c>
      <c r="D31" s="238" t="s">
        <v>720</v>
      </c>
    </row>
    <row r="32" spans="1:18">
      <c r="A32" s="232" t="s">
        <v>261</v>
      </c>
      <c r="B32" s="33">
        <f>IF(ISERROR(TER_rest_ele_kWh/1000),0,TER_rest_ele_kWh/1000)</f>
        <v>5328.98382949201</v>
      </c>
      <c r="C32" s="39">
        <f>IF(ISERROR(B32*3.6/1000000/'E Balans VL '!Z8*100),0,B32*3.6/1000000/'E Balans VL '!Z8*100)</f>
        <v>4.3941563883780566E-2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39347.006339375279</v>
      </c>
      <c r="C5" s="17">
        <f>IF(ISERROR('Eigen informatie GS &amp; warmtenet'!B59),0,'Eigen informatie GS &amp; warmtenet'!B59)</f>
        <v>0</v>
      </c>
      <c r="D5" s="30">
        <f>SUM(D6:D15)</f>
        <v>10310.187072619932</v>
      </c>
      <c r="E5" s="17">
        <f>SUM(E6:E15)</f>
        <v>351.25654873953226</v>
      </c>
      <c r="F5" s="17">
        <f>SUM(F6:F15)</f>
        <v>8253.6021498769005</v>
      </c>
      <c r="G5" s="18"/>
      <c r="H5" s="17"/>
      <c r="I5" s="17"/>
      <c r="J5" s="17">
        <f>SUM(J6:J15)</f>
        <v>229.93724025491144</v>
      </c>
      <c r="K5" s="17"/>
      <c r="L5" s="17"/>
      <c r="M5" s="17"/>
      <c r="N5" s="17">
        <f>SUM(N6:N15)</f>
        <v>763.89296641270198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1810.87339173858</v>
      </c>
      <c r="C9" s="33"/>
      <c r="D9" s="37">
        <f>IF( ISERROR(IND_andere_gas_kWh/1000),0,IND_andere_gas_kWh/1000)*0.902</f>
        <v>2143.5596020700223</v>
      </c>
      <c r="E9" s="33">
        <f>C31*'E Balans VL '!I19/100/3.6*1000000</f>
        <v>30.415837004983601</v>
      </c>
      <c r="F9" s="33">
        <f>C31*'E Balans VL '!L19/100/3.6*1000000+C31*'E Balans VL '!N19/100/3.6*1000000</f>
        <v>1415.637678014016</v>
      </c>
      <c r="G9" s="34"/>
      <c r="H9" s="33"/>
      <c r="I9" s="33"/>
      <c r="J9" s="40">
        <f>C31*'E Balans VL '!D19/100/3.6*1000000+C31*'E Balans VL '!E19/100/3.6*1000000</f>
        <v>0.16332479465836103</v>
      </c>
      <c r="K9" s="33"/>
      <c r="L9" s="33"/>
      <c r="M9" s="33"/>
      <c r="N9" s="33">
        <f>C31*'E Balans VL '!Y19/100/3.6*1000000</f>
        <v>134.21477123366077</v>
      </c>
      <c r="O9" s="33"/>
      <c r="P9" s="33"/>
      <c r="R9" s="32"/>
    </row>
    <row r="10" spans="1:18">
      <c r="A10" s="6" t="s">
        <v>41</v>
      </c>
      <c r="B10" s="37">
        <f t="shared" si="0"/>
        <v>218.288740099172</v>
      </c>
      <c r="C10" s="33"/>
      <c r="D10" s="37">
        <f>IF( ISERROR(IND_voed_gas_kWh/1000),0,IND_voed_gas_kWh/1000)*0.902</f>
        <v>448.11225442507731</v>
      </c>
      <c r="E10" s="33">
        <f>C32*'E Balans VL '!I20/100/3.6*1000000</f>
        <v>1.9915757547832587</v>
      </c>
      <c r="F10" s="33">
        <f>C32*'E Balans VL '!L20/100/3.6*1000000+C32*'E Balans VL '!N20/100/3.6*1000000</f>
        <v>35.216801450217467</v>
      </c>
      <c r="G10" s="34"/>
      <c r="H10" s="33"/>
      <c r="I10" s="33"/>
      <c r="J10" s="40">
        <f>C32*'E Balans VL '!D20/100/3.6*1000000+C32*'E Balans VL '!E20/100/3.6*1000000</f>
        <v>0.89905614875399065</v>
      </c>
      <c r="K10" s="33"/>
      <c r="L10" s="33"/>
      <c r="M10" s="33"/>
      <c r="N10" s="33">
        <f>C32*'E Balans VL '!Y20/100/3.6*1000000</f>
        <v>3.1933921421484328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48.433065977079401</v>
      </c>
      <c r="C12" s="33"/>
      <c r="D12" s="37">
        <f>IF( ISERROR(IND_min_gas_kWh/1000),0,IND_min_gas_kWh/1000)*0.902</f>
        <v>37.738907516319088</v>
      </c>
      <c r="E12" s="33">
        <f>C34*'E Balans VL '!I22/100/3.6*1000000</f>
        <v>1.2012974944691515</v>
      </c>
      <c r="F12" s="33">
        <f>C34*'E Balans VL '!L22/100/3.6*1000000+C34*'E Balans VL '!N22/100/3.6*1000000</f>
        <v>5.1464770064902945</v>
      </c>
      <c r="G12" s="34"/>
      <c r="H12" s="33"/>
      <c r="I12" s="33"/>
      <c r="J12" s="40">
        <f>C34*'E Balans VL '!D22/100/3.6*1000000+C34*'E Balans VL '!E22/100/3.6*1000000</f>
        <v>0.27512823344226039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3319.0512746397499</v>
      </c>
      <c r="C14" s="33"/>
      <c r="D14" s="37">
        <f>IF( ISERROR(IND_chemie_gas_kWh/1000),0,IND_chemie_gas_kWh/1000)*0.902</f>
        <v>0</v>
      </c>
      <c r="E14" s="33">
        <f>C36*'E Balans VL '!I24/100/3.6*1000000</f>
        <v>11.253869873005209</v>
      </c>
      <c r="F14" s="33">
        <f>C36*'E Balans VL '!L24/100/3.6*1000000+C36*'E Balans VL '!N24/100/3.6*1000000</f>
        <v>10.651639700271922</v>
      </c>
      <c r="G14" s="34"/>
      <c r="H14" s="33"/>
      <c r="I14" s="33"/>
      <c r="J14" s="40">
        <f>C36*'E Balans VL '!D24/100/3.6*1000000+C36*'E Balans VL '!E24/100/3.6*1000000</f>
        <v>0</v>
      </c>
      <c r="K14" s="33"/>
      <c r="L14" s="33"/>
      <c r="M14" s="33"/>
      <c r="N14" s="33">
        <f>C36*'E Balans VL '!Y24/100/3.6*1000000</f>
        <v>15.518984281315882</v>
      </c>
      <c r="O14" s="33"/>
      <c r="P14" s="33"/>
      <c r="R14" s="32"/>
    </row>
    <row r="15" spans="1:18">
      <c r="A15" s="6" t="s">
        <v>271</v>
      </c>
      <c r="B15" s="37">
        <f t="shared" si="0"/>
        <v>33950.359866920699</v>
      </c>
      <c r="C15" s="33"/>
      <c r="D15" s="37">
        <f>IF( ISERROR(IND_rest_gas_kWh/1000),0,IND_rest_gas_kWh/1000)*0.902</f>
        <v>7680.7763086085133</v>
      </c>
      <c r="E15" s="33">
        <f>C37*'E Balans VL '!I15/100/3.6*1000000</f>
        <v>306.39396861229102</v>
      </c>
      <c r="F15" s="33">
        <f>C37*'E Balans VL '!L15/100/3.6*1000000+C37*'E Balans VL '!N15/100/3.6*1000000</f>
        <v>6786.9495537059047</v>
      </c>
      <c r="G15" s="34"/>
      <c r="H15" s="33"/>
      <c r="I15" s="33"/>
      <c r="J15" s="40">
        <f>C37*'E Balans VL '!D15/100/3.6*1000000+C37*'E Balans VL '!E15/100/3.6*1000000</f>
        <v>228.59973107805683</v>
      </c>
      <c r="K15" s="33"/>
      <c r="L15" s="33"/>
      <c r="M15" s="33"/>
      <c r="N15" s="33">
        <f>C37*'E Balans VL '!Y15/100/3.6*1000000</f>
        <v>610.96581875557683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39347.006339375279</v>
      </c>
      <c r="C18" s="21">
        <f>C5+C16</f>
        <v>0</v>
      </c>
      <c r="D18" s="21">
        <f>MAX((D5+D16),0)</f>
        <v>10310.187072619932</v>
      </c>
      <c r="E18" s="21">
        <f>MAX((E5+E16),0)</f>
        <v>351.25654873953226</v>
      </c>
      <c r="F18" s="21">
        <f>MAX((F5+F16),0)</f>
        <v>8253.6021498769005</v>
      </c>
      <c r="G18" s="21"/>
      <c r="H18" s="21"/>
      <c r="I18" s="21"/>
      <c r="J18" s="21">
        <f>MAX((J5+J16),0)</f>
        <v>229.93724025491144</v>
      </c>
      <c r="K18" s="21"/>
      <c r="L18" s="21">
        <f>MAX((L5+L16),0)</f>
        <v>0</v>
      </c>
      <c r="M18" s="21"/>
      <c r="N18" s="21">
        <f>MAX((N5+N16),0)</f>
        <v>763.89296641270198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0.22124726070514544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8705.4173695347727</v>
      </c>
      <c r="C22" s="23">
        <f ca="1">C18*C20</f>
        <v>0</v>
      </c>
      <c r="D22" s="23">
        <f>D18*D20</f>
        <v>2082.6577886692266</v>
      </c>
      <c r="E22" s="23">
        <f>E18*E20</f>
        <v>79.735236563873826</v>
      </c>
      <c r="F22" s="23">
        <f>F18*F20</f>
        <v>2203.7117740171325</v>
      </c>
      <c r="G22" s="23"/>
      <c r="H22" s="23"/>
      <c r="I22" s="23"/>
      <c r="J22" s="23">
        <f>J18*J20</f>
        <v>81.397783050238644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1810.87339173858</v>
      </c>
      <c r="C31" s="39">
        <f>IF(ISERROR(B31*3.6/1000000/'E Balans VL '!Z19*100),0,B31*3.6/1000000/'E Balans VL '!Z19*100)</f>
        <v>8.026884106076447E-2</v>
      </c>
      <c r="D31" s="238" t="s">
        <v>720</v>
      </c>
    </row>
    <row r="32" spans="1:18">
      <c r="A32" s="172" t="s">
        <v>41</v>
      </c>
      <c r="B32" s="37">
        <f>IF( ISERROR(IND_voed_ele_kWh/1000),0,IND_voed_ele_kWh/1000)</f>
        <v>218.288740099172</v>
      </c>
      <c r="C32" s="39">
        <f>IF(ISERROR(B32*3.6/1000000/'E Balans VL '!Z20*100),0,B32*3.6/1000000/'E Balans VL '!Z20*100)</f>
        <v>7.2914701086629497E-3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48.433065977079401</v>
      </c>
      <c r="C34" s="39">
        <f>IF(ISERROR(B34*3.6/1000000/'E Balans VL '!Z22*100),0,B34*3.6/1000000/'E Balans VL '!Z22*100)</f>
        <v>9.4196993255532928E-3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3319.0512746397499</v>
      </c>
      <c r="C36" s="39">
        <f>IF(ISERROR(B36*3.6/1000000/'E Balans VL '!Z24*100),0,B36*3.6/1000000/'E Balans VL '!Z24*100)</f>
        <v>7.794026345591451E-2</v>
      </c>
      <c r="D36" s="238" t="s">
        <v>720</v>
      </c>
    </row>
    <row r="37" spans="1:5">
      <c r="A37" s="172" t="s">
        <v>271</v>
      </c>
      <c r="B37" s="37">
        <f>IF( ISERROR(IND_rest_ele_kWh/1000),0,IND_rest_ele_kWh/1000)</f>
        <v>33950.359866920699</v>
      </c>
      <c r="C37" s="39">
        <f>IF(ISERROR(B37*3.6/1000000/'E Balans VL '!Z15*100),0,B37*3.6/1000000/'E Balans VL '!Z15*100)</f>
        <v>0.2525353675425025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1015.1460662446906</v>
      </c>
      <c r="C5" s="17">
        <f>'Eigen informatie GS &amp; warmtenet'!B60</f>
        <v>0</v>
      </c>
      <c r="D5" s="30">
        <f>IF(ISERROR(SUM(LB_lb_gas_kWh,LB_rest_gas_kWh,onbekend_gas_kWh)/1000),0,SUM(LB_lb_gas_kWh,LB_rest_gas_kWh,onbekend_gas_kWh)/1000)*0.902</f>
        <v>53033.111841563252</v>
      </c>
      <c r="E5" s="17">
        <f>B17*'E Balans VL '!I25/3.6*1000000/100</f>
        <v>10.630829375875564</v>
      </c>
      <c r="F5" s="17">
        <f>B17*('E Balans VL '!L25/3.6*1000000+'E Balans VL '!N25/3.6*1000000)/100</f>
        <v>5213.9518321215364</v>
      </c>
      <c r="G5" s="18"/>
      <c r="H5" s="17"/>
      <c r="I5" s="17"/>
      <c r="J5" s="17">
        <f>('E Balans VL '!D25+'E Balans VL '!E25)/3.6*1000000*landbouw!B17/100</f>
        <v>90.661642625066918</v>
      </c>
      <c r="K5" s="17"/>
      <c r="L5" s="17">
        <f>L6*(-1)</f>
        <v>0</v>
      </c>
      <c r="M5" s="17"/>
      <c r="N5" s="17">
        <f>N6*(-1)</f>
        <v>0</v>
      </c>
      <c r="O5" s="17"/>
      <c r="P5" s="17"/>
      <c r="R5" s="32"/>
    </row>
    <row r="6" spans="1:18">
      <c r="A6" s="16" t="s">
        <v>497</v>
      </c>
      <c r="B6" s="17" t="s">
        <v>212</v>
      </c>
      <c r="C6" s="17">
        <f>'lokale energieproductie'!O91+'lokale energieproductie'!O60</f>
        <v>44145</v>
      </c>
      <c r="D6" s="311">
        <f>('lokale energieproductie'!P60+'lokale energieproductie'!P91)*(-1)</f>
        <v>-88290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1015.1460662446906</v>
      </c>
      <c r="C8" s="21">
        <f>C5+C6</f>
        <v>44145</v>
      </c>
      <c r="D8" s="21">
        <f>MAX((D5+D6),0)</f>
        <v>0</v>
      </c>
      <c r="E8" s="21">
        <f>MAX((E5+E6),0)</f>
        <v>10.630829375875564</v>
      </c>
      <c r="F8" s="21">
        <f>MAX((F5+F6),0)</f>
        <v>5213.9518321215364</v>
      </c>
      <c r="G8" s="21"/>
      <c r="H8" s="21"/>
      <c r="I8" s="21"/>
      <c r="J8" s="21">
        <f>MAX((J5+J6),0)</f>
        <v>90.661642625066918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0.22124726070514544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224.59828637224192</v>
      </c>
      <c r="C12" s="23">
        <f ca="1">C8*C10</f>
        <v>10490.929411764706</v>
      </c>
      <c r="D12" s="23">
        <f>D8*D10</f>
        <v>0</v>
      </c>
      <c r="E12" s="23">
        <f>E8*E10</f>
        <v>2.4131982683237529</v>
      </c>
      <c r="F12" s="23">
        <f>F8*F10</f>
        <v>1392.1251391764504</v>
      </c>
      <c r="G12" s="23"/>
      <c r="H12" s="23"/>
      <c r="I12" s="23"/>
      <c r="J12" s="23">
        <f>J8*J10</f>
        <v>32.094221489273686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0.15625057553543556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10.154754187305223</v>
      </c>
      <c r="C26" s="248">
        <f>B26*'GWP N2O_CH4'!B5</f>
        <v>213.24983793340968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5.2549759082354583</v>
      </c>
      <c r="C27" s="248">
        <f>B27*'GWP N2O_CH4'!B5</f>
        <v>110.35449407294462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0.1438441910661549</v>
      </c>
      <c r="C28" s="248">
        <f>B28*'GWP N2O_CH4'!B4</f>
        <v>44.59169923050802</v>
      </c>
      <c r="D28" s="50"/>
    </row>
    <row r="29" spans="1:4">
      <c r="A29" s="41" t="s">
        <v>278</v>
      </c>
      <c r="B29" s="248">
        <f>B34*'ha_N2O bodem landbouw'!B4</f>
        <v>3.2569365764227975</v>
      </c>
      <c r="C29" s="248">
        <f>B29*'GWP N2O_CH4'!B4</f>
        <v>1009.6503386910672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5.3825154487114669E-4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5.2942245126967677E-6</v>
      </c>
      <c r="C5" s="446" t="s">
        <v>212</v>
      </c>
      <c r="D5" s="431">
        <f>SUM(D6:D11)</f>
        <v>2.4633738215129755E-5</v>
      </c>
      <c r="E5" s="431">
        <f>SUM(E6:E11)</f>
        <v>2.9954719937286059E-3</v>
      </c>
      <c r="F5" s="444" t="s">
        <v>212</v>
      </c>
      <c r="G5" s="431">
        <f>SUM(G6:G11)</f>
        <v>0.67451268647985996</v>
      </c>
      <c r="H5" s="431">
        <f>SUM(H6:H11)</f>
        <v>8.5944046366597512E-2</v>
      </c>
      <c r="I5" s="446" t="s">
        <v>212</v>
      </c>
      <c r="J5" s="446" t="s">
        <v>212</v>
      </c>
      <c r="K5" s="446" t="s">
        <v>212</v>
      </c>
      <c r="L5" s="446" t="s">
        <v>212</v>
      </c>
      <c r="M5" s="431">
        <f>SUM(M6:M11)</f>
        <v>3.3103210055649937E-2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1.0383621448781034E-6</v>
      </c>
      <c r="C6" s="432"/>
      <c r="D6" s="432">
        <f>vkm_2011_GW_PW*SUMIFS(TableVerdeelsleutelVkm[CNG],TableVerdeelsleutelVkm[Voertuigtype],"Lichte voertuigen")*SUMIFS(TableECFTransport[EnergieConsumptieFactor (PJ per km)],TableECFTransport[Index],CONCATENATE($A6,"_CNG_CNG"))</f>
        <v>4.4762585074870475E-6</v>
      </c>
      <c r="E6" s="434">
        <f>vkm_2011_GW_PW*SUMIFS(TableVerdeelsleutelVkm[LPG],TableVerdeelsleutelVkm[Voertuigtype],"Lichte voertuigen")*SUMIFS(TableECFTransport[EnergieConsumptieFactor (PJ per km)],TableECFTransport[Index],CONCATENATE($A6,"_LPG_LPG"))</f>
        <v>4.6572723195827977E-4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5.7285728082005188E-2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1.5082145070699084E-2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3.1715071464310748E-3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2.9007433256228562E-2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9.946246888782758E-6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1.2530667661641097E-3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3.5169112680555121E-7</v>
      </c>
      <c r="C8" s="432"/>
      <c r="D8" s="434">
        <f>vkm_2011_NGW_PW*SUMIFS(TableVerdeelsleutelVkm[CNG],TableVerdeelsleutelVkm[Voertuigtype],"Lichte voertuigen")*SUMIFS(TableECFTransport[EnergieConsumptieFactor (PJ per km)],TableECFTransport[Index],CONCATENATE($A8,"_CNG_CNG"))</f>
        <v>2.7199195510619946E-6</v>
      </c>
      <c r="E8" s="434">
        <f>vkm_2011_NGW_PW*SUMIFS(TableVerdeelsleutelVkm[LPG],TableVerdeelsleutelVkm[Voertuigtype],"Lichte voertuigen")*SUMIFS(TableECFTransport[EnergieConsumptieFactor (PJ per km)],TableECFTransport[Index],CONCATENATE($A8,"_LPG_LPG"))</f>
        <v>2.5839171772285024E-4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3.0145348086523659E-2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8.7480443814683777E-3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1.7064751345192573E-3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2.1214185626208189E-2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6.3191485785027175E-6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9.1636889175875807E-4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3.9041712410131129E-6</v>
      </c>
      <c r="C10" s="432"/>
      <c r="D10" s="434">
        <f>vkm_2011_SW_PW*SUMIFS(TableVerdeelsleutelVkm[CNG],TableVerdeelsleutelVkm[Voertuigtype],"Lichte voertuigen")*SUMIFS(TableECFTransport[EnergieConsumptieFactor (PJ per km)],TableECFTransport[Index],CONCATENATE($A10,"_CNG_CNG"))</f>
        <v>1.7437560156580713E-5</v>
      </c>
      <c r="E10" s="434">
        <f>vkm_2011_SW_PW*SUMIFS(TableVerdeelsleutelVkm[LPG],TableVerdeelsleutelVkm[Voertuigtype],"Lichte voertuigen")*SUMIFS(TableECFTransport[EnergieConsumptieFactor (PJ per km)],TableECFTransport[Index],CONCATENATE($A10,"_LPG_LPG"))</f>
        <v>2.271353044047476E-3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0.25684778311293599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6.1995150288394814E-2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1.3959491933371801E-2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0.28001220831595836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1.0244123056794773E-4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1.2096300183404938E-2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1.4706179201935465</v>
      </c>
      <c r="C14" s="21"/>
      <c r="D14" s="21">
        <f t="shared" ref="D14:M14" si="0">((D5)*10^9/3600)+D12</f>
        <v>6.8427050597582646</v>
      </c>
      <c r="E14" s="21">
        <f t="shared" si="0"/>
        <v>832.07555381350164</v>
      </c>
      <c r="F14" s="21"/>
      <c r="G14" s="21">
        <f t="shared" si="0"/>
        <v>187364.63513329442</v>
      </c>
      <c r="H14" s="21">
        <f t="shared" si="0"/>
        <v>23873.346212943754</v>
      </c>
      <c r="I14" s="21"/>
      <c r="J14" s="21"/>
      <c r="K14" s="21"/>
      <c r="L14" s="21"/>
      <c r="M14" s="21">
        <f t="shared" si="0"/>
        <v>9195.3361265694275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0.22124726070514544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0.32537018638672038</v>
      </c>
      <c r="C18" s="23"/>
      <c r="D18" s="23">
        <f t="shared" ref="D18:M18" si="1">D14*D16</f>
        <v>1.3822264220711695</v>
      </c>
      <c r="E18" s="23">
        <f t="shared" si="1"/>
        <v>188.88115071566489</v>
      </c>
      <c r="F18" s="23"/>
      <c r="G18" s="23">
        <f t="shared" si="1"/>
        <v>50026.357580589611</v>
      </c>
      <c r="H18" s="23">
        <f t="shared" si="1"/>
        <v>5944.4632070229945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3.7504730252712645E-3</v>
      </c>
      <c r="C50" s="322">
        <f t="shared" ref="C50:P50" si="2">SUM(C51:C52)</f>
        <v>0</v>
      </c>
      <c r="D50" s="322">
        <f t="shared" si="2"/>
        <v>0</v>
      </c>
      <c r="E50" s="322">
        <f t="shared" si="2"/>
        <v>0</v>
      </c>
      <c r="F50" s="322">
        <f t="shared" si="2"/>
        <v>0</v>
      </c>
      <c r="G50" s="322">
        <f t="shared" si="2"/>
        <v>4.2505266995382695E-3</v>
      </c>
      <c r="H50" s="322">
        <f t="shared" si="2"/>
        <v>0</v>
      </c>
      <c r="I50" s="322">
        <f t="shared" si="2"/>
        <v>0</v>
      </c>
      <c r="J50" s="322">
        <f t="shared" si="2"/>
        <v>0</v>
      </c>
      <c r="K50" s="322">
        <f t="shared" si="2"/>
        <v>0</v>
      </c>
      <c r="L50" s="322">
        <f t="shared" si="2"/>
        <v>0</v>
      </c>
      <c r="M50" s="322">
        <f t="shared" si="2"/>
        <v>1.8118148688767375E-4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4.2505266995382695E-3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1.8118148688767375E-4</v>
      </c>
      <c r="N51" s="324"/>
      <c r="O51" s="324"/>
      <c r="P51" s="327"/>
    </row>
    <row r="52" spans="1:18">
      <c r="A52" s="4" t="s">
        <v>331</v>
      </c>
      <c r="B52" s="328">
        <f>vkm_2011_tram*SUMIFS(TableECFTransport[EnergieConsumptieFactor (PJ per km)],TableECFTransport[Index],"Tram_gemiddeld_Electric_Electric")</f>
        <v>3.7504730252712645E-3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1041.7980625753512</v>
      </c>
      <c r="C54" s="21">
        <f t="shared" ref="C54:P54" si="3">(C50)*10^9/3600</f>
        <v>0</v>
      </c>
      <c r="D54" s="21">
        <f t="shared" si="3"/>
        <v>0</v>
      </c>
      <c r="E54" s="21">
        <f t="shared" si="3"/>
        <v>0</v>
      </c>
      <c r="F54" s="21">
        <f t="shared" si="3"/>
        <v>0</v>
      </c>
      <c r="G54" s="21">
        <f t="shared" si="3"/>
        <v>1180.7018609828526</v>
      </c>
      <c r="H54" s="21">
        <f t="shared" si="3"/>
        <v>0</v>
      </c>
      <c r="I54" s="21">
        <f t="shared" si="3"/>
        <v>0</v>
      </c>
      <c r="J54" s="21">
        <f t="shared" si="3"/>
        <v>0</v>
      </c>
      <c r="K54" s="21">
        <f t="shared" si="3"/>
        <v>0</v>
      </c>
      <c r="L54" s="21">
        <f t="shared" si="3"/>
        <v>0</v>
      </c>
      <c r="M54" s="21">
        <f t="shared" si="3"/>
        <v>50.328190802131601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0.22124726070514544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230.49496755272415</v>
      </c>
      <c r="C58" s="23">
        <f t="shared" ref="C58:P58" ca="1" si="4">C54*C56</f>
        <v>0</v>
      </c>
      <c r="D58" s="23">
        <f t="shared" si="4"/>
        <v>0</v>
      </c>
      <c r="E58" s="23">
        <f t="shared" si="4"/>
        <v>0</v>
      </c>
      <c r="F58" s="23">
        <f t="shared" si="4"/>
        <v>0</v>
      </c>
      <c r="G58" s="23">
        <f t="shared" si="4"/>
        <v>315.24739688242164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2213.6693376584544</v>
      </c>
      <c r="C6" s="1124"/>
      <c r="D6" s="1127"/>
      <c r="E6" s="1127"/>
      <c r="F6" s="1130"/>
      <c r="G6" s="1133"/>
      <c r="H6" s="1121"/>
      <c r="I6" s="1127"/>
      <c r="J6" s="1127"/>
      <c r="K6" s="1127"/>
      <c r="L6" s="1157"/>
      <c r="M6" s="559"/>
      <c r="N6" s="1169"/>
      <c r="O6" s="1170"/>
      <c r="Q6" s="557"/>
      <c r="R6" s="1154"/>
      <c r="S6" s="1154"/>
    </row>
    <row r="7" spans="1:19" s="547" customFormat="1">
      <c r="A7" s="560" t="s">
        <v>253</v>
      </c>
      <c r="B7" s="561">
        <f>N57</f>
        <v>30903.375</v>
      </c>
      <c r="C7" s="562">
        <f>B100</f>
        <v>36356.911764705881</v>
      </c>
      <c r="D7" s="563"/>
      <c r="E7" s="563">
        <f>E100</f>
        <v>0</v>
      </c>
      <c r="F7" s="564"/>
      <c r="G7" s="565"/>
      <c r="H7" s="563">
        <f>I100</f>
        <v>0</v>
      </c>
      <c r="I7" s="563">
        <f>G100+F100</f>
        <v>0</v>
      </c>
      <c r="J7" s="563">
        <f>H100+D100+C100</f>
        <v>0</v>
      </c>
      <c r="K7" s="563"/>
      <c r="L7" s="566"/>
      <c r="M7" s="567">
        <f>C7*$C$11+D7*$D$11+E7*$E$11+F7*$F$11+G7*$G$11+H7*$H$11+I7*$I$11+J7*$J$11</f>
        <v>7344.096176470588</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33117.044337658452</v>
      </c>
      <c r="C9" s="578">
        <f t="shared" ref="C9:L9" si="0">SUM(C7:C8)</f>
        <v>36356.911764705881</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7344.096176470588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44147.678571428572</v>
      </c>
      <c r="C16" s="594">
        <f>B101</f>
        <v>51938.445378151257</v>
      </c>
      <c r="D16" s="595"/>
      <c r="E16" s="595">
        <f>E101</f>
        <v>0</v>
      </c>
      <c r="F16" s="596"/>
      <c r="G16" s="597"/>
      <c r="H16" s="594">
        <f>I101</f>
        <v>0</v>
      </c>
      <c r="I16" s="595">
        <f>G101+F101</f>
        <v>0</v>
      </c>
      <c r="J16" s="595">
        <f>H101+D101+C101</f>
        <v>0</v>
      </c>
      <c r="K16" s="595"/>
      <c r="L16" s="598"/>
      <c r="M16" s="599">
        <f>C16*$C$21+E16*$E$21+H16*$H$21+I16*$I$21+J16*$J$21+D16*$D$21+F16*$F$21+G16*$G$21+K16*$K$21+L16*$L$21</f>
        <v>10491.565966386555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44147.678571428572</v>
      </c>
      <c r="C19" s="577">
        <f>SUM(C16:C18)</f>
        <v>51938.445378151257</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10491.565966386555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11056</v>
      </c>
      <c r="C27" s="839">
        <v>2070</v>
      </c>
      <c r="D27" s="656" t="s">
        <v>894</v>
      </c>
      <c r="E27" s="655" t="s">
        <v>895</v>
      </c>
      <c r="F27" s="655" t="s">
        <v>896</v>
      </c>
      <c r="G27" s="655" t="s">
        <v>897</v>
      </c>
      <c r="H27" s="655" t="s">
        <v>898</v>
      </c>
      <c r="I27" s="655" t="s">
        <v>895</v>
      </c>
      <c r="J27" s="838">
        <v>40735</v>
      </c>
      <c r="K27" s="838">
        <v>40848</v>
      </c>
      <c r="L27" s="655" t="s">
        <v>899</v>
      </c>
      <c r="M27" s="655">
        <v>5</v>
      </c>
      <c r="N27" s="655">
        <v>1.875</v>
      </c>
      <c r="O27" s="655">
        <v>2.6785714285714288</v>
      </c>
      <c r="P27" s="655">
        <v>5.3571428571428577</v>
      </c>
      <c r="Q27" s="655">
        <v>0</v>
      </c>
      <c r="R27" s="655">
        <v>0</v>
      </c>
      <c r="S27" s="655">
        <v>0</v>
      </c>
      <c r="T27" s="655">
        <v>0</v>
      </c>
      <c r="U27" s="655">
        <v>0</v>
      </c>
      <c r="V27" s="655">
        <v>0</v>
      </c>
      <c r="W27" s="655">
        <v>0</v>
      </c>
      <c r="X27" s="655">
        <v>1600</v>
      </c>
      <c r="Y27" s="655" t="s">
        <v>50</v>
      </c>
      <c r="Z27" s="657" t="s">
        <v>156</v>
      </c>
    </row>
    <row r="28" spans="1:26" s="609" customFormat="1" ht="25.5">
      <c r="A28" s="608"/>
      <c r="B28" s="839">
        <v>11056</v>
      </c>
      <c r="C28" s="839">
        <v>2070</v>
      </c>
      <c r="D28" s="656" t="s">
        <v>900</v>
      </c>
      <c r="E28" s="655" t="s">
        <v>901</v>
      </c>
      <c r="F28" s="655" t="s">
        <v>902</v>
      </c>
      <c r="G28" s="655" t="s">
        <v>897</v>
      </c>
      <c r="H28" s="655" t="s">
        <v>898</v>
      </c>
      <c r="I28" s="655" t="s">
        <v>901</v>
      </c>
      <c r="J28" s="838">
        <v>40267</v>
      </c>
      <c r="K28" s="838">
        <v>40269</v>
      </c>
      <c r="L28" s="655" t="s">
        <v>899</v>
      </c>
      <c r="M28" s="655">
        <v>2067</v>
      </c>
      <c r="N28" s="655">
        <v>9301.5</v>
      </c>
      <c r="O28" s="655">
        <v>13287.857142857143</v>
      </c>
      <c r="P28" s="655">
        <v>26575.714285714286</v>
      </c>
      <c r="Q28" s="655">
        <v>0</v>
      </c>
      <c r="R28" s="655">
        <v>0</v>
      </c>
      <c r="S28" s="655">
        <v>0</v>
      </c>
      <c r="T28" s="655">
        <v>0</v>
      </c>
      <c r="U28" s="655">
        <v>0</v>
      </c>
      <c r="V28" s="655">
        <v>0</v>
      </c>
      <c r="W28" s="655">
        <v>0</v>
      </c>
      <c r="X28" s="655">
        <v>10</v>
      </c>
      <c r="Y28" s="655" t="s">
        <v>112</v>
      </c>
      <c r="Z28" s="657" t="s">
        <v>112</v>
      </c>
    </row>
    <row r="29" spans="1:26" s="609" customFormat="1" ht="25.5">
      <c r="A29" s="608"/>
      <c r="B29" s="839">
        <v>11056</v>
      </c>
      <c r="C29" s="839">
        <v>2070</v>
      </c>
      <c r="D29" s="656" t="s">
        <v>903</v>
      </c>
      <c r="E29" s="655" t="s">
        <v>904</v>
      </c>
      <c r="F29" s="655" t="s">
        <v>905</v>
      </c>
      <c r="G29" s="655" t="s">
        <v>897</v>
      </c>
      <c r="H29" s="655" t="s">
        <v>898</v>
      </c>
      <c r="I29" s="655" t="s">
        <v>906</v>
      </c>
      <c r="J29" s="838">
        <v>40946</v>
      </c>
      <c r="K29" s="838">
        <v>39043</v>
      </c>
      <c r="L29" s="655" t="s">
        <v>899</v>
      </c>
      <c r="M29" s="655">
        <v>4800</v>
      </c>
      <c r="N29" s="655">
        <v>21600</v>
      </c>
      <c r="O29" s="655">
        <v>30857.142857142859</v>
      </c>
      <c r="P29" s="655">
        <v>61714.285714285717</v>
      </c>
      <c r="Q29" s="655">
        <v>0</v>
      </c>
      <c r="R29" s="655">
        <v>0</v>
      </c>
      <c r="S29" s="655">
        <v>0</v>
      </c>
      <c r="T29" s="655">
        <v>0</v>
      </c>
      <c r="U29" s="655">
        <v>0</v>
      </c>
      <c r="V29" s="655">
        <v>0</v>
      </c>
      <c r="W29" s="655">
        <v>0</v>
      </c>
      <c r="X29" s="655">
        <v>10</v>
      </c>
      <c r="Y29" s="655" t="s">
        <v>112</v>
      </c>
      <c r="Z29" s="657" t="s">
        <v>112</v>
      </c>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6872</v>
      </c>
      <c r="N57" s="613">
        <f>SUM(N27:N56)</f>
        <v>30903.375</v>
      </c>
      <c r="O57" s="613">
        <f t="shared" ref="O57:W57" si="2">SUM(O27:O56)</f>
        <v>44147.678571428572</v>
      </c>
      <c r="P57" s="613">
        <f t="shared" si="2"/>
        <v>88295.357142857145</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v>
      </c>
      <c r="N59" s="613">
        <f ca="1">SUMIF($Z$27:AB56,"tertiair",N27:N56)</f>
        <v>1.875</v>
      </c>
      <c r="O59" s="613">
        <f ca="1">SUMIF($Z$27:AC56,"tertiair",O27:O56)</f>
        <v>2.6785714285714288</v>
      </c>
      <c r="P59" s="613">
        <f ca="1">SUMIF($Z$27:AD56,"tertiair",P27:P56)</f>
        <v>5.3571428571428577</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6867</v>
      </c>
      <c r="N60" s="618">
        <f t="shared" ref="N60:W60" si="4">SUMIF($Z$27:$Z$56,"landbouw",N27:N56)</f>
        <v>30901.5</v>
      </c>
      <c r="O60" s="618">
        <f t="shared" si="4"/>
        <v>44145</v>
      </c>
      <c r="P60" s="618">
        <f t="shared" si="4"/>
        <v>88290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36356.911764705881</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51938.445378151257</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26692.137243413894</v>
      </c>
      <c r="D10" s="702">
        <f ca="1">tertiair!C16</f>
        <v>2.6785714285714288</v>
      </c>
      <c r="E10" s="702">
        <f ca="1">tertiair!D16</f>
        <v>24444.132802314514</v>
      </c>
      <c r="F10" s="702">
        <f>tertiair!E16</f>
        <v>510.83367936430579</v>
      </c>
      <c r="G10" s="702">
        <f ca="1">tertiair!F16</f>
        <v>4648.6020421371368</v>
      </c>
      <c r="H10" s="702">
        <f>tertiair!G16</f>
        <v>0</v>
      </c>
      <c r="I10" s="702">
        <f>tertiair!H16</f>
        <v>0</v>
      </c>
      <c r="J10" s="702">
        <f>tertiair!I16</f>
        <v>0</v>
      </c>
      <c r="K10" s="702">
        <f>tertiair!J16</f>
        <v>0</v>
      </c>
      <c r="L10" s="702">
        <f>tertiair!K16</f>
        <v>0</v>
      </c>
      <c r="M10" s="702">
        <f ca="1">tertiair!L16</f>
        <v>0</v>
      </c>
      <c r="N10" s="702">
        <f>tertiair!M16</f>
        <v>0</v>
      </c>
      <c r="O10" s="702">
        <f ca="1">tertiair!N16</f>
        <v>992.85103342150865</v>
      </c>
      <c r="P10" s="702">
        <f>tertiair!O16</f>
        <v>0</v>
      </c>
      <c r="Q10" s="703">
        <f>tertiair!P16</f>
        <v>19.066666666666666</v>
      </c>
      <c r="R10" s="705">
        <f ca="1">SUM(C10:Q10)</f>
        <v>57310.302038746595</v>
      </c>
      <c r="S10" s="67"/>
    </row>
    <row r="11" spans="1:19" s="457" customFormat="1">
      <c r="A11" s="858" t="s">
        <v>226</v>
      </c>
      <c r="B11" s="863"/>
      <c r="C11" s="702">
        <f>huishoudens!B8</f>
        <v>33937.974705259418</v>
      </c>
      <c r="D11" s="702">
        <f>huishoudens!C8</f>
        <v>0</v>
      </c>
      <c r="E11" s="702">
        <f>huishoudens!D8</f>
        <v>86894.40386943116</v>
      </c>
      <c r="F11" s="702">
        <f>huishoudens!E8</f>
        <v>422.42863546957943</v>
      </c>
      <c r="G11" s="702">
        <f>huishoudens!F8</f>
        <v>0</v>
      </c>
      <c r="H11" s="702">
        <f>huishoudens!G8</f>
        <v>0</v>
      </c>
      <c r="I11" s="702">
        <f>huishoudens!H8</f>
        <v>0</v>
      </c>
      <c r="J11" s="702">
        <f>huishoudens!I8</f>
        <v>0</v>
      </c>
      <c r="K11" s="702">
        <f>huishoudens!J8</f>
        <v>754.44307180324392</v>
      </c>
      <c r="L11" s="702">
        <f>huishoudens!K8</f>
        <v>0</v>
      </c>
      <c r="M11" s="702">
        <f>huishoudens!L8</f>
        <v>0</v>
      </c>
      <c r="N11" s="702">
        <f>huishoudens!M8</f>
        <v>0</v>
      </c>
      <c r="O11" s="702">
        <f>huishoudens!N8</f>
        <v>4606.8702312655842</v>
      </c>
      <c r="P11" s="702">
        <f>huishoudens!O8</f>
        <v>64.096666666666678</v>
      </c>
      <c r="Q11" s="703">
        <f>huishoudens!P8</f>
        <v>76.266666666666666</v>
      </c>
      <c r="R11" s="705">
        <f>SUM(C11:Q11)</f>
        <v>126756.4838465623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39347.006339375279</v>
      </c>
      <c r="D13" s="702">
        <f>industrie!C18</f>
        <v>0</v>
      </c>
      <c r="E13" s="702">
        <f>industrie!D18</f>
        <v>10310.187072619932</v>
      </c>
      <c r="F13" s="702">
        <f>industrie!E18</f>
        <v>351.25654873953226</v>
      </c>
      <c r="G13" s="702">
        <f>industrie!F18</f>
        <v>8253.6021498769005</v>
      </c>
      <c r="H13" s="702">
        <f>industrie!G18</f>
        <v>0</v>
      </c>
      <c r="I13" s="702">
        <f>industrie!H18</f>
        <v>0</v>
      </c>
      <c r="J13" s="702">
        <f>industrie!I18</f>
        <v>0</v>
      </c>
      <c r="K13" s="702">
        <f>industrie!J18</f>
        <v>229.93724025491144</v>
      </c>
      <c r="L13" s="702">
        <f>industrie!K18</f>
        <v>0</v>
      </c>
      <c r="M13" s="702">
        <f>industrie!L18</f>
        <v>0</v>
      </c>
      <c r="N13" s="702">
        <f>industrie!M18</f>
        <v>0</v>
      </c>
      <c r="O13" s="702">
        <f>industrie!N18</f>
        <v>763.89296641270198</v>
      </c>
      <c r="P13" s="702">
        <f>industrie!O18</f>
        <v>0</v>
      </c>
      <c r="Q13" s="703">
        <f>industrie!P18</f>
        <v>0</v>
      </c>
      <c r="R13" s="705">
        <f>SUM(C13:Q13)</f>
        <v>59255.882317279262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99977.118288048587</v>
      </c>
      <c r="D15" s="707">
        <f t="shared" ref="D15:Q15" ca="1" si="0">SUM(D9:D14)</f>
        <v>2.6785714285714288</v>
      </c>
      <c r="E15" s="707">
        <f t="shared" ca="1" si="0"/>
        <v>121648.7237443656</v>
      </c>
      <c r="F15" s="707">
        <f t="shared" si="0"/>
        <v>1284.5188635734175</v>
      </c>
      <c r="G15" s="707">
        <f t="shared" ca="1" si="0"/>
        <v>12902.204192014036</v>
      </c>
      <c r="H15" s="707">
        <f t="shared" si="0"/>
        <v>0</v>
      </c>
      <c r="I15" s="707">
        <f t="shared" si="0"/>
        <v>0</v>
      </c>
      <c r="J15" s="707">
        <f t="shared" si="0"/>
        <v>0</v>
      </c>
      <c r="K15" s="707">
        <f t="shared" si="0"/>
        <v>984.38031205815537</v>
      </c>
      <c r="L15" s="707">
        <f t="shared" si="0"/>
        <v>0</v>
      </c>
      <c r="M15" s="707">
        <f t="shared" ca="1" si="0"/>
        <v>0</v>
      </c>
      <c r="N15" s="707">
        <f t="shared" si="0"/>
        <v>0</v>
      </c>
      <c r="O15" s="707">
        <f t="shared" ca="1" si="0"/>
        <v>6363.6142310997948</v>
      </c>
      <c r="P15" s="707">
        <f t="shared" si="0"/>
        <v>64.096666666666678</v>
      </c>
      <c r="Q15" s="708">
        <f t="shared" si="0"/>
        <v>95.333333333333329</v>
      </c>
      <c r="R15" s="709">
        <f ca="1">SUM(R9:R14)</f>
        <v>243322.66820258816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1041.7980625753512</v>
      </c>
      <c r="D18" s="702">
        <f>transport!C54</f>
        <v>0</v>
      </c>
      <c r="E18" s="702">
        <f>transport!D54</f>
        <v>0</v>
      </c>
      <c r="F18" s="702">
        <f>transport!E54</f>
        <v>0</v>
      </c>
      <c r="G18" s="702">
        <f>transport!F54</f>
        <v>0</v>
      </c>
      <c r="H18" s="702">
        <f>transport!G54</f>
        <v>1180.7018609828526</v>
      </c>
      <c r="I18" s="702">
        <f>transport!H54</f>
        <v>0</v>
      </c>
      <c r="J18" s="702">
        <f>transport!I54</f>
        <v>0</v>
      </c>
      <c r="K18" s="702">
        <f>transport!J54</f>
        <v>0</v>
      </c>
      <c r="L18" s="702">
        <f>transport!K54</f>
        <v>0</v>
      </c>
      <c r="M18" s="702">
        <f>transport!L54</f>
        <v>0</v>
      </c>
      <c r="N18" s="702">
        <f>transport!M54</f>
        <v>50.328190802131601</v>
      </c>
      <c r="O18" s="702">
        <f>transport!N54</f>
        <v>0</v>
      </c>
      <c r="P18" s="702">
        <f>transport!O54</f>
        <v>0</v>
      </c>
      <c r="Q18" s="703">
        <f>transport!P54</f>
        <v>0</v>
      </c>
      <c r="R18" s="705">
        <f>SUM(C18:Q18)</f>
        <v>2272.8281143603353</v>
      </c>
      <c r="S18" s="67"/>
    </row>
    <row r="19" spans="1:19" s="457" customFormat="1" ht="15" thickBot="1">
      <c r="A19" s="858" t="s">
        <v>308</v>
      </c>
      <c r="B19" s="863"/>
      <c r="C19" s="711">
        <f>transport!B14</f>
        <v>1.4706179201935465</v>
      </c>
      <c r="D19" s="711">
        <f>transport!C14</f>
        <v>0</v>
      </c>
      <c r="E19" s="711">
        <f>transport!D14</f>
        <v>6.8427050597582646</v>
      </c>
      <c r="F19" s="711">
        <f>transport!E14</f>
        <v>832.07555381350164</v>
      </c>
      <c r="G19" s="711">
        <f>transport!F14</f>
        <v>0</v>
      </c>
      <c r="H19" s="711">
        <f>transport!G14</f>
        <v>187364.63513329442</v>
      </c>
      <c r="I19" s="711">
        <f>transport!H14</f>
        <v>23873.346212943754</v>
      </c>
      <c r="J19" s="711">
        <f>transport!I14</f>
        <v>0</v>
      </c>
      <c r="K19" s="711">
        <f>transport!J14</f>
        <v>0</v>
      </c>
      <c r="L19" s="711">
        <f>transport!K14</f>
        <v>0</v>
      </c>
      <c r="M19" s="711">
        <f>transport!L14</f>
        <v>0</v>
      </c>
      <c r="N19" s="711">
        <f>transport!M14</f>
        <v>9195.3361265694275</v>
      </c>
      <c r="O19" s="711">
        <f>transport!N14</f>
        <v>0</v>
      </c>
      <c r="P19" s="711">
        <f>transport!O14</f>
        <v>0</v>
      </c>
      <c r="Q19" s="712">
        <f>transport!P14</f>
        <v>0</v>
      </c>
      <c r="R19" s="713">
        <f>SUM(C19:Q19)</f>
        <v>221273.70634960104</v>
      </c>
      <c r="S19" s="67"/>
    </row>
    <row r="20" spans="1:19" s="457" customFormat="1" ht="15.75" thickBot="1">
      <c r="A20" s="714" t="s">
        <v>231</v>
      </c>
      <c r="B20" s="866"/>
      <c r="C20" s="861">
        <f>SUM(C17:C19)</f>
        <v>1043.2686804955447</v>
      </c>
      <c r="D20" s="715">
        <f t="shared" ref="D20:R20" si="1">SUM(D17:D19)</f>
        <v>0</v>
      </c>
      <c r="E20" s="715">
        <f t="shared" si="1"/>
        <v>6.8427050597582646</v>
      </c>
      <c r="F20" s="715">
        <f t="shared" si="1"/>
        <v>832.07555381350164</v>
      </c>
      <c r="G20" s="715">
        <f t="shared" si="1"/>
        <v>0</v>
      </c>
      <c r="H20" s="715">
        <f t="shared" si="1"/>
        <v>188545.33699427728</v>
      </c>
      <c r="I20" s="715">
        <f t="shared" si="1"/>
        <v>23873.346212943754</v>
      </c>
      <c r="J20" s="715">
        <f t="shared" si="1"/>
        <v>0</v>
      </c>
      <c r="K20" s="715">
        <f t="shared" si="1"/>
        <v>0</v>
      </c>
      <c r="L20" s="715">
        <f t="shared" si="1"/>
        <v>0</v>
      </c>
      <c r="M20" s="715">
        <f t="shared" si="1"/>
        <v>0</v>
      </c>
      <c r="N20" s="715">
        <f t="shared" si="1"/>
        <v>9245.6643173715584</v>
      </c>
      <c r="O20" s="715">
        <f t="shared" si="1"/>
        <v>0</v>
      </c>
      <c r="P20" s="715">
        <f t="shared" si="1"/>
        <v>0</v>
      </c>
      <c r="Q20" s="716">
        <f t="shared" si="1"/>
        <v>0</v>
      </c>
      <c r="R20" s="717">
        <f t="shared" si="1"/>
        <v>223546.53446396138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1015.1460662446906</v>
      </c>
      <c r="D22" s="711">
        <f>+landbouw!C8</f>
        <v>44145</v>
      </c>
      <c r="E22" s="711">
        <f>+landbouw!D8</f>
        <v>0</v>
      </c>
      <c r="F22" s="711">
        <f>+landbouw!E8</f>
        <v>10.630829375875564</v>
      </c>
      <c r="G22" s="711">
        <f>+landbouw!F8</f>
        <v>5213.9518321215364</v>
      </c>
      <c r="H22" s="711">
        <f>+landbouw!G8</f>
        <v>0</v>
      </c>
      <c r="I22" s="711">
        <f>+landbouw!H8</f>
        <v>0</v>
      </c>
      <c r="J22" s="711">
        <f>+landbouw!I8</f>
        <v>0</v>
      </c>
      <c r="K22" s="711">
        <f>+landbouw!J8</f>
        <v>90.661642625066918</v>
      </c>
      <c r="L22" s="711">
        <f>+landbouw!K8</f>
        <v>0</v>
      </c>
      <c r="M22" s="711">
        <f>+landbouw!L8</f>
        <v>0</v>
      </c>
      <c r="N22" s="711">
        <f>+landbouw!M8</f>
        <v>0</v>
      </c>
      <c r="O22" s="711">
        <f>+landbouw!N8</f>
        <v>0</v>
      </c>
      <c r="P22" s="711">
        <f>+landbouw!O8</f>
        <v>0</v>
      </c>
      <c r="Q22" s="712">
        <f>+landbouw!P8</f>
        <v>0</v>
      </c>
      <c r="R22" s="713">
        <f>SUM(C22:Q22)</f>
        <v>50475.390370367175</v>
      </c>
      <c r="S22" s="67"/>
    </row>
    <row r="23" spans="1:19" s="457" customFormat="1" ht="17.25" thickTop="1" thickBot="1">
      <c r="A23" s="718" t="s">
        <v>116</v>
      </c>
      <c r="B23" s="852"/>
      <c r="C23" s="719">
        <f ca="1">C20+C15+C22</f>
        <v>102035.53303478882</v>
      </c>
      <c r="D23" s="719">
        <f t="shared" ref="D23:Q23" ca="1" si="2">D20+D15+D22</f>
        <v>44147.678571428572</v>
      </c>
      <c r="E23" s="719">
        <f t="shared" ca="1" si="2"/>
        <v>121655.56644942536</v>
      </c>
      <c r="F23" s="719">
        <f t="shared" si="2"/>
        <v>2127.225246762795</v>
      </c>
      <c r="G23" s="719">
        <f t="shared" ca="1" si="2"/>
        <v>18116.156024135573</v>
      </c>
      <c r="H23" s="719">
        <f t="shared" si="2"/>
        <v>188545.33699427728</v>
      </c>
      <c r="I23" s="719">
        <f t="shared" si="2"/>
        <v>23873.346212943754</v>
      </c>
      <c r="J23" s="719">
        <f t="shared" si="2"/>
        <v>0</v>
      </c>
      <c r="K23" s="719">
        <f t="shared" si="2"/>
        <v>1075.0419546832222</v>
      </c>
      <c r="L23" s="719">
        <f t="shared" si="2"/>
        <v>0</v>
      </c>
      <c r="M23" s="719">
        <f t="shared" ca="1" si="2"/>
        <v>0</v>
      </c>
      <c r="N23" s="719">
        <f t="shared" si="2"/>
        <v>9245.6643173715584</v>
      </c>
      <c r="O23" s="719">
        <f t="shared" ca="1" si="2"/>
        <v>6363.6142310997948</v>
      </c>
      <c r="P23" s="719">
        <f t="shared" si="2"/>
        <v>64.096666666666678</v>
      </c>
      <c r="Q23" s="720">
        <f t="shared" si="2"/>
        <v>95.333333333333329</v>
      </c>
      <c r="R23" s="721">
        <f ca="1">R20+R15+R22</f>
        <v>517344.59303691669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5905.5622474711163</v>
      </c>
      <c r="D36" s="702">
        <f ca="1">tertiair!C20</f>
        <v>0.63655462184873957</v>
      </c>
      <c r="E36" s="702">
        <f ca="1">tertiair!D20</f>
        <v>4937.7148260675322</v>
      </c>
      <c r="F36" s="702">
        <f>tertiair!E20</f>
        <v>115.95924521569742</v>
      </c>
      <c r="G36" s="702">
        <f ca="1">tertiair!F20</f>
        <v>1241.1767452506156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12201.04961862681</v>
      </c>
    </row>
    <row r="37" spans="1:18">
      <c r="A37" s="873" t="s">
        <v>226</v>
      </c>
      <c r="B37" s="880"/>
      <c r="C37" s="702">
        <f ca="1">huishoudens!B12</f>
        <v>7508.6839374191622</v>
      </c>
      <c r="D37" s="702">
        <f ca="1">huishoudens!C12</f>
        <v>0</v>
      </c>
      <c r="E37" s="702">
        <f>huishoudens!D12</f>
        <v>17552.669581625094</v>
      </c>
      <c r="F37" s="702">
        <f>huishoudens!E12</f>
        <v>95.891300251594529</v>
      </c>
      <c r="G37" s="702">
        <f>huishoudens!F12</f>
        <v>0</v>
      </c>
      <c r="H37" s="702">
        <f>huishoudens!G12</f>
        <v>0</v>
      </c>
      <c r="I37" s="702">
        <f>huishoudens!H12</f>
        <v>0</v>
      </c>
      <c r="J37" s="702">
        <f>huishoudens!I12</f>
        <v>0</v>
      </c>
      <c r="K37" s="702">
        <f>huishoudens!J12</f>
        <v>267.07284741834832</v>
      </c>
      <c r="L37" s="702">
        <f>huishoudens!K12</f>
        <v>0</v>
      </c>
      <c r="M37" s="702">
        <f>huishoudens!L12</f>
        <v>0</v>
      </c>
      <c r="N37" s="702">
        <f>huishoudens!M12</f>
        <v>0</v>
      </c>
      <c r="O37" s="702">
        <f>huishoudens!N12</f>
        <v>0</v>
      </c>
      <c r="P37" s="702">
        <f>huishoudens!O12</f>
        <v>0</v>
      </c>
      <c r="Q37" s="812">
        <f>huishoudens!P12</f>
        <v>0</v>
      </c>
      <c r="R37" s="905">
        <f ca="1">SUM(C37:Q37)</f>
        <v>25424.3176667142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8705.4173695347727</v>
      </c>
      <c r="D39" s="702">
        <f ca="1">industrie!C22</f>
        <v>0</v>
      </c>
      <c r="E39" s="702">
        <f>industrie!D22</f>
        <v>2082.6577886692266</v>
      </c>
      <c r="F39" s="702">
        <f>industrie!E22</f>
        <v>79.735236563873826</v>
      </c>
      <c r="G39" s="702">
        <f>industrie!F22</f>
        <v>2203.7117740171325</v>
      </c>
      <c r="H39" s="702">
        <f>industrie!G22</f>
        <v>0</v>
      </c>
      <c r="I39" s="702">
        <f>industrie!H22</f>
        <v>0</v>
      </c>
      <c r="J39" s="702">
        <f>industrie!I22</f>
        <v>0</v>
      </c>
      <c r="K39" s="702">
        <f>industrie!J22</f>
        <v>81.397783050238644</v>
      </c>
      <c r="L39" s="702">
        <f>industrie!K22</f>
        <v>0</v>
      </c>
      <c r="M39" s="702">
        <f>industrie!L22</f>
        <v>0</v>
      </c>
      <c r="N39" s="702">
        <f>industrie!M22</f>
        <v>0</v>
      </c>
      <c r="O39" s="702">
        <f>industrie!N22</f>
        <v>0</v>
      </c>
      <c r="P39" s="702">
        <f>industrie!O22</f>
        <v>0</v>
      </c>
      <c r="Q39" s="812">
        <f>industrie!P22</f>
        <v>0</v>
      </c>
      <c r="R39" s="906">
        <f ca="1">SUM(C39:Q39)</f>
        <v>13152.919951835245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22119.663554425053</v>
      </c>
      <c r="D41" s="747">
        <f t="shared" ref="D41:R41" ca="1" si="4">SUM(D35:D40)</f>
        <v>0.63655462184873957</v>
      </c>
      <c r="E41" s="747">
        <f t="shared" ca="1" si="4"/>
        <v>24573.04219636185</v>
      </c>
      <c r="F41" s="747">
        <f t="shared" si="4"/>
        <v>291.58578203116576</v>
      </c>
      <c r="G41" s="747">
        <f t="shared" ca="1" si="4"/>
        <v>3444.8885192677481</v>
      </c>
      <c r="H41" s="747">
        <f t="shared" si="4"/>
        <v>0</v>
      </c>
      <c r="I41" s="747">
        <f t="shared" si="4"/>
        <v>0</v>
      </c>
      <c r="J41" s="747">
        <f t="shared" si="4"/>
        <v>0</v>
      </c>
      <c r="K41" s="747">
        <f t="shared" si="4"/>
        <v>348.47063046858693</v>
      </c>
      <c r="L41" s="747">
        <f t="shared" si="4"/>
        <v>0</v>
      </c>
      <c r="M41" s="747">
        <f t="shared" ca="1" si="4"/>
        <v>0</v>
      </c>
      <c r="N41" s="747">
        <f t="shared" si="4"/>
        <v>0</v>
      </c>
      <c r="O41" s="747">
        <f t="shared" ca="1" si="4"/>
        <v>0</v>
      </c>
      <c r="P41" s="747">
        <f t="shared" si="4"/>
        <v>0</v>
      </c>
      <c r="Q41" s="748">
        <f t="shared" si="4"/>
        <v>0</v>
      </c>
      <c r="R41" s="749">
        <f t="shared" ca="1" si="4"/>
        <v>50778.287237176257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230.49496755272415</v>
      </c>
      <c r="D44" s="702">
        <f ca="1">transport!C58</f>
        <v>0</v>
      </c>
      <c r="E44" s="702">
        <f>transport!D58</f>
        <v>0</v>
      </c>
      <c r="F44" s="702">
        <f>transport!E58</f>
        <v>0</v>
      </c>
      <c r="G44" s="702">
        <f>transport!F58</f>
        <v>0</v>
      </c>
      <c r="H44" s="702">
        <f>transport!G58</f>
        <v>315.24739688242164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545.74236443514576</v>
      </c>
    </row>
    <row r="45" spans="1:18" ht="15" thickBot="1">
      <c r="A45" s="876" t="s">
        <v>308</v>
      </c>
      <c r="B45" s="886"/>
      <c r="C45" s="711">
        <f ca="1">transport!B18</f>
        <v>0.32537018638672038</v>
      </c>
      <c r="D45" s="711">
        <f>transport!C18</f>
        <v>0</v>
      </c>
      <c r="E45" s="711">
        <f>transport!D18</f>
        <v>1.3822264220711695</v>
      </c>
      <c r="F45" s="711">
        <f>transport!E18</f>
        <v>188.88115071566489</v>
      </c>
      <c r="G45" s="711">
        <f>transport!F18</f>
        <v>0</v>
      </c>
      <c r="H45" s="711">
        <f>transport!G18</f>
        <v>50026.357580589611</v>
      </c>
      <c r="I45" s="711">
        <f>transport!H18</f>
        <v>5944.4632070229945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56161.409534936727</v>
      </c>
    </row>
    <row r="46" spans="1:18" ht="15.75" thickBot="1">
      <c r="A46" s="874" t="s">
        <v>231</v>
      </c>
      <c r="B46" s="887"/>
      <c r="C46" s="747">
        <f t="shared" ref="C46:R46" ca="1" si="5">SUM(C43:C45)</f>
        <v>230.82033773911087</v>
      </c>
      <c r="D46" s="747">
        <f t="shared" ca="1" si="5"/>
        <v>0</v>
      </c>
      <c r="E46" s="747">
        <f t="shared" si="5"/>
        <v>1.3822264220711695</v>
      </c>
      <c r="F46" s="747">
        <f t="shared" si="5"/>
        <v>188.88115071566489</v>
      </c>
      <c r="G46" s="747">
        <f t="shared" si="5"/>
        <v>0</v>
      </c>
      <c r="H46" s="747">
        <f t="shared" si="5"/>
        <v>50341.60497747203</v>
      </c>
      <c r="I46" s="747">
        <f t="shared" si="5"/>
        <v>5944.4632070229945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56707.151899371871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224.59828637224192</v>
      </c>
      <c r="D48" s="702">
        <f ca="1">+landbouw!C12</f>
        <v>10490.929411764706</v>
      </c>
      <c r="E48" s="702">
        <f>+landbouw!D12</f>
        <v>0</v>
      </c>
      <c r="F48" s="702">
        <f>+landbouw!E12</f>
        <v>2.4131982683237529</v>
      </c>
      <c r="G48" s="702">
        <f>+landbouw!F12</f>
        <v>1392.1251391764504</v>
      </c>
      <c r="H48" s="702">
        <f>+landbouw!G12</f>
        <v>0</v>
      </c>
      <c r="I48" s="702">
        <f>+landbouw!H12</f>
        <v>0</v>
      </c>
      <c r="J48" s="702">
        <f>+landbouw!I12</f>
        <v>0</v>
      </c>
      <c r="K48" s="702">
        <f>+landbouw!J12</f>
        <v>32.094221489273686</v>
      </c>
      <c r="L48" s="702">
        <f>+landbouw!K12</f>
        <v>0</v>
      </c>
      <c r="M48" s="702">
        <f>+landbouw!L12</f>
        <v>0</v>
      </c>
      <c r="N48" s="702">
        <f>+landbouw!M12</f>
        <v>0</v>
      </c>
      <c r="O48" s="702">
        <f>+landbouw!N12</f>
        <v>0</v>
      </c>
      <c r="P48" s="702">
        <f>+landbouw!O12</f>
        <v>0</v>
      </c>
      <c r="Q48" s="703">
        <f>+landbouw!P12</f>
        <v>0</v>
      </c>
      <c r="R48" s="745">
        <f ca="1">SUM(C48:Q48)</f>
        <v>12142.160257070995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22575.082178536406</v>
      </c>
      <c r="D53" s="757">
        <f t="shared" ref="D53:Q53" ca="1" si="6">D41+D46+D48</f>
        <v>10491.565966386555</v>
      </c>
      <c r="E53" s="757">
        <f t="shared" ca="1" si="6"/>
        <v>24574.424422783923</v>
      </c>
      <c r="F53" s="757">
        <f t="shared" si="6"/>
        <v>482.8801310151544</v>
      </c>
      <c r="G53" s="757">
        <f t="shared" ca="1" si="6"/>
        <v>4837.0136584441989</v>
      </c>
      <c r="H53" s="757">
        <f t="shared" si="6"/>
        <v>50341.60497747203</v>
      </c>
      <c r="I53" s="757">
        <f t="shared" si="6"/>
        <v>5944.4632070229945</v>
      </c>
      <c r="J53" s="757">
        <f t="shared" si="6"/>
        <v>0</v>
      </c>
      <c r="K53" s="757">
        <f t="shared" si="6"/>
        <v>380.56485195786064</v>
      </c>
      <c r="L53" s="757">
        <f t="shared" si="6"/>
        <v>0</v>
      </c>
      <c r="M53" s="757">
        <f t="shared" ca="1" si="6"/>
        <v>0</v>
      </c>
      <c r="N53" s="757">
        <f t="shared" si="6"/>
        <v>0</v>
      </c>
      <c r="O53" s="757">
        <f t="shared" ca="1" si="6"/>
        <v>0</v>
      </c>
      <c r="P53" s="757">
        <f>P41+P46+P48</f>
        <v>0</v>
      </c>
      <c r="Q53" s="758">
        <f t="shared" si="6"/>
        <v>0</v>
      </c>
      <c r="R53" s="759">
        <f ca="1">R41+R46+R48</f>
        <v>119627.59939361912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0.22124726070514547</v>
      </c>
      <c r="D55" s="823">
        <f t="shared" ca="1" si="7"/>
        <v>0.23764705882352943</v>
      </c>
      <c r="E55" s="823">
        <f t="shared" ca="1" si="7"/>
        <v>0.20200000000000001</v>
      </c>
      <c r="F55" s="823">
        <f t="shared" si="7"/>
        <v>0.22699999999999998</v>
      </c>
      <c r="G55" s="823">
        <f t="shared" ca="1" si="7"/>
        <v>0.26700000000000007</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2213.6693376584544</v>
      </c>
      <c r="C66" s="779">
        <f>'lokale energieproductie'!B6</f>
        <v>2213.6693376584544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30903.375</v>
      </c>
      <c r="C67" s="778">
        <f>B67*IFERROR(SUM(J67:L67)/SUM(D67:M67),0)</f>
        <v>0</v>
      </c>
      <c r="D67" s="810">
        <f>'lokale energieproductie'!C7</f>
        <v>36356.911764705881</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7344.096176470588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33117.044337658452</v>
      </c>
      <c r="C69" s="787">
        <f>SUM(C64:C68)</f>
        <v>2213.6693376584544</v>
      </c>
      <c r="D69" s="788">
        <f t="shared" ref="D69:M69" si="8">SUM(D67:D68)</f>
        <v>36356.911764705881</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7344.096176470588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44147.678571428572</v>
      </c>
      <c r="C78" s="801">
        <f>B78*IFERROR(SUM(I78:L78)/SUM(D78:M78),0)</f>
        <v>0</v>
      </c>
      <c r="D78" s="816">
        <f>'lokale energieproductie'!C16</f>
        <v>51938.445378151257</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10491.565966386555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44147.678571428572</v>
      </c>
      <c r="C81" s="787">
        <f>SUM(C78:C80)</f>
        <v>0</v>
      </c>
      <c r="D81" s="787">
        <f t="shared" ref="D81:P81" si="9">SUM(D78:D80)</f>
        <v>51938.445378151257</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10491.565966386555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33937.974705259418</v>
      </c>
      <c r="C4" s="461">
        <f>huishoudens!C8</f>
        <v>0</v>
      </c>
      <c r="D4" s="461">
        <f>huishoudens!D8</f>
        <v>86894.40386943116</v>
      </c>
      <c r="E4" s="461">
        <f>huishoudens!E8</f>
        <v>422.42863546957943</v>
      </c>
      <c r="F4" s="461">
        <f>huishoudens!F8</f>
        <v>0</v>
      </c>
      <c r="G4" s="461">
        <f>huishoudens!G8</f>
        <v>0</v>
      </c>
      <c r="H4" s="461">
        <f>huishoudens!H8</f>
        <v>0</v>
      </c>
      <c r="I4" s="461">
        <f>huishoudens!I8</f>
        <v>0</v>
      </c>
      <c r="J4" s="461">
        <f>huishoudens!J8</f>
        <v>754.44307180324392</v>
      </c>
      <c r="K4" s="461">
        <f>huishoudens!K8</f>
        <v>0</v>
      </c>
      <c r="L4" s="461">
        <f>huishoudens!L8</f>
        <v>0</v>
      </c>
      <c r="M4" s="461">
        <f>huishoudens!M8</f>
        <v>0</v>
      </c>
      <c r="N4" s="461">
        <f>huishoudens!N8</f>
        <v>4606.8702312655842</v>
      </c>
      <c r="O4" s="461">
        <f>huishoudens!O8</f>
        <v>64.096666666666678</v>
      </c>
      <c r="P4" s="462">
        <f>huishoudens!P8</f>
        <v>76.266666666666666</v>
      </c>
      <c r="Q4" s="463">
        <f>SUM(B4:P4)</f>
        <v>126756.4838465623</v>
      </c>
    </row>
    <row r="5" spans="1:17">
      <c r="A5" s="460" t="s">
        <v>156</v>
      </c>
      <c r="B5" s="461">
        <f ca="1">tertiair!B16</f>
        <v>25667.426243413895</v>
      </c>
      <c r="C5" s="461">
        <f ca="1">tertiair!C16</f>
        <v>2.6785714285714288</v>
      </c>
      <c r="D5" s="461">
        <f ca="1">tertiair!D16</f>
        <v>24444.132802314514</v>
      </c>
      <c r="E5" s="461">
        <f>tertiair!E16</f>
        <v>510.83367936430579</v>
      </c>
      <c r="F5" s="461">
        <f ca="1">tertiair!F16</f>
        <v>4648.6020421371368</v>
      </c>
      <c r="G5" s="461">
        <f>tertiair!G16</f>
        <v>0</v>
      </c>
      <c r="H5" s="461">
        <f>tertiair!H16</f>
        <v>0</v>
      </c>
      <c r="I5" s="461">
        <f>tertiair!I16</f>
        <v>0</v>
      </c>
      <c r="J5" s="461">
        <f>tertiair!J16</f>
        <v>0</v>
      </c>
      <c r="K5" s="461">
        <f>tertiair!K16</f>
        <v>0</v>
      </c>
      <c r="L5" s="461">
        <f ca="1">tertiair!L16</f>
        <v>0</v>
      </c>
      <c r="M5" s="461">
        <f>tertiair!M16</f>
        <v>0</v>
      </c>
      <c r="N5" s="461">
        <f ca="1">tertiair!N16</f>
        <v>992.85103342150865</v>
      </c>
      <c r="O5" s="461">
        <f>tertiair!O16</f>
        <v>0</v>
      </c>
      <c r="P5" s="462">
        <f>tertiair!P16</f>
        <v>19.066666666666666</v>
      </c>
      <c r="Q5" s="460">
        <f t="shared" ref="Q5:Q13" ca="1" si="0">SUM(B5:P5)</f>
        <v>56285.591038746592</v>
      </c>
    </row>
    <row r="6" spans="1:17">
      <c r="A6" s="460" t="s">
        <v>195</v>
      </c>
      <c r="B6" s="461">
        <f>'openbare verlichting'!B8</f>
        <v>1024.711</v>
      </c>
      <c r="C6" s="461"/>
      <c r="D6" s="461"/>
      <c r="E6" s="461"/>
      <c r="F6" s="461"/>
      <c r="G6" s="461"/>
      <c r="H6" s="461"/>
      <c r="I6" s="461"/>
      <c r="J6" s="461"/>
      <c r="K6" s="461"/>
      <c r="L6" s="461"/>
      <c r="M6" s="461"/>
      <c r="N6" s="461"/>
      <c r="O6" s="461"/>
      <c r="P6" s="462"/>
      <c r="Q6" s="460">
        <f t="shared" si="0"/>
        <v>1024.711</v>
      </c>
    </row>
    <row r="7" spans="1:17">
      <c r="A7" s="460" t="s">
        <v>112</v>
      </c>
      <c r="B7" s="461">
        <f>landbouw!B8</f>
        <v>1015.1460662446906</v>
      </c>
      <c r="C7" s="461">
        <f>landbouw!C8</f>
        <v>44145</v>
      </c>
      <c r="D7" s="461">
        <f>landbouw!D8</f>
        <v>0</v>
      </c>
      <c r="E7" s="461">
        <f>landbouw!E8</f>
        <v>10.630829375875564</v>
      </c>
      <c r="F7" s="461">
        <f>landbouw!F8</f>
        <v>5213.9518321215364</v>
      </c>
      <c r="G7" s="461">
        <f>landbouw!G8</f>
        <v>0</v>
      </c>
      <c r="H7" s="461">
        <f>landbouw!H8</f>
        <v>0</v>
      </c>
      <c r="I7" s="461">
        <f>landbouw!I8</f>
        <v>0</v>
      </c>
      <c r="J7" s="461">
        <f>landbouw!J8</f>
        <v>90.661642625066918</v>
      </c>
      <c r="K7" s="461">
        <f>landbouw!K8</f>
        <v>0</v>
      </c>
      <c r="L7" s="461">
        <f>landbouw!L8</f>
        <v>0</v>
      </c>
      <c r="M7" s="461">
        <f>landbouw!M8</f>
        <v>0</v>
      </c>
      <c r="N7" s="461">
        <f>landbouw!N8</f>
        <v>0</v>
      </c>
      <c r="O7" s="461">
        <f>landbouw!O8</f>
        <v>0</v>
      </c>
      <c r="P7" s="462">
        <f>landbouw!P8</f>
        <v>0</v>
      </c>
      <c r="Q7" s="460">
        <f t="shared" si="0"/>
        <v>50475.390370367175</v>
      </c>
    </row>
    <row r="8" spans="1:17">
      <c r="A8" s="460" t="s">
        <v>656</v>
      </c>
      <c r="B8" s="461">
        <f>industrie!B18</f>
        <v>39347.006339375279</v>
      </c>
      <c r="C8" s="461">
        <f>industrie!C18</f>
        <v>0</v>
      </c>
      <c r="D8" s="461">
        <f>industrie!D18</f>
        <v>10310.187072619932</v>
      </c>
      <c r="E8" s="461">
        <f>industrie!E18</f>
        <v>351.25654873953226</v>
      </c>
      <c r="F8" s="461">
        <f>industrie!F18</f>
        <v>8253.6021498769005</v>
      </c>
      <c r="G8" s="461">
        <f>industrie!G18</f>
        <v>0</v>
      </c>
      <c r="H8" s="461">
        <f>industrie!H18</f>
        <v>0</v>
      </c>
      <c r="I8" s="461">
        <f>industrie!I18</f>
        <v>0</v>
      </c>
      <c r="J8" s="461">
        <f>industrie!J18</f>
        <v>229.93724025491144</v>
      </c>
      <c r="K8" s="461">
        <f>industrie!K18</f>
        <v>0</v>
      </c>
      <c r="L8" s="461">
        <f>industrie!L18</f>
        <v>0</v>
      </c>
      <c r="M8" s="461">
        <f>industrie!M18</f>
        <v>0</v>
      </c>
      <c r="N8" s="461">
        <f>industrie!N18</f>
        <v>763.89296641270198</v>
      </c>
      <c r="O8" s="461">
        <f>industrie!O18</f>
        <v>0</v>
      </c>
      <c r="P8" s="462">
        <f>industrie!P18</f>
        <v>0</v>
      </c>
      <c r="Q8" s="460">
        <f t="shared" si="0"/>
        <v>59255.882317279262</v>
      </c>
    </row>
    <row r="9" spans="1:17" s="466" customFormat="1">
      <c r="A9" s="464" t="s">
        <v>574</v>
      </c>
      <c r="B9" s="465">
        <f>transport!B14</f>
        <v>1.4706179201935465</v>
      </c>
      <c r="C9" s="465">
        <f>transport!C14</f>
        <v>0</v>
      </c>
      <c r="D9" s="465">
        <f>transport!D14</f>
        <v>6.8427050597582646</v>
      </c>
      <c r="E9" s="465">
        <f>transport!E14</f>
        <v>832.07555381350164</v>
      </c>
      <c r="F9" s="465">
        <f>transport!F14</f>
        <v>0</v>
      </c>
      <c r="G9" s="465">
        <f>transport!G14</f>
        <v>187364.63513329442</v>
      </c>
      <c r="H9" s="465">
        <f>transport!H14</f>
        <v>23873.346212943754</v>
      </c>
      <c r="I9" s="465">
        <f>transport!I14</f>
        <v>0</v>
      </c>
      <c r="J9" s="465">
        <f>transport!J14</f>
        <v>0</v>
      </c>
      <c r="K9" s="465">
        <f>transport!K14</f>
        <v>0</v>
      </c>
      <c r="L9" s="465">
        <f>transport!L14</f>
        <v>0</v>
      </c>
      <c r="M9" s="465">
        <f>transport!M14</f>
        <v>9195.3361265694275</v>
      </c>
      <c r="N9" s="465">
        <f>transport!N14</f>
        <v>0</v>
      </c>
      <c r="O9" s="465">
        <f>transport!O14</f>
        <v>0</v>
      </c>
      <c r="P9" s="465">
        <f>transport!P14</f>
        <v>0</v>
      </c>
      <c r="Q9" s="464">
        <f>SUM(B9:P9)</f>
        <v>221273.70634960104</v>
      </c>
    </row>
    <row r="10" spans="1:17">
      <c r="A10" s="460" t="s">
        <v>564</v>
      </c>
      <c r="B10" s="461">
        <f>transport!B54</f>
        <v>1041.7980625753512</v>
      </c>
      <c r="C10" s="461">
        <f>transport!C54</f>
        <v>0</v>
      </c>
      <c r="D10" s="461">
        <f>transport!D54</f>
        <v>0</v>
      </c>
      <c r="E10" s="461">
        <f>transport!E54</f>
        <v>0</v>
      </c>
      <c r="F10" s="461">
        <f>transport!F54</f>
        <v>0</v>
      </c>
      <c r="G10" s="461">
        <f>transport!G54</f>
        <v>1180.7018609828526</v>
      </c>
      <c r="H10" s="461">
        <f>transport!H54</f>
        <v>0</v>
      </c>
      <c r="I10" s="461">
        <f>transport!I54</f>
        <v>0</v>
      </c>
      <c r="J10" s="461">
        <f>transport!J54</f>
        <v>0</v>
      </c>
      <c r="K10" s="461">
        <f>transport!K54</f>
        <v>0</v>
      </c>
      <c r="L10" s="461">
        <f>transport!L54</f>
        <v>0</v>
      </c>
      <c r="M10" s="461">
        <f>transport!M54</f>
        <v>50.328190802131601</v>
      </c>
      <c r="N10" s="461">
        <f>transport!N54</f>
        <v>0</v>
      </c>
      <c r="O10" s="461">
        <f>transport!O54</f>
        <v>0</v>
      </c>
      <c r="P10" s="462">
        <f>transport!P54</f>
        <v>0</v>
      </c>
      <c r="Q10" s="460">
        <f t="shared" si="0"/>
        <v>2272.8281143603353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102035.53303478884</v>
      </c>
      <c r="C14" s="471">
        <f t="shared" ref="C14:Q14" ca="1" si="1">SUM(C4:C13)</f>
        <v>44147.678571428572</v>
      </c>
      <c r="D14" s="471">
        <f t="shared" ca="1" si="1"/>
        <v>121655.56644942536</v>
      </c>
      <c r="E14" s="471">
        <f t="shared" si="1"/>
        <v>2127.225246762795</v>
      </c>
      <c r="F14" s="471">
        <f t="shared" ca="1" si="1"/>
        <v>18116.156024135573</v>
      </c>
      <c r="G14" s="471">
        <f t="shared" si="1"/>
        <v>188545.33699427728</v>
      </c>
      <c r="H14" s="471">
        <f t="shared" si="1"/>
        <v>23873.346212943754</v>
      </c>
      <c r="I14" s="471">
        <f t="shared" si="1"/>
        <v>0</v>
      </c>
      <c r="J14" s="471">
        <f t="shared" si="1"/>
        <v>1075.0419546832222</v>
      </c>
      <c r="K14" s="471">
        <f t="shared" si="1"/>
        <v>0</v>
      </c>
      <c r="L14" s="471">
        <f t="shared" ca="1" si="1"/>
        <v>0</v>
      </c>
      <c r="M14" s="471">
        <f t="shared" si="1"/>
        <v>9245.6643173715584</v>
      </c>
      <c r="N14" s="471">
        <f t="shared" ca="1" si="1"/>
        <v>6363.6142310997948</v>
      </c>
      <c r="O14" s="471">
        <f t="shared" si="1"/>
        <v>64.096666666666678</v>
      </c>
      <c r="P14" s="472">
        <f t="shared" si="1"/>
        <v>95.333333333333329</v>
      </c>
      <c r="Q14" s="472">
        <f t="shared" ca="1" si="1"/>
        <v>517344.59303691669</v>
      </c>
    </row>
    <row r="16" spans="1:17">
      <c r="A16" s="474" t="s">
        <v>569</v>
      </c>
      <c r="B16" s="828">
        <f ca="1">huishoudens!B10</f>
        <v>0.22124726070514544</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7508.6839374191622</v>
      </c>
      <c r="C21" s="461">
        <f t="shared" ref="C21:C30" ca="1" si="3">C4*$C$16</f>
        <v>0</v>
      </c>
      <c r="D21" s="461">
        <f t="shared" ref="D21:D30" si="4">D4*$D$16</f>
        <v>17552.669581625094</v>
      </c>
      <c r="E21" s="461">
        <f t="shared" ref="E21:E30" si="5">E4*$E$16</f>
        <v>95.891300251594529</v>
      </c>
      <c r="F21" s="461">
        <f t="shared" ref="F21:F30" si="6">F4*$F$16</f>
        <v>0</v>
      </c>
      <c r="G21" s="461">
        <f t="shared" ref="G21:G30" si="7">G4*$G$16</f>
        <v>0</v>
      </c>
      <c r="H21" s="461">
        <f t="shared" ref="H21:H30" si="8">H4*$H$16</f>
        <v>0</v>
      </c>
      <c r="I21" s="461">
        <f t="shared" ref="I21:I30" si="9">I4*$I$16</f>
        <v>0</v>
      </c>
      <c r="J21" s="461">
        <f t="shared" ref="J21:J30" si="10">J4*$J$16</f>
        <v>267.07284741834832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25424.3176667142</v>
      </c>
    </row>
    <row r="22" spans="1:17">
      <c r="A22" s="460" t="s">
        <v>156</v>
      </c>
      <c r="B22" s="461">
        <f t="shared" ca="1" si="2"/>
        <v>5678.8477457066856</v>
      </c>
      <c r="C22" s="461">
        <f t="shared" ca="1" si="3"/>
        <v>0.63655462184873957</v>
      </c>
      <c r="D22" s="461">
        <f t="shared" ca="1" si="4"/>
        <v>4937.7148260675322</v>
      </c>
      <c r="E22" s="461">
        <f t="shared" si="5"/>
        <v>115.95924521569742</v>
      </c>
      <c r="F22" s="461">
        <f t="shared" ca="1" si="6"/>
        <v>1241.1767452506156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11974.335116862379</v>
      </c>
    </row>
    <row r="23" spans="1:17">
      <c r="A23" s="460" t="s">
        <v>195</v>
      </c>
      <c r="B23" s="461">
        <f t="shared" ca="1" si="2"/>
        <v>226.71450176443028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226.71450176443028</v>
      </c>
    </row>
    <row r="24" spans="1:17">
      <c r="A24" s="460" t="s">
        <v>112</v>
      </c>
      <c r="B24" s="461">
        <f t="shared" ca="1" si="2"/>
        <v>224.59828637224192</v>
      </c>
      <c r="C24" s="461">
        <f t="shared" ca="1" si="3"/>
        <v>10490.929411764706</v>
      </c>
      <c r="D24" s="461">
        <f t="shared" si="4"/>
        <v>0</v>
      </c>
      <c r="E24" s="461">
        <f t="shared" si="5"/>
        <v>2.4131982683237529</v>
      </c>
      <c r="F24" s="461">
        <f t="shared" si="6"/>
        <v>1392.1251391764504</v>
      </c>
      <c r="G24" s="461">
        <f t="shared" si="7"/>
        <v>0</v>
      </c>
      <c r="H24" s="461">
        <f t="shared" si="8"/>
        <v>0</v>
      </c>
      <c r="I24" s="461">
        <f t="shared" si="9"/>
        <v>0</v>
      </c>
      <c r="J24" s="461">
        <f t="shared" si="10"/>
        <v>32.094221489273686</v>
      </c>
      <c r="K24" s="461">
        <f t="shared" si="11"/>
        <v>0</v>
      </c>
      <c r="L24" s="461">
        <f t="shared" si="12"/>
        <v>0</v>
      </c>
      <c r="M24" s="461">
        <f t="shared" si="13"/>
        <v>0</v>
      </c>
      <c r="N24" s="461">
        <f t="shared" si="14"/>
        <v>0</v>
      </c>
      <c r="O24" s="461">
        <f t="shared" si="15"/>
        <v>0</v>
      </c>
      <c r="P24" s="462">
        <f t="shared" si="16"/>
        <v>0</v>
      </c>
      <c r="Q24" s="460">
        <f t="shared" ca="1" si="17"/>
        <v>12142.160257070995</v>
      </c>
    </row>
    <row r="25" spans="1:17">
      <c r="A25" s="460" t="s">
        <v>656</v>
      </c>
      <c r="B25" s="461">
        <f t="shared" ca="1" si="2"/>
        <v>8705.4173695347727</v>
      </c>
      <c r="C25" s="461">
        <f t="shared" ca="1" si="3"/>
        <v>0</v>
      </c>
      <c r="D25" s="461">
        <f t="shared" si="4"/>
        <v>2082.6577886692266</v>
      </c>
      <c r="E25" s="461">
        <f t="shared" si="5"/>
        <v>79.735236563873826</v>
      </c>
      <c r="F25" s="461">
        <f t="shared" si="6"/>
        <v>2203.7117740171325</v>
      </c>
      <c r="G25" s="461">
        <f t="shared" si="7"/>
        <v>0</v>
      </c>
      <c r="H25" s="461">
        <f t="shared" si="8"/>
        <v>0</v>
      </c>
      <c r="I25" s="461">
        <f t="shared" si="9"/>
        <v>0</v>
      </c>
      <c r="J25" s="461">
        <f t="shared" si="10"/>
        <v>81.397783050238644</v>
      </c>
      <c r="K25" s="461">
        <f t="shared" si="11"/>
        <v>0</v>
      </c>
      <c r="L25" s="461">
        <f t="shared" si="12"/>
        <v>0</v>
      </c>
      <c r="M25" s="461">
        <f t="shared" si="13"/>
        <v>0</v>
      </c>
      <c r="N25" s="461">
        <f t="shared" si="14"/>
        <v>0</v>
      </c>
      <c r="O25" s="461">
        <f t="shared" si="15"/>
        <v>0</v>
      </c>
      <c r="P25" s="462">
        <f t="shared" si="16"/>
        <v>0</v>
      </c>
      <c r="Q25" s="460">
        <f t="shared" ca="1" si="17"/>
        <v>13152.919951835245</v>
      </c>
    </row>
    <row r="26" spans="1:17" s="466" customFormat="1">
      <c r="A26" s="464" t="s">
        <v>574</v>
      </c>
      <c r="B26" s="822">
        <f t="shared" ca="1" si="2"/>
        <v>0.32537018638672038</v>
      </c>
      <c r="C26" s="465">
        <f t="shared" ca="1" si="3"/>
        <v>0</v>
      </c>
      <c r="D26" s="465">
        <f t="shared" si="4"/>
        <v>1.3822264220711695</v>
      </c>
      <c r="E26" s="465">
        <f t="shared" si="5"/>
        <v>188.88115071566489</v>
      </c>
      <c r="F26" s="465">
        <f t="shared" si="6"/>
        <v>0</v>
      </c>
      <c r="G26" s="465">
        <f t="shared" si="7"/>
        <v>50026.357580589611</v>
      </c>
      <c r="H26" s="465">
        <f t="shared" si="8"/>
        <v>5944.4632070229945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56161.409534936727</v>
      </c>
    </row>
    <row r="27" spans="1:17">
      <c r="A27" s="460" t="s">
        <v>564</v>
      </c>
      <c r="B27" s="461">
        <f t="shared" ca="1" si="2"/>
        <v>230.49496755272415</v>
      </c>
      <c r="C27" s="461">
        <f t="shared" ca="1" si="3"/>
        <v>0</v>
      </c>
      <c r="D27" s="461">
        <f t="shared" si="4"/>
        <v>0</v>
      </c>
      <c r="E27" s="461">
        <f t="shared" si="5"/>
        <v>0</v>
      </c>
      <c r="F27" s="461">
        <f t="shared" si="6"/>
        <v>0</v>
      </c>
      <c r="G27" s="461">
        <f t="shared" si="7"/>
        <v>315.24739688242164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545.74236443514576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22575.082178536402</v>
      </c>
      <c r="C31" s="471">
        <f t="shared" ca="1" si="18"/>
        <v>10491.565966386555</v>
      </c>
      <c r="D31" s="471">
        <f t="shared" ca="1" si="18"/>
        <v>24574.424422783923</v>
      </c>
      <c r="E31" s="471">
        <f t="shared" si="18"/>
        <v>482.8801310151544</v>
      </c>
      <c r="F31" s="471">
        <f t="shared" ca="1" si="18"/>
        <v>4837.0136584441989</v>
      </c>
      <c r="G31" s="471">
        <f t="shared" si="18"/>
        <v>50341.60497747203</v>
      </c>
      <c r="H31" s="471">
        <f t="shared" si="18"/>
        <v>5944.4632070229945</v>
      </c>
      <c r="I31" s="471">
        <f t="shared" si="18"/>
        <v>0</v>
      </c>
      <c r="J31" s="471">
        <f t="shared" si="18"/>
        <v>380.5648519578607</v>
      </c>
      <c r="K31" s="471">
        <f t="shared" si="18"/>
        <v>0</v>
      </c>
      <c r="L31" s="471">
        <f t="shared" ca="1" si="18"/>
        <v>0</v>
      </c>
      <c r="M31" s="471">
        <f t="shared" si="18"/>
        <v>0</v>
      </c>
      <c r="N31" s="471">
        <f t="shared" ca="1" si="18"/>
        <v>0</v>
      </c>
      <c r="O31" s="471">
        <f t="shared" si="18"/>
        <v>0</v>
      </c>
      <c r="P31" s="472">
        <f t="shared" si="18"/>
        <v>0</v>
      </c>
      <c r="Q31" s="472">
        <f t="shared" ca="1" si="18"/>
        <v>119627.59939361912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0.22124726070514544</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0.22124726070514544</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0.22124726070514544</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2018-06-27T08:59:23Z</dcterms:modified>
</cp:coreProperties>
</file>