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B16" i="16" s="1"/>
  <c r="M89" i="18"/>
  <c r="W88"/>
  <c r="H8" s="1"/>
  <c r="V88"/>
  <c r="U88"/>
  <c r="T88"/>
  <c r="S88"/>
  <c r="R88"/>
  <c r="Q88"/>
  <c r="P88"/>
  <c r="C8" s="1"/>
  <c r="D68" i="14" s="1"/>
  <c r="O88" i="18"/>
  <c r="N88"/>
  <c r="B8" s="1"/>
  <c r="M88"/>
  <c r="W60"/>
  <c r="V60"/>
  <c r="U60"/>
  <c r="T60"/>
  <c r="S60"/>
  <c r="F6" i="17" s="1"/>
  <c r="R60" i="18"/>
  <c r="Q60"/>
  <c r="P60"/>
  <c r="O60"/>
  <c r="N60"/>
  <c r="M60"/>
  <c r="W59"/>
  <c r="V59"/>
  <c r="U59"/>
  <c r="T59"/>
  <c r="S59"/>
  <c r="R59"/>
  <c r="Q59"/>
  <c r="P59"/>
  <c r="O59"/>
  <c r="C13" i="15" s="1"/>
  <c r="N59" i="18"/>
  <c r="B13" i="15" s="1"/>
  <c r="M59" i="18"/>
  <c r="W58"/>
  <c r="V58"/>
  <c r="U58"/>
  <c r="T58"/>
  <c r="S58"/>
  <c r="R58"/>
  <c r="Q58"/>
  <c r="P5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I17"/>
  <c r="H17"/>
  <c r="I79" i="14" s="1"/>
  <c r="G17" i="18"/>
  <c r="F17"/>
  <c r="G79" i="14" s="1"/>
  <c r="E17" i="18"/>
  <c r="D17"/>
  <c r="C17"/>
  <c r="B17"/>
  <c r="B16"/>
  <c r="B78" i="14" s="1"/>
  <c r="K11" i="18"/>
  <c r="J11"/>
  <c r="I11"/>
  <c r="H11"/>
  <c r="G11"/>
  <c r="F11"/>
  <c r="E11"/>
  <c r="D11"/>
  <c r="C11"/>
  <c r="L8"/>
  <c r="L9" s="1"/>
  <c r="K8"/>
  <c r="K9" s="1"/>
  <c r="I8"/>
  <c r="G8"/>
  <c r="G9" s="1"/>
  <c r="F8"/>
  <c r="F9" s="1"/>
  <c r="E8"/>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J15"/>
  <c r="D15"/>
  <c r="D14"/>
  <c r="D13"/>
  <c r="D12"/>
  <c r="D11"/>
  <c r="B11"/>
  <c r="D10"/>
  <c r="D9"/>
  <c r="E8"/>
  <c r="D8"/>
  <c r="D7"/>
  <c r="D6"/>
  <c r="P5"/>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M79" i="14"/>
  <c r="K79"/>
  <c r="E79"/>
  <c r="B79"/>
  <c r="M78"/>
  <c r="L78"/>
  <c r="H78"/>
  <c r="G78"/>
  <c r="E78"/>
  <c r="J68"/>
  <c r="F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N16" i="16" l="1"/>
  <c r="O80" i="14"/>
  <c r="J8" i="18"/>
  <c r="F13" i="15"/>
  <c r="D6" i="17"/>
  <c r="L68" i="14"/>
  <c r="H68"/>
  <c r="D8" i="17"/>
  <c r="E22" i="14" s="1"/>
  <c r="C97" i="18"/>
  <c r="I100" s="1"/>
  <c r="H7" s="1"/>
  <c r="I67" i="14" s="1"/>
  <c r="F16" i="16"/>
  <c r="D13" i="15"/>
  <c r="D12" i="22"/>
  <c r="E17" i="14"/>
  <c r="D13" i="48"/>
  <c r="D30" s="1"/>
  <c r="D31" i="20"/>
  <c r="E43" i="14" s="1"/>
  <c r="I101" i="18"/>
  <c r="H16" s="1"/>
  <c r="I78" i="14" s="1"/>
  <c r="E101" i="18"/>
  <c r="E16" s="1"/>
  <c r="F78" i="14" s="1"/>
  <c r="F101" i="18"/>
  <c r="H101"/>
  <c r="J16" s="1"/>
  <c r="K78" i="14" s="1"/>
  <c r="K81" s="1"/>
  <c r="D101" i="18"/>
  <c r="G101"/>
  <c r="C101"/>
  <c r="B101"/>
  <c r="C16" s="1"/>
  <c r="D78" i="14" s="1"/>
  <c r="E12" i="22"/>
  <c r="F17" i="14"/>
  <c r="E13" i="48"/>
  <c r="B12" i="22"/>
  <c r="C17" i="14"/>
  <c r="B13" i="48"/>
  <c r="B13" i="16"/>
  <c r="C35"/>
  <c r="C64" i="14"/>
  <c r="D11" i="48"/>
  <c r="D28" s="1"/>
  <c r="D14" i="15"/>
  <c r="K19" i="19"/>
  <c r="L35" i="14" s="1"/>
  <c r="I19" i="19"/>
  <c r="J35" i="14" s="1"/>
  <c r="B6" i="48"/>
  <c r="Q6" s="1"/>
  <c r="P22" i="16"/>
  <c r="Q39" i="14" s="1"/>
  <c r="P18" i="16"/>
  <c r="J8" i="17"/>
  <c r="J7" i="48" s="1"/>
  <c r="J24" s="1"/>
  <c r="G19" i="18"/>
  <c r="K19"/>
  <c r="L16" i="16"/>
  <c r="L18" s="1"/>
  <c r="N6" i="17"/>
  <c r="B81" i="14"/>
  <c r="F100" i="18"/>
  <c r="E31" i="20"/>
  <c r="F43" i="14" s="1"/>
  <c r="H14" i="22"/>
  <c r="F8" i="17"/>
  <c r="G22" i="14" s="1"/>
  <c r="B100" i="18"/>
  <c r="C7" s="1"/>
  <c r="D67" i="14" s="1"/>
  <c r="E9"/>
  <c r="J9"/>
  <c r="J15" s="1"/>
  <c r="N9"/>
  <c r="N15" s="1"/>
  <c r="I11" i="48"/>
  <c r="M11"/>
  <c r="M19" i="19"/>
  <c r="N35" i="14" s="1"/>
  <c r="J7" i="15"/>
  <c r="O5" i="16"/>
  <c r="B7" i="18"/>
  <c r="B67" i="14" s="1"/>
  <c r="C80"/>
  <c r="C16" i="15"/>
  <c r="D10" i="14" s="1"/>
  <c r="L6" i="17"/>
  <c r="N13" i="15"/>
  <c r="L13"/>
  <c r="L16" s="1"/>
  <c r="K5" i="48"/>
  <c r="K22" s="1"/>
  <c r="K20" i="15"/>
  <c r="L36" i="14" s="1"/>
  <c r="G27" i="20"/>
  <c r="G12" i="22" s="1"/>
  <c r="G7"/>
  <c r="G10"/>
  <c r="G6"/>
  <c r="G9"/>
  <c r="G11"/>
  <c r="G8"/>
  <c r="M7"/>
  <c r="M10"/>
  <c r="M8"/>
  <c r="M11"/>
  <c r="M9"/>
  <c r="M6"/>
  <c r="L18" i="14"/>
  <c r="L20" s="1"/>
  <c r="P10" i="48"/>
  <c r="P27" s="1"/>
  <c r="Q18" i="14"/>
  <c r="Q20" s="1"/>
  <c r="G18"/>
  <c r="M27" i="20"/>
  <c r="J11" i="15"/>
  <c r="N7"/>
  <c r="B11"/>
  <c r="N11"/>
  <c r="F11"/>
  <c r="B38" i="13"/>
  <c r="B50" s="1"/>
  <c r="B7" i="15"/>
  <c r="I10" i="48"/>
  <c r="J18" i="14"/>
  <c r="J20" s="1"/>
  <c r="F18"/>
  <c r="E58" i="22"/>
  <c r="F44" i="14" s="1"/>
  <c r="E10" i="48"/>
  <c r="E27" s="1"/>
  <c r="K18" i="14"/>
  <c r="J10" i="48"/>
  <c r="J27" s="1"/>
  <c r="J58" i="22"/>
  <c r="K44" i="14" s="1"/>
  <c r="K46" s="1"/>
  <c r="D18"/>
  <c r="D20" s="1"/>
  <c r="C10" i="48"/>
  <c r="I18" i="14"/>
  <c r="H10" i="48"/>
  <c r="H27" s="1"/>
  <c r="L58" i="22"/>
  <c r="M44" i="14" s="1"/>
  <c r="M46"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C78" i="22"/>
  <c r="E7" i="15"/>
  <c r="Q9" i="14"/>
  <c r="G5" i="48"/>
  <c r="E12" i="15"/>
  <c r="O5"/>
  <c r="O16" s="1"/>
  <c r="M20"/>
  <c r="N36" i="14" s="1"/>
  <c r="N41" s="1"/>
  <c r="N10"/>
  <c r="G20" i="15"/>
  <c r="H36" i="14" s="1"/>
  <c r="H41" s="1"/>
  <c r="H20" i="15"/>
  <c r="I36" i="14" s="1"/>
  <c r="I41" s="1"/>
  <c r="I10"/>
  <c r="I15" s="1"/>
  <c r="C66"/>
  <c r="B66"/>
  <c r="F8" i="16"/>
  <c r="J9"/>
  <c r="B7" i="48"/>
  <c r="C22" i="14"/>
  <c r="C65"/>
  <c r="B65"/>
  <c r="F6" i="15"/>
  <c r="F8"/>
  <c r="N10" i="16"/>
  <c r="E14"/>
  <c r="L41" i="14"/>
  <c r="H15"/>
  <c r="L15"/>
  <c r="H69"/>
  <c r="P20"/>
  <c r="K20"/>
  <c r="G20"/>
  <c r="L69"/>
  <c r="D5" i="15"/>
  <c r="B8"/>
  <c r="J8"/>
  <c r="F12"/>
  <c r="I20"/>
  <c r="J36" i="14" s="1"/>
  <c r="J41" s="1"/>
  <c r="B9" i="16"/>
  <c r="N9"/>
  <c r="E8" i="15"/>
  <c r="B10"/>
  <c r="E9" i="16"/>
  <c r="F12" i="17"/>
  <c r="G48" i="14" s="1"/>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I30"/>
  <c r="I27"/>
  <c r="I26"/>
  <c r="I29"/>
  <c r="K26"/>
  <c r="O29"/>
  <c r="K21"/>
  <c r="G21"/>
  <c r="M16"/>
  <c r="M21" s="1"/>
  <c r="K29"/>
  <c r="B39" i="13"/>
  <c r="B51" s="1"/>
  <c r="F5" s="1"/>
  <c r="F8" s="1"/>
  <c r="G11" i="14" s="1"/>
  <c r="I21" i="48"/>
  <c r="K27"/>
  <c r="G29"/>
  <c r="O21"/>
  <c r="H24"/>
  <c r="L16"/>
  <c r="L29" s="1"/>
  <c r="H21"/>
  <c r="K24"/>
  <c r="K25"/>
  <c r="Q11" i="14"/>
  <c r="P12" i="13"/>
  <c r="Q37" i="14" s="1"/>
  <c r="P4" i="48"/>
  <c r="P21" s="1"/>
  <c r="D12" i="13"/>
  <c r="E37" i="14" s="1"/>
  <c r="D4" i="48"/>
  <c r="D21" s="1"/>
  <c r="E11" i="14"/>
  <c r="F23" i="48"/>
  <c r="J23"/>
  <c r="N23"/>
  <c r="N26"/>
  <c r="H28"/>
  <c r="L28"/>
  <c r="F30"/>
  <c r="J30"/>
  <c r="N30"/>
  <c r="G23"/>
  <c r="K23"/>
  <c r="O23"/>
  <c r="G25"/>
  <c r="F26"/>
  <c r="J26"/>
  <c r="O26"/>
  <c r="F27"/>
  <c r="E28"/>
  <c r="I28"/>
  <c r="D29"/>
  <c r="H29"/>
  <c r="P29"/>
  <c r="K30"/>
  <c r="O30"/>
  <c r="C22" i="13"/>
  <c r="C21"/>
  <c r="C20"/>
  <c r="D23" i="48"/>
  <c r="H23"/>
  <c r="L23"/>
  <c r="P23"/>
  <c r="H25"/>
  <c r="P26"/>
  <c r="F28"/>
  <c r="J28"/>
  <c r="N28"/>
  <c r="L30"/>
  <c r="P30"/>
  <c r="G22"/>
  <c r="E23"/>
  <c r="I23"/>
  <c r="O24"/>
  <c r="I25"/>
  <c r="P11" i="14"/>
  <c r="O12" i="13"/>
  <c r="P37" i="14" s="1"/>
  <c r="B10" i="48"/>
  <c r="C18" i="14"/>
  <c r="F7" i="48"/>
  <c r="F24" s="1"/>
  <c r="P24"/>
  <c r="E5" i="17"/>
  <c r="C8"/>
  <c r="G24" i="48"/>
  <c r="K14"/>
  <c r="I24"/>
  <c r="G81" i="14"/>
  <c r="D79"/>
  <c r="H79"/>
  <c r="H81" s="1"/>
  <c r="L79"/>
  <c r="L81" s="1"/>
  <c r="F79"/>
  <c r="J79"/>
  <c r="E68"/>
  <c r="E69" s="1"/>
  <c r="I68"/>
  <c r="I69" s="1"/>
  <c r="M68"/>
  <c r="M69" s="1"/>
  <c r="D19" i="18"/>
  <c r="L19"/>
  <c r="B68" i="14"/>
  <c r="G68"/>
  <c r="G69" s="1"/>
  <c r="K68"/>
  <c r="E81"/>
  <c r="M81"/>
  <c r="B19" i="18"/>
  <c r="F19"/>
  <c r="D11" i="14"/>
  <c r="C4" i="48"/>
  <c r="M8" i="18"/>
  <c r="M17"/>
  <c r="M18"/>
  <c r="D13" i="14"/>
  <c r="N8" i="17" l="1"/>
  <c r="N5"/>
  <c r="I81" i="14"/>
  <c r="H19" i="18"/>
  <c r="C9"/>
  <c r="H9"/>
  <c r="L21" i="48"/>
  <c r="D7"/>
  <c r="D24" s="1"/>
  <c r="M28"/>
  <c r="C100" i="18"/>
  <c r="I16"/>
  <c r="L5" i="17"/>
  <c r="L8" s="1"/>
  <c r="B35" i="13"/>
  <c r="J12" i="17"/>
  <c r="K48" i="14" s="1"/>
  <c r="E19" i="18"/>
  <c r="F81" i="14"/>
  <c r="D16" i="15"/>
  <c r="D12" i="17"/>
  <c r="E48" i="14" s="1"/>
  <c r="D100" i="18"/>
  <c r="G100"/>
  <c r="G31" i="20"/>
  <c r="H43" i="14" s="1"/>
  <c r="E100" i="18"/>
  <c r="E7" s="1"/>
  <c r="H100"/>
  <c r="O78" i="14"/>
  <c r="D81"/>
  <c r="O79"/>
  <c r="M23" i="48"/>
  <c r="L27"/>
  <c r="B9" i="18"/>
  <c r="M31" i="20"/>
  <c r="N43" i="14" s="1"/>
  <c r="M12" i="22"/>
  <c r="O18" i="16"/>
  <c r="B34" i="13"/>
  <c r="I7" i="18"/>
  <c r="K22" i="14"/>
  <c r="M13"/>
  <c r="L8" i="48"/>
  <c r="L25" s="1"/>
  <c r="L22" i="16"/>
  <c r="M39" i="14" s="1"/>
  <c r="J19" i="18"/>
  <c r="C7" i="48"/>
  <c r="D22" i="14"/>
  <c r="M22" i="48"/>
  <c r="B36" i="13"/>
  <c r="J7" i="18"/>
  <c r="O68" i="14"/>
  <c r="C68"/>
  <c r="F22"/>
  <c r="E8" i="17"/>
  <c r="D69" i="14"/>
  <c r="D18" i="16"/>
  <c r="D22" s="1"/>
  <c r="E39" i="14" s="1"/>
  <c r="M16" i="18"/>
  <c r="M19" s="1"/>
  <c r="C79" i="14"/>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B47" i="13"/>
  <c r="N12" i="16"/>
  <c r="J12"/>
  <c r="F12"/>
  <c r="E12"/>
  <c r="Q11" i="48"/>
  <c r="O5"/>
  <c r="R9" i="14"/>
  <c r="C19"/>
  <c r="C20" s="1"/>
  <c r="E19"/>
  <c r="E20" s="1"/>
  <c r="O28" i="48"/>
  <c r="H22"/>
  <c r="D5"/>
  <c r="D22" s="1"/>
  <c r="B46" i="13"/>
  <c r="E5" s="1"/>
  <c r="E8" s="1"/>
  <c r="E12" s="1"/>
  <c r="F37" i="14" s="1"/>
  <c r="K31" i="48"/>
  <c r="L26"/>
  <c r="B48" i="13"/>
  <c r="C48" s="1"/>
  <c r="N5" s="1"/>
  <c r="N8" s="1"/>
  <c r="N4" i="48" s="1"/>
  <c r="N21" s="1"/>
  <c r="M29"/>
  <c r="M25"/>
  <c r="M24"/>
  <c r="I31"/>
  <c r="C50" i="13"/>
  <c r="J5" s="1"/>
  <c r="J8" s="1"/>
  <c r="E7" i="48"/>
  <c r="E24" s="1"/>
  <c r="E12" i="17"/>
  <c r="F48" i="14" s="1"/>
  <c r="C5" i="48"/>
  <c r="L7" l="1"/>
  <c r="L24" s="1"/>
  <c r="L12" i="17"/>
  <c r="M48" i="14" s="1"/>
  <c r="M22"/>
  <c r="F67"/>
  <c r="E9" i="18"/>
  <c r="J78" i="14"/>
  <c r="I19" i="18"/>
  <c r="E13" i="14"/>
  <c r="E15" s="1"/>
  <c r="E23" s="1"/>
  <c r="C14" i="48"/>
  <c r="O22" i="14"/>
  <c r="N12" i="17"/>
  <c r="O48" i="14" s="1"/>
  <c r="N7" i="48"/>
  <c r="N24" s="1"/>
  <c r="O81" i="14"/>
  <c r="B17" i="6" s="1"/>
  <c r="Q13" i="48"/>
  <c r="D8"/>
  <c r="D25" s="1"/>
  <c r="D31" s="1"/>
  <c r="R22" i="14"/>
  <c r="E20" i="15"/>
  <c r="F36" i="14" s="1"/>
  <c r="E16" i="15"/>
  <c r="K67" i="14"/>
  <c r="K69" s="1"/>
  <c r="J9" i="18"/>
  <c r="J67" i="14"/>
  <c r="I9" i="18"/>
  <c r="M7"/>
  <c r="M9" s="1"/>
  <c r="K10" i="14"/>
  <c r="J16" i="15"/>
  <c r="J20" s="1"/>
  <c r="K36" i="14" s="1"/>
  <c r="O8" i="48"/>
  <c r="O25" s="1"/>
  <c r="P13" i="14"/>
  <c r="P15" s="1"/>
  <c r="P23" s="1"/>
  <c r="M14" i="22"/>
  <c r="M9" i="48" s="1"/>
  <c r="O22" i="16"/>
  <c r="P39" i="14" s="1"/>
  <c r="P41" s="1"/>
  <c r="P53" s="1"/>
  <c r="D18" i="22"/>
  <c r="E45" i="14" s="1"/>
  <c r="E46" s="1"/>
  <c r="E18" i="22"/>
  <c r="F45" i="14" s="1"/>
  <c r="F46" s="1"/>
  <c r="E9" i="48"/>
  <c r="E26" s="1"/>
  <c r="M58" i="22"/>
  <c r="N44" i="14" s="1"/>
  <c r="M10" i="48"/>
  <c r="M27" s="1"/>
  <c r="N18" i="14"/>
  <c r="H31" i="48"/>
  <c r="H14"/>
  <c r="G18" i="22"/>
  <c r="H45" i="14" s="1"/>
  <c r="H19"/>
  <c r="G9" i="48"/>
  <c r="G58" i="22"/>
  <c r="H44" i="14" s="1"/>
  <c r="H18"/>
  <c r="G10" i="48"/>
  <c r="M18" i="22"/>
  <c r="N45" i="14" s="1"/>
  <c r="N19"/>
  <c r="E5" i="48"/>
  <c r="E22" s="1"/>
  <c r="P14"/>
  <c r="F10" i="14"/>
  <c r="B8" i="4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I55" i="14"/>
  <c r="N12" i="13"/>
  <c r="O37" i="14" s="1"/>
  <c r="O11"/>
  <c r="C38" i="13"/>
  <c r="C39"/>
  <c r="C32"/>
  <c r="C34"/>
  <c r="E4" i="48"/>
  <c r="E21" s="1"/>
  <c r="F11" i="14"/>
  <c r="J4" i="48"/>
  <c r="J12" i="13"/>
  <c r="K37" i="14" s="1"/>
  <c r="K11"/>
  <c r="N5" i="48"/>
  <c r="L20" i="15"/>
  <c r="Q7" i="48" l="1"/>
  <c r="L31"/>
  <c r="J5"/>
  <c r="J22" s="1"/>
  <c r="F69" i="14"/>
  <c r="O67"/>
  <c r="J81"/>
  <c r="C78"/>
  <c r="C81" s="1"/>
  <c r="D14" i="48"/>
  <c r="P55" i="14"/>
  <c r="O31" i="48"/>
  <c r="J18" i="16"/>
  <c r="J8" i="48" s="1"/>
  <c r="J25" s="1"/>
  <c r="N18" i="16"/>
  <c r="N8" i="48" s="1"/>
  <c r="E18" i="16"/>
  <c r="E22" s="1"/>
  <c r="F39" i="14" s="1"/>
  <c r="F41" s="1"/>
  <c r="F53" s="1"/>
  <c r="O14" i="48"/>
  <c r="F18" i="16"/>
  <c r="G13" i="14" s="1"/>
  <c r="G15" s="1"/>
  <c r="G23" s="1"/>
  <c r="J69"/>
  <c r="C67"/>
  <c r="C69" s="1"/>
  <c r="B14" i="48"/>
  <c r="R19" i="14"/>
  <c r="N20"/>
  <c r="N23" s="1"/>
  <c r="H46"/>
  <c r="H53" s="1"/>
  <c r="G26" i="48"/>
  <c r="G14"/>
  <c r="G27"/>
  <c r="Q10"/>
  <c r="R18" i="14"/>
  <c r="H20"/>
  <c r="H23" s="1"/>
  <c r="Q9" i="48"/>
  <c r="M26"/>
  <c r="M31" s="1"/>
  <c r="M14"/>
  <c r="N46" i="14"/>
  <c r="N53" s="1"/>
  <c r="F13"/>
  <c r="F15" s="1"/>
  <c r="F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K13" l="1"/>
  <c r="K15" s="1"/>
  <c r="K23" s="1"/>
  <c r="K55" s="1"/>
  <c r="N25" i="48"/>
  <c r="N31" s="1"/>
  <c r="N14"/>
  <c r="E8"/>
  <c r="Q8" s="1"/>
  <c r="Q14" s="1"/>
  <c r="J22" i="16"/>
  <c r="K39" i="14" s="1"/>
  <c r="K41" s="1"/>
  <c r="K53" s="1"/>
  <c r="J31" i="48"/>
  <c r="J14"/>
  <c r="R20" i="14"/>
  <c r="N55"/>
  <c r="H55"/>
  <c r="G31" i="48"/>
  <c r="F55" i="14"/>
  <c r="O53"/>
  <c r="G53"/>
  <c r="G55" s="1"/>
  <c r="O69" s="1"/>
  <c r="B9" i="6" s="1"/>
  <c r="B12" s="1"/>
  <c r="M53" i="14"/>
  <c r="M55" s="1"/>
  <c r="C12" i="13"/>
  <c r="D37" i="14" s="1"/>
  <c r="D41" s="1"/>
  <c r="C23" i="48"/>
  <c r="C24"/>
  <c r="C27"/>
  <c r="C28"/>
  <c r="C22"/>
  <c r="C25"/>
  <c r="C29"/>
  <c r="C21"/>
  <c r="C26"/>
  <c r="F25"/>
  <c r="F31" s="1"/>
  <c r="F14"/>
  <c r="R13" i="14" l="1"/>
  <c r="R15" s="1"/>
  <c r="R23"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D53" i="14"/>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<sst xmlns="http://schemas.openxmlformats.org/spreadsheetml/2006/main" count="2065" uniqueCount="910">
  <si>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</si>
  <si>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</si>
  <si>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</si>
  <si>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</si>
  <si>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</si>
  <si>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</si>
  <si>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</si>
  <si>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</si>
  <si>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</si>
  <si>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</si>
  <si>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</si>
  <si>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</si>
  <si>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</si>
  <si>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</si>
  <si>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</si>
  <si>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</si>
  <si>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</si>
  <si>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</si>
  <si>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</si>
  <si>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</si>
  <si>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</si>
  <si>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</si>
  <si>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</si>
  <si>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</si>
  <si>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</si>
  <si>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</si>
  <si>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</si>
  <si>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</si>
  <si>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</si>
  <si>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</si>
  <si>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</si>
  <si>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</si>
  <si>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</si>
  <si>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</si>
  <si>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</si>
  <si>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</si>
  <si>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</si>
  <si>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</si>
  <si>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</si>
  <si>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</si>
  <si>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</si>
  <si>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</si>
  <si>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</si>
  <si>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</si>
  <si>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</si>
  <si>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</si>
  <si>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</si>
  <si>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</si>
  <si>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</si>
  <si>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</si>
  <si>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</si>
  <si>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</si>
  <si>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</si>
  <si>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</si>
  <si>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</si>
  <si>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</si>
  <si>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</si>
  <si>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</si>
  <si>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</si>
  <si>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</si>
  <si>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</si>
  <si>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</si>
  <si>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</si>
  <si>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</si>
  <si>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</si>
  <si>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</si>
  <si>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</si>
  <si>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</si>
  <si>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</si>
  <si>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</si>
  <si>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</si>
  <si>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</si>
  <si>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</si>
  <si>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</si>
  <si>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</si>
  <si>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</si>
  <si>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</si>
  <si>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</si>
  <si>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</si>
  <si>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</si>
  <si>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</si>
  <si>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</si>
  <si>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</si>
  <si>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</si>
  <si>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</si>
  <si>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</si>
  <si>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</si>
  <si>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</si>
  <si>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</si>
  <si>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</si>
  <si>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</si>
  <si>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</si>
  <si>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</si>
  <si>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</si>
  <si>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</si>
  <si>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</si>
  <si>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</si>
  <si>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</si>
  <si>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</si>
  <si>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</si>
  <si>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</si>
  <si>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</si>
  <si>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</si>
  <si>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</si>
  <si>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</si>
  <si>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</si>
  <si>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</si>
  <si>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</si>
  <si>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</si>
  <si>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</si>
  <si>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</si>
  <si>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</si>
  <si>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</si>
  <si>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</si>
  <si>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</si>
  <si>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</si>
  <si>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</si>
  <si>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</si>
  <si>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</si>
  <si>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</si>
  <si>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</si>
  <si>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</si>
  <si>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</si>
  <si>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</si>
  <si>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</si>
  <si>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</si>
  <si>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</si>
  <si>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</si>
  <si>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</si>
  <si>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</si>
  <si>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</si>
  <si>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</si>
  <si>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</si>
  <si>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</si>
  <si>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</si>
  <si>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</si>
  <si>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</si>
  <si>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</si>
  <si>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</si>
  <si>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</si>
  <si>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</si>
  <si>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</si>
  <si>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</si>
  <si>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</si>
  <si>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</si>
  <si>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</si>
  <si>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</si>
  <si>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</si>
  <si>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</si>
  <si>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</si>
  <si>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</si>
  <si>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</si>
  <si>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</si>
  <si>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</si>
  <si>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</si>
  <si>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</si>
  <si>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</si>
  <si>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</si>
  <si>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</si>
  <si>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</si>
  <si>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</si>
  <si>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</si>
  <si>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</si>
  <si>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</si>
  <si>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</si>
  <si>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</si>
  <si>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</si>
  <si>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</si>
  <si>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</si>
  <si>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</si>
  <si>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</si>
  <si>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</si>
  <si>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</si>
  <si>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</si>
  <si>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</si>
  <si>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</si>
  <si>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</si>
  <si>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</si>
  <si>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</si>
  <si>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</si>
  <si>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</si>
  <si>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</si>
  <si>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</si>
  <si>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</si>
  <si>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</si>
  <si>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</si>
  <si>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</si>
  <si>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</si>
  <si>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</si>
  <si>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</si>
  <si>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</si>
  <si>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</si>
  <si>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</si>
  <si>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</si>
  <si>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</si>
  <si>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</si>
  <si>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</si>
  <si>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</si>
  <si>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</si>
  <si>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</si>
  <si>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</si>
  <si>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</si>
  <si>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</si>
  <si>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</si>
  <si>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</si>
  <si>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</si>
  <si>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</si>
  <si>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</si>
  <si>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</si>
  <si>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</si>
  <si>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</si>
  <si>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</si>
  <si>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</si>
  <si>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</si>
  <si>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</si>
  <si>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</si>
  <si>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</si>
  <si>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</si>
  <si>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</si>
  <si>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</si>
  <si>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</si>
  <si>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</si>
  <si>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</si>
  <si>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</si>
  <si>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</si>
  <si>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</si>
  <si>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</si>
  <si>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</si>
  <si>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</si>
  <si>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</si>
  <si>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</si>
  <si>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</si>
  <si>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</si>
  <si>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</si>
  <si>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</si>
  <si>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</si>
  <si>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</si>
  <si>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</si>
  <si>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</si>
  <si>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</si>
  <si>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</si>
  <si>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</si>
  <si>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</si>
  <si>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</si>
  <si>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</si>
  <si>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</si>
  <si>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</si>
  <si>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</si>
  <si>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</si>
  <si>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</si>
  <si>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</si>
  <si>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</si>
  <si>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</si>
  <si>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</si>
  <si>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</si>
  <si>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</si>
  <si>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</si>
  <si>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</si>
  <si>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</si>
  <si>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</si>
  <si>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</si>
  <si>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</si>
  <si>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</si>
  <si>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</si>
  <si>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</si>
  <si>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</si>
  <si>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</si>
  <si>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</si>
  <si>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</si>
  <si>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</si>
  <si>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</si>
  <si>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</si>
  <si>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</si>
  <si>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</si>
  <si>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</si>
  <si>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</si>
  <si>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</si>
  <si>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</si>
  <si>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</si>
  <si>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</si>
  <si>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</si>
  <si>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</si>
  <si>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</si>
  <si>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</si>
  <si>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</si>
  <si>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</si>
  <si>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</si>
  <si>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</si>
  <si>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</si>
  <si>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</si>
  <si>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</si>
  <si>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</si>
  <si>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</si>
  <si>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</si>
  <si>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</si>
  <si>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</si>
  <si>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</si>
  <si>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</si>
  <si>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</si>
  <si>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</si>
  <si>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</si>
  <si>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</si>
  <si>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</si>
  <si>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</si>
  <si>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</si>
  <si>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</si>
  <si>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</si>
  <si>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</si>
  <si>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</si>
  <si>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</si>
  <si>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</si>
  <si>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</si>
  <si>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</si>
  <si>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</si>
  <si>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</si>
  <si>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</si>
  <si>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</si>
  <si>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</si>
  <si>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</si>
  <si>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</si>
  <si>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</si>
  <si>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</si>
  <si>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</si>
  <si>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</si>
  <si>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</si>
  <si>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</si>
  <si>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</si>
  <si>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</si>
  <si>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</si>
  <si>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</si>
  <si>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</si>
  <si>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</si>
  <si>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</si>
  <si>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</si>
  <si>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</si>
  <si>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</si>
  <si>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</si>
  <si>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</si>
  <si>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</si>
  <si>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</si>
  <si>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</si>
  <si>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</si>
  <si>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</si>
  <si>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</si>
  <si>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</si>
  <si>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</si>
  <si>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</si>
  <si>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</si>
  <si>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</si>
  <si>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</si>
  <si>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</si>
  <si>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</si>
  <si>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</si>
  <si>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</si>
  <si>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</si>
  <si>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</si>
  <si>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</si>
  <si>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</si>
  <si>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</si>
  <si>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</si>
  <si>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</si>
  <si>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</si>
  <si>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</si>
  <si>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</si>
  <si>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</si>
  <si>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</si>
  <si>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</si>
  <si>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</si>
  <si>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</si>
  <si>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</si>
  <si>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</si>
  <si>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</si>
  <si>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</si>
  <si>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</si>
  <si>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</si>
  <si>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</si>
  <si>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</si>
  <si>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</si>
  <si>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</si>
  <si>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</si>
  <si>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</si>
  <si>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</si>
  <si>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</si>
  <si>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</si>
  <si>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</si>
  <si>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</si>
  <si>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</si>
  <si>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</si>
  <si>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</si>
  <si>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</si>
  <si>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</si>
  <si>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</si>
  <si>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</si>
  <si>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</si>
  <si>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</si>
  <si>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</si>
  <si>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</si>
  <si>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</si>
  <si>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</si>
  <si>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</si>
  <si>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</si>
  <si>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</si>
  <si>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</si>
  <si>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</si>
  <si>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</si>
  <si>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</si>
  <si>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</si>
  <si>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</si>
  <si>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</si>
  <si>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</si>
  <si>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</si>
  <si>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</si>
  <si>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</si>
  <si>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</si>
  <si>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</si>
  <si>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</si>
  <si>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</si>
  <si>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</si>
  <si>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</si>
  <si>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</si>
  <si>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</si>
  <si>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</si>
  <si>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</si>
  <si>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</si>
  <si>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</si>
  <si>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</si>
  <si>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</si>
  <si>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</si>
  <si>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</si>
  <si>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</si>
  <si>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</si>
  <si>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</si>
  <si>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</si>
  <si>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</si>
  <si>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</si>
  <si>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</si>
  <si>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</si>
  <si>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</si>
  <si>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</si>
  <si>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</si>
  <si>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</si>
  <si>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</si>
  <si>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</si>
  <si>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</si>
  <si>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</si>
  <si>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</si>
  <si>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</si>
  <si>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</si>
  <si>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</si>
  <si>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</si>
  <si>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</si>
  <si>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</si>
  <si>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</si>
  <si>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</si>
  <si>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</si>
  <si>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</si>
  <si>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</si>
  <si>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</si>
  <si>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</si>
  <si>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</si>
  <si>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</si>
  <si>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</si>
  <si>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</si>
  <si>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</si>
  <si>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</si>
  <si>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</si>
  <si>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</si>
  <si>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</si>
  <si>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</si>
  <si>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</si>
  <si>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</si>
  <si>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</si>
  <si>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</si>
  <si>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</si>
  <si>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</si>
  <si>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</si>
  <si>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</si>
  <si>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</si>
  <si>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</si>
  <si>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</si>
  <si>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</si>
  <si>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</si>
  <si>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</si>
  <si>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</si>
  <si>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</si>
  <si>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</si>
  <si>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</si>
  <si>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</si>
  <si>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</si>
  <si>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</si>
  <si>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</si>
  <si>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</si>
  <si>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</si>
  <si>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</si>
  <si>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</si>
  <si>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</si>
  <si>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</si>
  <si>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</si>
  <si>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</si>
  <si>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</si>
  <si>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</si>
  <si>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</si>
  <si>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</si>
  <si>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</si>
  <si>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</si>
  <si>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</si>
  <si>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</si>
  <si>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</si>
  <si>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</si>
  <si>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</si>
  <si>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</si>
  <si>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</si>
  <si>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</si>
  <si>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</si>
  <si>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</si>
  <si>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</si>
  <si>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</si>
  <si>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</si>
  <si>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</si>
  <si>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</si>
  <si>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</si>
  <si>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</si>
  <si>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</si>
  <si>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</si>
  <si>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</si>
  <si>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</si>
  <si>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</si>
  <si>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</si>
  <si>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</si>
  <si>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</si>
  <si>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</si>
  <si>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</si>
  <si>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</si>
  <si>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</si>
  <si>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</si>
  <si>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</si>
  <si>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</si>
  <si>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</si>
  <si>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</si>
  <si>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</si>
  <si>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</si>
  <si>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</si>
  <si>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</si>
  <si>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</si>
  <si>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</si>
  <si>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</si>
  <si>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</si>
  <si>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</si>
  <si>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</si>
  <si>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</si>
  <si>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</si>
  <si>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</si>
  <si>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</si>
  <si>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</si>
  <si>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</si>
  <si>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</si>
  <si>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</si>
  <si>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</si>
  <si>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</si>
  <si>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</si>
  <si>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</si>
  <si>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</si>
  <si>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</si>
  <si>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</si>
  <si>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</si>
  <si>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</si>
  <si>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</si>
  <si>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</si>
  <si>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</si>
  <si>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</si>
  <si>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</si>
  <si>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</si>
  <si>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</si>
  <si>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</si>
  <si>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</si>
  <si>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</si>
  <si>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</si>
  <si>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</si>
  <si>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</si>
  <si>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</si>
  <si>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</si>
  <si>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</si>
  <si>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</si>
  <si>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</si>
  <si>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</si>
  <si>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</si>
  <si>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</si>
  <si>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</si>
  <si>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</si>
  <si>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</si>
  <si>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</si>
  <si>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</si>
  <si>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</si>
  <si>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</si>
  <si>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</si>
  <si>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</si>
  <si>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</si>
  <si>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</si>
  <si>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</si>
  <si>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</si>
  <si>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</si>
  <si>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</si>
  <si>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</si>
  <si>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</si>
  <si>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</si>
  <si>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</si>
  <si>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</si>
  <si>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</si>
  <si>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</si>
  <si>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</si>
  <si>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</si>
  <si>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</si>
  <si>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</si>
  <si>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</si>
  <si>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</si>
  <si>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</si>
  <si>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</si>
  <si>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</si>
  <si>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</si>
  <si>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</si>
  <si>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</si>
  <si>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</si>
  <si>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</si>
  <si>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</si>
  <si>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</si>
  <si>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</si>
  <si>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</si>
  <si>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</si>
  <si>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</si>
  <si>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</si>
  <si>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</si>
  <si>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</si>
  <si>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</si>
  <si>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</si>
  <si>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</si>
  <si>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</si>
  <si>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</si>
  <si>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</si>
  <si>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</si>
  <si>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</si>
  <si>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</si>
  <si>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</si>
  <si>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</si>
  <si>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</si>
  <si>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</si>
  <si>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</si>
  <si>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</si>
  <si>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</si>
  <si>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</si>
  <si>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</si>
  <si>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</si>
  <si>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</si>
  <si>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</si>
  <si>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</si>
  <si>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</si>
  <si>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</si>
  <si>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</si>
  <si>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</si>
  <si>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</si>
  <si>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</si>
  <si>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</si>
  <si>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</si>
  <si>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</si>
  <si>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</si>
  <si>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</si>
  <si>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</si>
  <si>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</si>
  <si>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</si>
  <si>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</si>
  <si>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</si>
  <si>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</si>
  <si>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</si>
  <si>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</si>
  <si>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</si>
  <si>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</si>
  <si>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</si>
  <si>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</si>
  <si>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</si>
  <si>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</si>
  <si>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</si>
  <si>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</si>
  <si>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</si>
  <si>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</si>
  <si>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</si>
  <si>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</si>
  <si>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</si>
  <si>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</si>
  <si>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</si>
  <si>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</si>
  <si>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</si>
  <si>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</si>
  <si>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</si>
  <si>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</si>
  <si>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</si>
  <si>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</si>
  <si>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</si>
  <si>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</si>
  <si>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</si>
  <si>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</si>
  <si>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</si>
  <si>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</si>
  <si>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</si>
  <si>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</si>
  <si>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</si>
  <si>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</si>
  <si>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</si>
  <si>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</si>
  <si>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</si>
  <si>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</si>
  <si>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</si>
  <si>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</si>
  <si>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</si>
  <si>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</si>
  <si>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</si>
  <si>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</si>
  <si>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</si>
  <si>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</si>
  <si>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</si>
  <si>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</si>
  <si>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</si>
  <si>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</si>
  <si>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</si>
  <si>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</si>
  <si>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</si>
  <si>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</si>
  <si>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</si>
  <si>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</si>
  <si>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</si>
  <si>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</si>
  <si>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</si>
  <si>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</si>
  <si>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</si>
  <si>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</si>
  <si>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</si>
  <si>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</si>
  <si>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</si>
  <si>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</si>
  <si>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</si>
  <si>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</si>
  <si>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</si>
  <si>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</si>
  <si>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</si>
  <si>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</si>
  <si>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</si>
  <si>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</si>
  <si>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</si>
  <si>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</si>
  <si>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</si>
  <si>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</si>
  <si>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</si>
  <si>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</si>
  <si>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</si>
  <si>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</si>
  <si>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</si>
  <si>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</si>
  <si>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</si>
  <si>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</si>
  <si>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</si>
  <si>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</si>
  <si>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</si>
  <si>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</si>
  <si>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</si>
  <si>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</si>
  <si>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</si>
  <si>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</si>
  <si>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</si>
  <si>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</si>
  <si>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</si>
  <si>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</si>
  <si>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</si>
  <si>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</si>
  <si>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</si>
  <si>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</si>
  <si>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</si>
  <si>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</si>
  <si>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</si>
  <si>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</si>
  <si>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</si>
  <si>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</si>
  <si>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</si>
  <si>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</si>
  <si>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</si>
  <si>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</si>
  <si>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</si>
  <si>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</si>
  <si>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</si>
  <si>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</si>
  <si>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</si>
  <si>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</si>
  <si>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</si>
  <si>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</si>
  <si>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</si>
  <si>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</si>
  <si>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</si>
  <si>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</si>
  <si>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</si>
  <si>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</si>
  <si>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</si>
  <si>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</si>
  <si>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</si>
  <si>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</si>
  <si>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</si>
  <si>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</si>
  <si>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</si>
  <si>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</si>
  <si>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</si>
  <si>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</si>
  <si>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</si>
  <si>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</si>
  <si>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</si>
  <si>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</si>
  <si>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</si>
  <si>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</si>
  <si>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</si>
  <si>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</si>
  <si>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</si>
  <si>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</si>
  <si>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</si>
  <si>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</si>
  <si>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</si>
  <si>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</si>
  <si>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</si>
  <si>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</si>
  <si>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</si>
  <si>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</si>
  <si>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</si>
  <si>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</si>
  <si>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</si>
  <si>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</si>
  <si>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</si>
  <si>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</si>
  <si>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</si>
  <si>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</si>
  <si>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</si>
  <si>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</si>
  <si>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</si>
  <si>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</si>
  <si>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</si>
  <si>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</si>
  <si>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</si>
  <si>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</si>
  <si>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</si>
  <si>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</si>
  <si>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</si>
  <si>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</si>
  <si>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</si>
  <si>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</si>
  <si>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</si>
  <si>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</si>
  <si>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</si>
  <si>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</si>
  <si>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</si>
  <si>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</si>
  <si>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</si>
  <si>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</si>
  <si>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</si>
  <si>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</si>
  <si>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</si>
  <si>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</si>
  <si>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</si>
  <si>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</si>
  <si>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</si>
  <si>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</si>
  <si>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</si>
  <si>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</si>
  <si>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</si>
  <si>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</si>
  <si>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</si>
  <si>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</si>
  <si>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</si>
  <si>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</si>
  <si>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</si>
  <si>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</si>
  <si>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</si>
  <si>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</si>
  <si>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</si>
  <si>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</si>
  <si>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</si>
  <si>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</si>
  <si>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</si>
  <si>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</si>
  <si>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</si>
  <si>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</si>
  <si>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</si>
  <si>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</si>
  <si>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11053</t>
  </si>
  <si>
    <t>WUUSTWEZEL</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</si>
  <si>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</si>
  <si>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</si>
  <si>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</si>
  <si>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</si>
  <si>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</si>
  <si>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</si>
  <si>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</si>
  <si>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Vissers Neel</t>
  </si>
  <si>
    <t>Heikenweg 29, 2990 Wuustwezel</t>
  </si>
  <si>
    <t>WKK-0163 Vissers Neel</t>
  </si>
  <si>
    <t>interne verbrandingsmotor</t>
  </si>
  <si>
    <t>WKK interne verbrandinsgmotor (gas)</t>
  </si>
  <si>
    <t>Heikenweg 29, 2990 Loenhout</t>
  </si>
  <si>
    <t>IVEKA</t>
  </si>
  <si>
    <t>De Sprong bvba</t>
  </si>
  <si>
    <t>Heivelden 30, 2990 Wuustwezel</t>
  </si>
  <si>
    <t>WKK-0171 De Sprong</t>
  </si>
  <si>
    <t>Groeikracht de Blackt NV</t>
  </si>
  <si>
    <t>Blaktweg 1, 2990 Loenhout</t>
  </si>
  <si>
    <t>WKK-0066 Groeikracht de Blackt</t>
  </si>
  <si>
    <t>V.W. Tuinderijen bvba</t>
  </si>
  <si>
    <t>Schauwbosweg 10, 2990 Loenhout</t>
  </si>
  <si>
    <t>WKK-0124 V.W. Tuinderijen</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</si>
</sst>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11053</v>
      </c>
      <c r="B6" s="396"/>
      <c r="C6" s="397"/>
    </row>
    <row r="7" spans="1:7" s="394" customFormat="1" ht="15.75" customHeight="1">
      <c r="A7" s="398" t="str">
        <f>txtMunicipality</f>
        <v>WUUSTWEZEL</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11053</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7480</v>
      </c>
      <c r="C9" s="336">
        <v>8404</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5911</v>
      </c>
    </row>
    <row r="15" spans="1:6">
      <c r="A15" s="1194" t="s">
        <v>185</v>
      </c>
      <c r="B15" s="333">
        <v>4880</v>
      </c>
    </row>
    <row r="16" spans="1:6">
      <c r="A16" s="1194" t="s">
        <v>6</v>
      </c>
      <c r="B16" s="333">
        <v>6943</v>
      </c>
    </row>
    <row r="17" spans="1:6">
      <c r="A17" s="1194" t="s">
        <v>7</v>
      </c>
      <c r="B17" s="333">
        <v>1021</v>
      </c>
    </row>
    <row r="18" spans="1:6">
      <c r="A18" s="1194" t="s">
        <v>8</v>
      </c>
      <c r="B18" s="333">
        <v>3984</v>
      </c>
    </row>
    <row r="19" spans="1:6">
      <c r="A19" s="1194" t="s">
        <v>9</v>
      </c>
      <c r="B19" s="333">
        <v>3914</v>
      </c>
    </row>
    <row r="20" spans="1:6">
      <c r="A20" s="1194" t="s">
        <v>10</v>
      </c>
      <c r="B20" s="333">
        <v>2377</v>
      </c>
    </row>
    <row r="21" spans="1:6">
      <c r="A21" s="1194" t="s">
        <v>11</v>
      </c>
      <c r="B21" s="333">
        <v>42232</v>
      </c>
    </row>
    <row r="22" spans="1:6">
      <c r="A22" s="1194" t="s">
        <v>12</v>
      </c>
      <c r="B22" s="333">
        <v>95700</v>
      </c>
    </row>
    <row r="23" spans="1:6">
      <c r="A23" s="1194" t="s">
        <v>13</v>
      </c>
      <c r="B23" s="333">
        <v>1758</v>
      </c>
    </row>
    <row r="24" spans="1:6">
      <c r="A24" s="1194" t="s">
        <v>14</v>
      </c>
      <c r="B24" s="333">
        <v>96</v>
      </c>
    </row>
    <row r="25" spans="1:6">
      <c r="A25" s="1194" t="s">
        <v>15</v>
      </c>
      <c r="B25" s="333">
        <v>11200</v>
      </c>
    </row>
    <row r="26" spans="1:6">
      <c r="A26" s="1194" t="s">
        <v>16</v>
      </c>
      <c r="B26" s="333">
        <v>189</v>
      </c>
    </row>
    <row r="27" spans="1:6">
      <c r="A27" s="1194" t="s">
        <v>17</v>
      </c>
      <c r="B27" s="333">
        <v>961</v>
      </c>
    </row>
    <row r="28" spans="1:6">
      <c r="A28" s="1194" t="s">
        <v>18</v>
      </c>
      <c r="B28" s="333">
        <v>800561</v>
      </c>
    </row>
    <row r="29" spans="1:6">
      <c r="A29" s="1194" t="s">
        <v>888</v>
      </c>
      <c r="B29" s="333">
        <v>334</v>
      </c>
    </row>
    <row r="30" spans="1:6">
      <c r="A30" s="1190" t="s">
        <v>889</v>
      </c>
      <c r="B30" s="1190">
        <v>119</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3</v>
      </c>
      <c r="F35" s="333">
        <v>35282.770994549603</v>
      </c>
    </row>
    <row r="36" spans="1:6">
      <c r="A36" s="1194" t="s">
        <v>25</v>
      </c>
      <c r="B36" s="1194" t="s">
        <v>27</v>
      </c>
      <c r="C36" s="333">
        <v>0</v>
      </c>
      <c r="D36" s="333">
        <v>0</v>
      </c>
      <c r="E36" s="333">
        <v>3</v>
      </c>
      <c r="F36" s="333">
        <v>3670.2738411459</v>
      </c>
    </row>
    <row r="37" spans="1:6">
      <c r="A37" s="1194" t="s">
        <v>25</v>
      </c>
      <c r="B37" s="1194" t="s">
        <v>28</v>
      </c>
      <c r="C37" s="333">
        <v>0</v>
      </c>
      <c r="D37" s="333">
        <v>0</v>
      </c>
      <c r="E37" s="333">
        <v>0</v>
      </c>
      <c r="F37" s="333">
        <v>0</v>
      </c>
    </row>
    <row r="38" spans="1:6">
      <c r="A38" s="1194" t="s">
        <v>25</v>
      </c>
      <c r="B38" s="1194" t="s">
        <v>29</v>
      </c>
      <c r="C38" s="333">
        <v>3</v>
      </c>
      <c r="D38" s="333">
        <v>41149455.410781398</v>
      </c>
      <c r="E38" s="333">
        <v>1</v>
      </c>
      <c r="F38" s="333">
        <v>190239.01196146</v>
      </c>
    </row>
    <row r="39" spans="1:6">
      <c r="A39" s="1194" t="s">
        <v>30</v>
      </c>
      <c r="B39" s="1194" t="s">
        <v>31</v>
      </c>
      <c r="C39" s="333">
        <v>4758</v>
      </c>
      <c r="D39" s="333">
        <v>90154228.394587398</v>
      </c>
      <c r="E39" s="333">
        <v>7188</v>
      </c>
      <c r="F39" s="333">
        <v>38207324.762923896</v>
      </c>
    </row>
    <row r="40" spans="1:6">
      <c r="A40" s="1194" t="s">
        <v>30</v>
      </c>
      <c r="B40" s="1194" t="s">
        <v>29</v>
      </c>
      <c r="C40" s="333">
        <v>0</v>
      </c>
      <c r="D40" s="333">
        <v>0</v>
      </c>
      <c r="E40" s="333">
        <v>0</v>
      </c>
      <c r="F40" s="333">
        <v>0</v>
      </c>
    </row>
    <row r="41" spans="1:6">
      <c r="A41" s="1194" t="s">
        <v>32</v>
      </c>
      <c r="B41" s="1194" t="s">
        <v>33</v>
      </c>
      <c r="C41" s="333">
        <v>58</v>
      </c>
      <c r="D41" s="333">
        <v>1441695.8733152801</v>
      </c>
      <c r="E41" s="333">
        <v>171</v>
      </c>
      <c r="F41" s="333">
        <v>2314478.3714414998</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8</v>
      </c>
      <c r="D44" s="333">
        <v>154795.380791768</v>
      </c>
      <c r="E44" s="333">
        <v>20</v>
      </c>
      <c r="F44" s="333">
        <v>547475.94853369403</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0</v>
      </c>
      <c r="D47" s="333">
        <v>0</v>
      </c>
      <c r="E47" s="333">
        <v>0</v>
      </c>
      <c r="F47" s="333">
        <v>0</v>
      </c>
    </row>
    <row r="48" spans="1:6">
      <c r="A48" s="1194" t="s">
        <v>32</v>
      </c>
      <c r="B48" s="1194" t="s">
        <v>29</v>
      </c>
      <c r="C48" s="333">
        <v>29</v>
      </c>
      <c r="D48" s="333">
        <v>4560024.9817224899</v>
      </c>
      <c r="E48" s="333">
        <v>36</v>
      </c>
      <c r="F48" s="333">
        <v>3332462.3839090201</v>
      </c>
    </row>
    <row r="49" spans="1:6">
      <c r="A49" s="1194" t="s">
        <v>32</v>
      </c>
      <c r="B49" s="1194" t="s">
        <v>40</v>
      </c>
      <c r="C49" s="333">
        <v>0</v>
      </c>
      <c r="D49" s="333">
        <v>0</v>
      </c>
      <c r="E49" s="333">
        <v>0</v>
      </c>
      <c r="F49" s="333">
        <v>0</v>
      </c>
    </row>
    <row r="50" spans="1:6">
      <c r="A50" s="1194" t="s">
        <v>32</v>
      </c>
      <c r="B50" s="1194" t="s">
        <v>41</v>
      </c>
      <c r="C50" s="333">
        <v>6</v>
      </c>
      <c r="D50" s="333">
        <v>552537.859331346</v>
      </c>
      <c r="E50" s="333">
        <v>9</v>
      </c>
      <c r="F50" s="333">
        <v>281936.01250974799</v>
      </c>
    </row>
    <row r="51" spans="1:6">
      <c r="A51" s="1194" t="s">
        <v>42</v>
      </c>
      <c r="B51" s="1194" t="s">
        <v>43</v>
      </c>
      <c r="C51" s="333">
        <v>33</v>
      </c>
      <c r="D51" s="333">
        <v>131928752.512401</v>
      </c>
      <c r="E51" s="333">
        <v>377</v>
      </c>
      <c r="F51" s="333">
        <v>11137946.727882801</v>
      </c>
    </row>
    <row r="52" spans="1:6">
      <c r="A52" s="1194" t="s">
        <v>42</v>
      </c>
      <c r="B52" s="1194" t="s">
        <v>29</v>
      </c>
      <c r="C52" s="333">
        <v>5</v>
      </c>
      <c r="D52" s="333">
        <v>5461200.4300514301</v>
      </c>
      <c r="E52" s="333">
        <v>8</v>
      </c>
      <c r="F52" s="333">
        <v>496120.13533799897</v>
      </c>
    </row>
    <row r="53" spans="1:6">
      <c r="A53" s="1194" t="s">
        <v>44</v>
      </c>
      <c r="B53" s="1194" t="s">
        <v>45</v>
      </c>
      <c r="C53" s="333">
        <v>163</v>
      </c>
      <c r="D53" s="333">
        <v>3325329.2212215601</v>
      </c>
      <c r="E53" s="333">
        <v>295</v>
      </c>
      <c r="F53" s="333">
        <v>1999245.19355641</v>
      </c>
    </row>
    <row r="54" spans="1:6">
      <c r="A54" s="1194" t="s">
        <v>46</v>
      </c>
      <c r="B54" s="1194" t="s">
        <v>47</v>
      </c>
      <c r="C54" s="333">
        <v>0</v>
      </c>
      <c r="D54" s="333">
        <v>0</v>
      </c>
      <c r="E54" s="333">
        <v>1</v>
      </c>
      <c r="F54" s="333">
        <v>1393700</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29</v>
      </c>
      <c r="D57" s="333">
        <v>925762.58687297604</v>
      </c>
      <c r="E57" s="333">
        <v>126</v>
      </c>
      <c r="F57" s="333">
        <v>2203615.02426212</v>
      </c>
    </row>
    <row r="58" spans="1:6">
      <c r="A58" s="1194" t="s">
        <v>49</v>
      </c>
      <c r="B58" s="1194" t="s">
        <v>51</v>
      </c>
      <c r="C58" s="333">
        <v>12</v>
      </c>
      <c r="D58" s="333">
        <v>836662.39752441796</v>
      </c>
      <c r="E58" s="333">
        <v>26</v>
      </c>
      <c r="F58" s="333">
        <v>403137.35866956803</v>
      </c>
    </row>
    <row r="59" spans="1:6">
      <c r="A59" s="1194" t="s">
        <v>49</v>
      </c>
      <c r="B59" s="1194" t="s">
        <v>52</v>
      </c>
      <c r="C59" s="333">
        <v>86</v>
      </c>
      <c r="D59" s="333">
        <v>2791301.8037818898</v>
      </c>
      <c r="E59" s="333">
        <v>188</v>
      </c>
      <c r="F59" s="333">
        <v>4802881.2609818997</v>
      </c>
    </row>
    <row r="60" spans="1:6">
      <c r="A60" s="1194" t="s">
        <v>49</v>
      </c>
      <c r="B60" s="1194" t="s">
        <v>53</v>
      </c>
      <c r="C60" s="333">
        <v>43</v>
      </c>
      <c r="D60" s="333">
        <v>1878271.44790875</v>
      </c>
      <c r="E60" s="333">
        <v>58</v>
      </c>
      <c r="F60" s="333">
        <v>1175727.9688353001</v>
      </c>
    </row>
    <row r="61" spans="1:6">
      <c r="A61" s="1194" t="s">
        <v>49</v>
      </c>
      <c r="B61" s="1194" t="s">
        <v>54</v>
      </c>
      <c r="C61" s="333">
        <v>112</v>
      </c>
      <c r="D61" s="333">
        <v>5481777.46151172</v>
      </c>
      <c r="E61" s="333">
        <v>221</v>
      </c>
      <c r="F61" s="333">
        <v>3334957.4651826299</v>
      </c>
    </row>
    <row r="62" spans="1:6">
      <c r="A62" s="1194" t="s">
        <v>49</v>
      </c>
      <c r="B62" s="1194" t="s">
        <v>55</v>
      </c>
      <c r="C62" s="333">
        <v>11</v>
      </c>
      <c r="D62" s="333">
        <v>1628060.4070424901</v>
      </c>
      <c r="E62" s="333">
        <v>11</v>
      </c>
      <c r="F62" s="333">
        <v>189925.72193195499</v>
      </c>
    </row>
    <row r="63" spans="1:6">
      <c r="A63" s="1194" t="s">
        <v>49</v>
      </c>
      <c r="B63" s="1194" t="s">
        <v>29</v>
      </c>
      <c r="C63" s="333">
        <v>85</v>
      </c>
      <c r="D63" s="333">
        <v>2668865.8941435898</v>
      </c>
      <c r="E63" s="333">
        <v>94</v>
      </c>
      <c r="F63" s="333">
        <v>2214115.96484337</v>
      </c>
    </row>
    <row r="64" spans="1:6">
      <c r="A64" s="1194" t="s">
        <v>56</v>
      </c>
      <c r="B64" s="1194" t="s">
        <v>57</v>
      </c>
      <c r="C64" s="333">
        <v>0</v>
      </c>
      <c r="D64" s="333">
        <v>0</v>
      </c>
      <c r="E64" s="333">
        <v>0</v>
      </c>
      <c r="F64" s="333">
        <v>0</v>
      </c>
    </row>
    <row r="65" spans="1:6">
      <c r="A65" s="1194" t="s">
        <v>56</v>
      </c>
      <c r="B65" s="1194" t="s">
        <v>29</v>
      </c>
      <c r="C65" s="333">
        <v>1</v>
      </c>
      <c r="D65" s="333">
        <v>12864.8234581571</v>
      </c>
      <c r="E65" s="333">
        <v>2</v>
      </c>
      <c r="F65" s="333">
        <v>159304.71280513</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8</v>
      </c>
      <c r="D68" s="333">
        <v>258327.04855469699</v>
      </c>
      <c r="E68" s="333">
        <v>22</v>
      </c>
      <c r="F68" s="333">
        <v>478665.289470708</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68794383</v>
      </c>
      <c r="E73" s="333">
        <v>71417085.865879759</v>
      </c>
      <c r="F73" s="333">
        <v>69048754</v>
      </c>
    </row>
    <row r="74" spans="1:6">
      <c r="A74" s="1194" t="s">
        <v>64</v>
      </c>
      <c r="B74" s="1194" t="s">
        <v>775</v>
      </c>
      <c r="C74" s="1205" t="s">
        <v>776</v>
      </c>
      <c r="D74" s="333">
        <v>4930813.9329169299</v>
      </c>
      <c r="E74" s="333">
        <v>5321146.1952479538</v>
      </c>
      <c r="F74" s="333">
        <v>5084177.7239323882</v>
      </c>
    </row>
    <row r="75" spans="1:6">
      <c r="A75" s="1194" t="s">
        <v>65</v>
      </c>
      <c r="B75" s="1194" t="s">
        <v>773</v>
      </c>
      <c r="C75" s="1205" t="s">
        <v>777</v>
      </c>
      <c r="D75" s="333">
        <v>13359099</v>
      </c>
      <c r="E75" s="333">
        <v>13803917.346296448</v>
      </c>
      <c r="F75" s="333">
        <v>13385022</v>
      </c>
    </row>
    <row r="76" spans="1:6">
      <c r="A76" s="1194" t="s">
        <v>65</v>
      </c>
      <c r="B76" s="1194" t="s">
        <v>775</v>
      </c>
      <c r="C76" s="1205" t="s">
        <v>778</v>
      </c>
      <c r="D76" s="333">
        <v>302078.93291693</v>
      </c>
      <c r="E76" s="333">
        <v>365730.90179776796</v>
      </c>
      <c r="F76" s="333">
        <v>336756.72393238783</v>
      </c>
    </row>
    <row r="77" spans="1:6">
      <c r="A77" s="1194" t="s">
        <v>66</v>
      </c>
      <c r="B77" s="1194" t="s">
        <v>773</v>
      </c>
      <c r="C77" s="1205" t="s">
        <v>779</v>
      </c>
      <c r="D77" s="333">
        <v>93063884</v>
      </c>
      <c r="E77" s="333">
        <v>106731567.66134788</v>
      </c>
      <c r="F77" s="333">
        <v>95818750</v>
      </c>
    </row>
    <row r="78" spans="1:6">
      <c r="A78" s="1190" t="s">
        <v>66</v>
      </c>
      <c r="B78" s="1190" t="s">
        <v>775</v>
      </c>
      <c r="C78" s="1190" t="s">
        <v>780</v>
      </c>
      <c r="D78" s="1190">
        <v>28350350</v>
      </c>
      <c r="E78" s="1190">
        <v>28614396.876292225</v>
      </c>
      <c r="F78" s="336">
        <v>27777602</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585822.13416613999</v>
      </c>
      <c r="C83" s="333">
        <v>540029.85033265315</v>
      </c>
      <c r="D83" s="333">
        <v>546218.55213522434</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2457.0136368154012</v>
      </c>
    </row>
    <row r="92" spans="1:6">
      <c r="A92" s="1190" t="s">
        <v>69</v>
      </c>
      <c r="B92" s="336">
        <v>1878.1432281619389</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3580</v>
      </c>
    </row>
    <row r="98" spans="1:6">
      <c r="A98" s="1194" t="s">
        <v>72</v>
      </c>
      <c r="B98" s="333">
        <v>5</v>
      </c>
    </row>
    <row r="99" spans="1:6">
      <c r="A99" s="1194" t="s">
        <v>73</v>
      </c>
      <c r="B99" s="333">
        <v>229</v>
      </c>
    </row>
    <row r="100" spans="1:6">
      <c r="A100" s="1194" t="s">
        <v>74</v>
      </c>
      <c r="B100" s="333">
        <v>824</v>
      </c>
    </row>
    <row r="101" spans="1:6">
      <c r="A101" s="1194" t="s">
        <v>75</v>
      </c>
      <c r="B101" s="333">
        <v>181</v>
      </c>
    </row>
    <row r="102" spans="1:6">
      <c r="A102" s="1194" t="s">
        <v>76</v>
      </c>
      <c r="B102" s="333">
        <v>79</v>
      </c>
    </row>
    <row r="103" spans="1:6">
      <c r="A103" s="1194" t="s">
        <v>77</v>
      </c>
      <c r="B103" s="333">
        <v>142</v>
      </c>
    </row>
    <row r="104" spans="1:6">
      <c r="A104" s="1194" t="s">
        <v>78</v>
      </c>
      <c r="B104" s="333">
        <v>1224</v>
      </c>
    </row>
    <row r="105" spans="1:6">
      <c r="A105" s="1190" t="s">
        <v>79</v>
      </c>
      <c r="B105" s="1190">
        <v>4</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1</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12</v>
      </c>
      <c r="C123" s="333">
        <v>11</v>
      </c>
    </row>
    <row r="124" spans="1:6">
      <c r="A124" s="1190" t="s">
        <v>89</v>
      </c>
      <c r="B124" s="333">
        <v>2</v>
      </c>
      <c r="C124" s="333">
        <v>1</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43</v>
      </c>
    </row>
    <row r="130" spans="1:6">
      <c r="A130" s="1194" t="s">
        <v>296</v>
      </c>
      <c r="B130" s="333">
        <v>1</v>
      </c>
    </row>
    <row r="131" spans="1:6">
      <c r="A131" s="1194" t="s">
        <v>297</v>
      </c>
      <c r="B131" s="333">
        <v>2</v>
      </c>
    </row>
    <row r="132" spans="1:6">
      <c r="A132" s="1190" t="s">
        <v>298</v>
      </c>
      <c r="B132" s="336">
        <v>16</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74494.217684472678</v>
      </c>
      <c r="C3" s="43" t="s">
        <v>171</v>
      </c>
      <c r="D3" s="43"/>
      <c r="E3" s="156"/>
      <c r="F3" s="43"/>
      <c r="G3" s="43"/>
      <c r="H3" s="43"/>
      <c r="I3" s="43"/>
      <c r="J3" s="43"/>
      <c r="K3" s="96"/>
    </row>
    <row r="4" spans="1:11">
      <c r="A4" s="364" t="s">
        <v>172</v>
      </c>
      <c r="B4" s="49">
        <f>IF(ISERROR('SEAP template'!B69),0,'SEAP template'!B69)</f>
        <v>53538.15686497734</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11692.948235294118</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0.21913429234931284</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16704.211764705884</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70290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0.23764705882352943</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1393.7</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1393.7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0.21913429234931284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305.40746324723733</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38207.324762923898</v>
      </c>
      <c r="C5" s="17">
        <f>IF(ISERROR('Eigen informatie GS &amp; warmtenet'!B57),0,'Eigen informatie GS &amp; warmtenet'!B57)</f>
        <v>0</v>
      </c>
      <c r="D5" s="30">
        <f>(SUM(HH_hh_gas_kWh,HH_rest_gas_kWh)/1000)*0.902</f>
        <v>81319.114011917831</v>
      </c>
      <c r="E5" s="17">
        <f>B46*B57</f>
        <v>9558.3342638799022</v>
      </c>
      <c r="F5" s="17">
        <f>B51*B62</f>
        <v>3734.9849399721516</v>
      </c>
      <c r="G5" s="18"/>
      <c r="H5" s="17"/>
      <c r="I5" s="17"/>
      <c r="J5" s="17">
        <f>B50*B61+C50*C61</f>
        <v>694.20237025241431</v>
      </c>
      <c r="K5" s="17"/>
      <c r="L5" s="17"/>
      <c r="M5" s="17"/>
      <c r="N5" s="17">
        <f>B48*B59+C48*C59</f>
        <v>21858.744188374014</v>
      </c>
      <c r="O5" s="17">
        <f>B69*B70*B71</f>
        <v>85.983333333333334</v>
      </c>
      <c r="P5" s="17">
        <f>B77*B78*B79/1000-B77*B78*B79/1000/B80</f>
        <v>572</v>
      </c>
    </row>
    <row r="6" spans="1:16">
      <c r="A6" s="16" t="s">
        <v>633</v>
      </c>
      <c r="B6" s="830">
        <f>kWh_PV_kleiner_dan_10kW</f>
        <v>2457.0136368154012</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40664.338399739296</v>
      </c>
      <c r="C8" s="21">
        <f>C5</f>
        <v>0</v>
      </c>
      <c r="D8" s="21">
        <f>D5</f>
        <v>81319.114011917831</v>
      </c>
      <c r="E8" s="21">
        <f>E5</f>
        <v>9558.3342638799022</v>
      </c>
      <c r="F8" s="21">
        <f>F5</f>
        <v>3734.9849399721516</v>
      </c>
      <c r="G8" s="21"/>
      <c r="H8" s="21"/>
      <c r="I8" s="21"/>
      <c r="J8" s="21">
        <f>J5</f>
        <v>694.20237025241431</v>
      </c>
      <c r="K8" s="21"/>
      <c r="L8" s="21">
        <f>L5</f>
        <v>0</v>
      </c>
      <c r="M8" s="21">
        <f>M5</f>
        <v>0</v>
      </c>
      <c r="N8" s="21">
        <f>N5</f>
        <v>21858.744188374014</v>
      </c>
      <c r="O8" s="21">
        <f>O5</f>
        <v>85.983333333333334</v>
      </c>
      <c r="P8" s="21">
        <f>P5</f>
        <v>572</v>
      </c>
    </row>
    <row r="9" spans="1:16">
      <c r="B9" s="19"/>
      <c r="C9" s="19"/>
      <c r="D9" s="260"/>
      <c r="E9" s="19"/>
      <c r="F9" s="19"/>
      <c r="G9" s="19"/>
      <c r="H9" s="19"/>
      <c r="I9" s="19"/>
      <c r="J9" s="19"/>
      <c r="K9" s="19"/>
      <c r="L9" s="19"/>
      <c r="M9" s="19"/>
      <c r="N9" s="19"/>
      <c r="O9" s="19"/>
      <c r="P9" s="19"/>
    </row>
    <row r="10" spans="1:16">
      <c r="A10" s="24" t="s">
        <v>215</v>
      </c>
      <c r="B10" s="25">
        <f ca="1">'EF ele_warmte'!B12</f>
        <v>0.21913429234931284</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8910.9510190798592</v>
      </c>
      <c r="C12" s="23">
        <f ca="1">C10*C8</f>
        <v>0</v>
      </c>
      <c r="D12" s="23">
        <f>D8*D10</f>
        <v>16426.461030407401</v>
      </c>
      <c r="E12" s="23">
        <f>E10*E8</f>
        <v>2169.741877900738</v>
      </c>
      <c r="F12" s="23">
        <f>F10*F8</f>
        <v>997.24097897256456</v>
      </c>
      <c r="G12" s="23"/>
      <c r="H12" s="23"/>
      <c r="I12" s="23"/>
      <c r="J12" s="23">
        <f>J10*J8</f>
        <v>245.74763906935465</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3580</v>
      </c>
      <c r="C18" s="167" t="s">
        <v>111</v>
      </c>
      <c r="D18" s="229"/>
      <c r="E18" s="15"/>
    </row>
    <row r="19" spans="1:7">
      <c r="A19" s="172" t="s">
        <v>72</v>
      </c>
      <c r="B19" s="37">
        <f>aantalw2001_ander</f>
        <v>5</v>
      </c>
      <c r="C19" s="167" t="s">
        <v>111</v>
      </c>
      <c r="D19" s="230"/>
      <c r="E19" s="15"/>
    </row>
    <row r="20" spans="1:7">
      <c r="A20" s="172" t="s">
        <v>73</v>
      </c>
      <c r="B20" s="37">
        <f>aantalw2001_propaan</f>
        <v>229</v>
      </c>
      <c r="C20" s="168">
        <f>IF(ISERROR(B20/SUM($B$20,$B$21,$B$22)*100),0,B20/SUM($B$20,$B$21,$B$22)*100)</f>
        <v>18.557536466774714</v>
      </c>
      <c r="D20" s="230"/>
      <c r="E20" s="15"/>
    </row>
    <row r="21" spans="1:7">
      <c r="A21" s="172" t="s">
        <v>74</v>
      </c>
      <c r="B21" s="37">
        <f>aantalw2001_elektriciteit</f>
        <v>824</v>
      </c>
      <c r="C21" s="168">
        <f>IF(ISERROR(B21/SUM($B$20,$B$21,$B$22)*100),0,B21/SUM($B$20,$B$21,$B$22)*100)</f>
        <v>66.774716369529983</v>
      </c>
      <c r="D21" s="230"/>
      <c r="E21" s="15"/>
    </row>
    <row r="22" spans="1:7">
      <c r="A22" s="172" t="s">
        <v>75</v>
      </c>
      <c r="B22" s="37">
        <f>aantalw2001_hout</f>
        <v>181</v>
      </c>
      <c r="C22" s="168">
        <f>IF(ISERROR(B22/SUM($B$20,$B$21,$B$22)*100),0,B22/SUM($B$20,$B$21,$B$22)*100)</f>
        <v>14.667747163695299</v>
      </c>
      <c r="D22" s="230"/>
      <c r="E22" s="15"/>
    </row>
    <row r="23" spans="1:7">
      <c r="A23" s="172" t="s">
        <v>76</v>
      </c>
      <c r="B23" s="37">
        <f>aantalw2001_niet_gespec</f>
        <v>79</v>
      </c>
      <c r="C23" s="167" t="s">
        <v>111</v>
      </c>
      <c r="D23" s="229"/>
      <c r="E23" s="15"/>
    </row>
    <row r="24" spans="1:7">
      <c r="A24" s="172" t="s">
        <v>77</v>
      </c>
      <c r="B24" s="37">
        <f>aantalw2001_steenkool</f>
        <v>142</v>
      </c>
      <c r="C24" s="167" t="s">
        <v>111</v>
      </c>
      <c r="D24" s="230"/>
      <c r="E24" s="15"/>
    </row>
    <row r="25" spans="1:7">
      <c r="A25" s="172" t="s">
        <v>78</v>
      </c>
      <c r="B25" s="37">
        <f>aantalw2001_stookolie</f>
        <v>1224</v>
      </c>
      <c r="C25" s="167" t="s">
        <v>111</v>
      </c>
      <c r="D25" s="229"/>
      <c r="E25" s="52"/>
    </row>
    <row r="26" spans="1:7">
      <c r="A26" s="172" t="s">
        <v>79</v>
      </c>
      <c r="B26" s="37">
        <f>aantalw2001_WP</f>
        <v>4</v>
      </c>
      <c r="C26" s="167" t="s">
        <v>111</v>
      </c>
      <c r="D26" s="229"/>
      <c r="E26" s="15"/>
    </row>
    <row r="27" spans="1:7" s="15" customFormat="1">
      <c r="A27" s="172"/>
      <c r="B27" s="29"/>
      <c r="C27" s="36"/>
      <c r="D27" s="229"/>
    </row>
    <row r="28" spans="1:7" s="15" customFormat="1">
      <c r="A28" s="231" t="s">
        <v>713</v>
      </c>
      <c r="B28" s="37">
        <f>aantalHuishoudens2011</f>
        <v>7480</v>
      </c>
      <c r="C28" s="36"/>
      <c r="D28" s="229"/>
    </row>
    <row r="29" spans="1:7" s="15" customFormat="1">
      <c r="A29" s="231" t="s">
        <v>714</v>
      </c>
      <c r="B29" s="37">
        <f>SUM(HH_hh_gas_aantal,HH_rest_gas_aantal)</f>
        <v>4758</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4758</v>
      </c>
      <c r="C32" s="168">
        <f>IF(ISERROR(B32/SUM($B$32,$B$34,$B$35,$B$36,$B$38,$B$39)*100),0,B32/SUM($B$32,$B$34,$B$35,$B$36,$B$38,$B$39)*100)</f>
        <v>63.865771812080538</v>
      </c>
      <c r="D32" s="234"/>
      <c r="G32" s="15"/>
    </row>
    <row r="33" spans="1:7">
      <c r="A33" s="172" t="s">
        <v>72</v>
      </c>
      <c r="B33" s="34" t="s">
        <v>111</v>
      </c>
      <c r="C33" s="168"/>
      <c r="D33" s="234"/>
      <c r="G33" s="15"/>
    </row>
    <row r="34" spans="1:7">
      <c r="A34" s="172" t="s">
        <v>73</v>
      </c>
      <c r="B34" s="33">
        <f>IF((($B$28-$B$32-$B$39-$B$77-$B$38)*C20/100)&lt;0,0,($B$28-$B$32-$B$39-$B$77-$B$38)*C20/100)</f>
        <v>464.68071312803886</v>
      </c>
      <c r="C34" s="168">
        <f>IF(ISERROR(B34/SUM($B$32,$B$34,$B$35,$B$36,$B$38,$B$39)*100),0,B34/SUM($B$32,$B$34,$B$35,$B$36,$B$38,$B$39)*100)</f>
        <v>6.2373250084300524</v>
      </c>
      <c r="D34" s="234"/>
      <c r="G34" s="15"/>
    </row>
    <row r="35" spans="1:7">
      <c r="A35" s="172" t="s">
        <v>74</v>
      </c>
      <c r="B35" s="33">
        <f>IF((($B$28-$B$32-$B$39-$B$77-$B$38)*C21/100)&lt;0,0,($B$28-$B$32-$B$39-$B$77-$B$38)*C21/100)</f>
        <v>1672.0388978930307</v>
      </c>
      <c r="C35" s="168">
        <f>IF(ISERROR(B35/SUM($B$32,$B$34,$B$35,$B$36,$B$38,$B$39)*100),0,B35/SUM($B$32,$B$34,$B$35,$B$36,$B$38,$B$39)*100)</f>
        <v>22.443475139503771</v>
      </c>
      <c r="D35" s="234"/>
      <c r="G35" s="15"/>
    </row>
    <row r="36" spans="1:7">
      <c r="A36" s="172" t="s">
        <v>75</v>
      </c>
      <c r="B36" s="33">
        <f>IF((($B$28-$B$32-$B$39-$B$77-$B$38)*C22/100)&lt;0,0,($B$28-$B$32-$B$39-$B$77-$B$38)*C22/100)</f>
        <v>367.28038897893026</v>
      </c>
      <c r="C36" s="168">
        <f>IF(ISERROR(B36/SUM($B$32,$B$34,$B$35,$B$36,$B$38,$B$39)*100),0,B36/SUM($B$32,$B$34,$B$35,$B$36,$B$38,$B$39)*100)</f>
        <v>4.9299381070997361</v>
      </c>
      <c r="D36" s="234"/>
      <c r="G36" s="15"/>
    </row>
    <row r="37" spans="1:7">
      <c r="A37" s="172" t="s">
        <v>76</v>
      </c>
      <c r="B37" s="34" t="s">
        <v>111</v>
      </c>
      <c r="C37" s="168"/>
      <c r="D37" s="174"/>
      <c r="G37" s="15"/>
    </row>
    <row r="38" spans="1:7">
      <c r="A38" s="172" t="s">
        <v>77</v>
      </c>
      <c r="B38" s="33">
        <f>IF((B24-(B29-B18)*0.1)&lt;0,0,B24-(B29-B18)*0.1)</f>
        <v>24.199999999999989</v>
      </c>
      <c r="C38" s="168">
        <f>IF(ISERROR(B38/SUM($B$32,$B$34,$B$35,$B$36,$B$38,$B$39)*100),0,B38/SUM($B$32,$B$34,$B$35,$B$36,$B$38,$B$39)*100)</f>
        <v>0.32483221476510055</v>
      </c>
      <c r="D38" s="235"/>
      <c r="G38" s="15"/>
    </row>
    <row r="39" spans="1:7">
      <c r="A39" s="172" t="s">
        <v>78</v>
      </c>
      <c r="B39" s="33">
        <f>IF((B25-(B29-B18))&lt;0,0,B25-(B29-B18)*0.9)</f>
        <v>163.79999999999995</v>
      </c>
      <c r="C39" s="168">
        <f>IF(ISERROR(B39/SUM($B$32,$B$34,$B$35,$B$36,$B$38,$B$39)*100),0,B39/SUM($B$32,$B$34,$B$35,$B$36,$B$38,$B$39)*100)</f>
        <v>2.1986577181208049</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4758</v>
      </c>
      <c r="C44" s="34" t="s">
        <v>111</v>
      </c>
      <c r="D44" s="175"/>
    </row>
    <row r="45" spans="1:7">
      <c r="A45" s="172" t="s">
        <v>72</v>
      </c>
      <c r="B45" s="33" t="str">
        <f t="shared" si="0"/>
        <v>-</v>
      </c>
      <c r="C45" s="34" t="s">
        <v>111</v>
      </c>
      <c r="D45" s="175"/>
    </row>
    <row r="46" spans="1:7">
      <c r="A46" s="172" t="s">
        <v>73</v>
      </c>
      <c r="B46" s="33">
        <f t="shared" si="0"/>
        <v>464.68071312803886</v>
      </c>
      <c r="C46" s="34" t="s">
        <v>111</v>
      </c>
      <c r="D46" s="175"/>
    </row>
    <row r="47" spans="1:7">
      <c r="A47" s="172" t="s">
        <v>74</v>
      </c>
      <c r="B47" s="33">
        <f t="shared" si="0"/>
        <v>1672.0388978930307</v>
      </c>
      <c r="C47" s="34" t="s">
        <v>111</v>
      </c>
      <c r="D47" s="175"/>
    </row>
    <row r="48" spans="1:7">
      <c r="A48" s="172" t="s">
        <v>75</v>
      </c>
      <c r="B48" s="33">
        <f t="shared" si="0"/>
        <v>367.28038897893026</v>
      </c>
      <c r="C48" s="33">
        <f>B48*10</f>
        <v>3672.8038897893025</v>
      </c>
      <c r="D48" s="235"/>
    </row>
    <row r="49" spans="1:6">
      <c r="A49" s="172" t="s">
        <v>76</v>
      </c>
      <c r="B49" s="33" t="str">
        <f t="shared" si="0"/>
        <v>-</v>
      </c>
      <c r="C49" s="34" t="s">
        <v>111</v>
      </c>
      <c r="D49" s="235"/>
    </row>
    <row r="50" spans="1:6">
      <c r="A50" s="172" t="s">
        <v>77</v>
      </c>
      <c r="B50" s="33">
        <f t="shared" si="0"/>
        <v>24.199999999999989</v>
      </c>
      <c r="C50" s="33">
        <f>B50*2</f>
        <v>48.399999999999977</v>
      </c>
      <c r="D50" s="235"/>
    </row>
    <row r="51" spans="1:6">
      <c r="A51" s="172" t="s">
        <v>78</v>
      </c>
      <c r="B51" s="33">
        <f t="shared" si="0"/>
        <v>163.79999999999995</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55</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30</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14324.360764706844</v>
      </c>
      <c r="C5" s="17">
        <f>IF(ISERROR('Eigen informatie GS &amp; warmtenet'!B58),0,'Eigen informatie GS &amp; warmtenet'!B58)</f>
        <v>0</v>
      </c>
      <c r="D5" s="30">
        <f>SUM(D6:D12)</f>
        <v>14622.053202904823</v>
      </c>
      <c r="E5" s="17">
        <f>SUM(E6:E12)</f>
        <v>268.95221176628883</v>
      </c>
      <c r="F5" s="17">
        <f>SUM(F6:F12)</f>
        <v>2708.8200790793981</v>
      </c>
      <c r="G5" s="18"/>
      <c r="H5" s="17"/>
      <c r="I5" s="17"/>
      <c r="J5" s="17">
        <f>SUM(J6:J12)</f>
        <v>0</v>
      </c>
      <c r="K5" s="17"/>
      <c r="L5" s="17"/>
      <c r="M5" s="17"/>
      <c r="N5" s="17">
        <f>SUM(N6:N12)</f>
        <v>602.75241230453651</v>
      </c>
      <c r="O5" s="17">
        <f>B38*B39*B40</f>
        <v>1.5633333333333335</v>
      </c>
      <c r="P5" s="17">
        <f>B46*B47*B48/1000-B46*B47*B48/1000/B49</f>
        <v>38.133333333333333</v>
      </c>
      <c r="R5" s="32"/>
    </row>
    <row r="6" spans="1:18">
      <c r="A6" s="32" t="s">
        <v>54</v>
      </c>
      <c r="B6" s="37">
        <f>B26</f>
        <v>3334.9574651826297</v>
      </c>
      <c r="C6" s="33"/>
      <c r="D6" s="37">
        <f>IF(ISERROR(TER_kantoor_gas_kWh/1000),0,TER_kantoor_gas_kWh/1000)*0.902</f>
        <v>4944.563270283571</v>
      </c>
      <c r="E6" s="33">
        <f>$C$26*'E Balans VL '!I12/100/3.6*1000000</f>
        <v>116.73663015909936</v>
      </c>
      <c r="F6" s="33">
        <f>$C$26*('E Balans VL '!L12+'E Balans VL '!N12)/100/3.6*1000000</f>
        <v>505.6511525568402</v>
      </c>
      <c r="G6" s="34"/>
      <c r="H6" s="33"/>
      <c r="I6" s="33"/>
      <c r="J6" s="33">
        <f>$C$26*('E Balans VL '!D12+'E Balans VL '!E12)/100/3.6*1000000</f>
        <v>0</v>
      </c>
      <c r="K6" s="33"/>
      <c r="L6" s="33"/>
      <c r="M6" s="33"/>
      <c r="N6" s="33">
        <f>$C$26*'E Balans VL '!Y12/100/3.6*1000000</f>
        <v>25.778177392902144</v>
      </c>
      <c r="O6" s="33"/>
      <c r="P6" s="33"/>
      <c r="R6" s="32"/>
    </row>
    <row r="7" spans="1:18">
      <c r="A7" s="32" t="s">
        <v>53</v>
      </c>
      <c r="B7" s="37">
        <f t="shared" ref="B7:B12" si="0">B27</f>
        <v>1175.7279688353001</v>
      </c>
      <c r="C7" s="33"/>
      <c r="D7" s="37">
        <f>IF(ISERROR(TER_horeca_gas_kWh/1000),0,TER_horeca_gas_kWh/1000)*0.902</f>
        <v>1694.2008460136926</v>
      </c>
      <c r="E7" s="33">
        <f>$C$27*'E Balans VL '!I9/100/3.6*1000000</f>
        <v>66.326690816924611</v>
      </c>
      <c r="F7" s="33">
        <f>$C$27*('E Balans VL '!L9+'E Balans VL '!N9)/100/3.6*1000000</f>
        <v>204.81831873322918</v>
      </c>
      <c r="G7" s="34"/>
      <c r="H7" s="33"/>
      <c r="I7" s="33"/>
      <c r="J7" s="33">
        <f>$C$27*('E Balans VL '!D9+'E Balans VL '!E9)/100/3.6*1000000</f>
        <v>0</v>
      </c>
      <c r="K7" s="33"/>
      <c r="L7" s="33"/>
      <c r="M7" s="33"/>
      <c r="N7" s="33">
        <f>$C$27*'E Balans VL '!Y9/100/3.6*1000000</f>
        <v>0</v>
      </c>
      <c r="O7" s="33"/>
      <c r="P7" s="33"/>
      <c r="R7" s="32"/>
    </row>
    <row r="8" spans="1:18">
      <c r="A8" s="6" t="s">
        <v>52</v>
      </c>
      <c r="B8" s="37">
        <f t="shared" si="0"/>
        <v>4802.8812609818997</v>
      </c>
      <c r="C8" s="33"/>
      <c r="D8" s="37">
        <f>IF(ISERROR(TER_handel_gas_kWh/1000),0,TER_handel_gas_kWh/1000)*0.902</f>
        <v>2517.7542270112644</v>
      </c>
      <c r="E8" s="33">
        <f>$C$28*'E Balans VL '!I13/100/3.6*1000000</f>
        <v>24.657504428222111</v>
      </c>
      <c r="F8" s="33">
        <f>$C$28*('E Balans VL '!L13+'E Balans VL '!N13)/100/3.6*1000000</f>
        <v>740.53007830971887</v>
      </c>
      <c r="G8" s="34"/>
      <c r="H8" s="33"/>
      <c r="I8" s="33"/>
      <c r="J8" s="33">
        <f>$C$28*('E Balans VL '!D13+'E Balans VL '!E13)/100/3.6*1000000</f>
        <v>0</v>
      </c>
      <c r="K8" s="33"/>
      <c r="L8" s="33"/>
      <c r="M8" s="33"/>
      <c r="N8" s="33">
        <f>$C$28*'E Balans VL '!Y13/100/3.6*1000000</f>
        <v>2.2463661928184466</v>
      </c>
      <c r="O8" s="33"/>
      <c r="P8" s="33"/>
      <c r="R8" s="32"/>
    </row>
    <row r="9" spans="1:18">
      <c r="A9" s="32" t="s">
        <v>51</v>
      </c>
      <c r="B9" s="37">
        <f t="shared" si="0"/>
        <v>403.13735866956802</v>
      </c>
      <c r="C9" s="33"/>
      <c r="D9" s="37">
        <f>IF(ISERROR(TER_gezond_gas_kWh/1000),0,TER_gezond_gas_kWh/1000)*0.902</f>
        <v>754.66948256702506</v>
      </c>
      <c r="E9" s="33">
        <f>$C$29*'E Balans VL '!I10/100/3.6*1000000</f>
        <v>0.167097564127165</v>
      </c>
      <c r="F9" s="33">
        <f>$C$29*('E Balans VL '!L10+'E Balans VL '!N10)/100/3.6*1000000</f>
        <v>99.286949679347586</v>
      </c>
      <c r="G9" s="34"/>
      <c r="H9" s="33"/>
      <c r="I9" s="33"/>
      <c r="J9" s="33">
        <f>$C$29*('E Balans VL '!D10+'E Balans VL '!E10)/100/3.6*1000000</f>
        <v>0</v>
      </c>
      <c r="K9" s="33"/>
      <c r="L9" s="33"/>
      <c r="M9" s="33"/>
      <c r="N9" s="33">
        <f>$C$29*'E Balans VL '!Y10/100/3.6*1000000</f>
        <v>3.4841045943074533</v>
      </c>
      <c r="O9" s="33"/>
      <c r="P9" s="33"/>
      <c r="R9" s="32"/>
    </row>
    <row r="10" spans="1:18">
      <c r="A10" s="32" t="s">
        <v>50</v>
      </c>
      <c r="B10" s="37">
        <f t="shared" si="0"/>
        <v>2203.6150242621202</v>
      </c>
      <c r="C10" s="33"/>
      <c r="D10" s="37">
        <f>IF(ISERROR(TER_ander_gas_kWh/1000),0,TER_ander_gas_kWh/1000)*0.902</f>
        <v>835.03785335942439</v>
      </c>
      <c r="E10" s="33">
        <f>$C$30*'E Balans VL '!I14/100/3.6*1000000</f>
        <v>13.433291557028676</v>
      </c>
      <c r="F10" s="33">
        <f>$C$30*('E Balans VL '!L14+'E Balans VL '!N14)/100/3.6*1000000</f>
        <v>584.20852903356206</v>
      </c>
      <c r="G10" s="34"/>
      <c r="H10" s="33"/>
      <c r="I10" s="33"/>
      <c r="J10" s="33">
        <f>$C$30*('E Balans VL '!D14+'E Balans VL '!E14)/100/3.6*1000000</f>
        <v>0</v>
      </c>
      <c r="K10" s="33"/>
      <c r="L10" s="33"/>
      <c r="M10" s="33"/>
      <c r="N10" s="33">
        <f>$C$30*'E Balans VL '!Y14/100/3.6*1000000</f>
        <v>507.88564647652817</v>
      </c>
      <c r="O10" s="33"/>
      <c r="P10" s="33"/>
      <c r="R10" s="32"/>
    </row>
    <row r="11" spans="1:18">
      <c r="A11" s="32" t="s">
        <v>55</v>
      </c>
      <c r="B11" s="37">
        <f t="shared" si="0"/>
        <v>189.925721931955</v>
      </c>
      <c r="C11" s="33"/>
      <c r="D11" s="37">
        <f>IF(ISERROR(TER_onderwijs_gas_kWh/1000),0,TER_onderwijs_gas_kWh/1000)*0.902</f>
        <v>1468.5104871523263</v>
      </c>
      <c r="E11" s="33">
        <f>$C$31*'E Balans VL '!I11/100/3.6*1000000</f>
        <v>0.14473328964896712</v>
      </c>
      <c r="F11" s="33">
        <f>$C$31*('E Balans VL '!L11+'E Balans VL '!N11)/100/3.6*1000000</f>
        <v>137.44066075259391</v>
      </c>
      <c r="G11" s="34"/>
      <c r="H11" s="33"/>
      <c r="I11" s="33"/>
      <c r="J11" s="33">
        <f>$C$31*('E Balans VL '!D11+'E Balans VL '!E11)/100/3.6*1000000</f>
        <v>0</v>
      </c>
      <c r="K11" s="33"/>
      <c r="L11" s="33"/>
      <c r="M11" s="33"/>
      <c r="N11" s="33">
        <f>$C$31*'E Balans VL '!Y11/100/3.6*1000000</f>
        <v>0.55975649395389238</v>
      </c>
      <c r="O11" s="33"/>
      <c r="P11" s="33"/>
      <c r="R11" s="32"/>
    </row>
    <row r="12" spans="1:18">
      <c r="A12" s="32" t="s">
        <v>261</v>
      </c>
      <c r="B12" s="37">
        <f t="shared" si="0"/>
        <v>2214.11596484337</v>
      </c>
      <c r="C12" s="33"/>
      <c r="D12" s="37">
        <f>IF(ISERROR(TER_rest_gas_kWh/1000),0,TER_rest_gas_kWh/1000)*0.902</f>
        <v>2407.3170365175179</v>
      </c>
      <c r="E12" s="33">
        <f>$C$32*'E Balans VL '!I8/100/3.6*1000000</f>
        <v>47.486263951237881</v>
      </c>
      <c r="F12" s="33">
        <f>$C$32*('E Balans VL '!L8+'E Balans VL '!N8)/100/3.6*1000000</f>
        <v>436.8843900141062</v>
      </c>
      <c r="G12" s="34"/>
      <c r="H12" s="33"/>
      <c r="I12" s="33"/>
      <c r="J12" s="33">
        <f>$C$32*('E Balans VL '!D8+'E Balans VL '!E8)/100/3.6*1000000</f>
        <v>0</v>
      </c>
      <c r="K12" s="33"/>
      <c r="L12" s="33"/>
      <c r="M12" s="33"/>
      <c r="N12" s="33">
        <f>$C$32*'E Balans VL '!Y8/100/3.6*1000000</f>
        <v>62.798361154026502</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14324.360764706844</v>
      </c>
      <c r="C16" s="21">
        <f ca="1">C5+C13+C14</f>
        <v>0</v>
      </c>
      <c r="D16" s="21">
        <f t="shared" ref="D16:N16" ca="1" si="1">MAX((D5+D13+D14),0)</f>
        <v>14622.053202904823</v>
      </c>
      <c r="E16" s="21">
        <f t="shared" si="1"/>
        <v>268.95221176628883</v>
      </c>
      <c r="F16" s="21">
        <f t="shared" ca="1" si="1"/>
        <v>2708.8200790793981</v>
      </c>
      <c r="G16" s="21">
        <f t="shared" si="1"/>
        <v>0</v>
      </c>
      <c r="H16" s="21">
        <f t="shared" si="1"/>
        <v>0</v>
      </c>
      <c r="I16" s="21">
        <f t="shared" si="1"/>
        <v>0</v>
      </c>
      <c r="J16" s="21">
        <f t="shared" si="1"/>
        <v>0</v>
      </c>
      <c r="K16" s="21">
        <f t="shared" si="1"/>
        <v>0</v>
      </c>
      <c r="L16" s="21">
        <f t="shared" ca="1" si="1"/>
        <v>0</v>
      </c>
      <c r="M16" s="21">
        <f t="shared" si="1"/>
        <v>0</v>
      </c>
      <c r="N16" s="21">
        <f t="shared" ca="1" si="1"/>
        <v>602.75241230453651</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0.21913429234931284</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3138.9586595302958</v>
      </c>
      <c r="C20" s="23">
        <f t="shared" ref="C20:P20" ca="1" si="2">C16*C18</f>
        <v>0</v>
      </c>
      <c r="D20" s="23">
        <f t="shared" ca="1" si="2"/>
        <v>2953.6547469867742</v>
      </c>
      <c r="E20" s="23">
        <f t="shared" si="2"/>
        <v>61.052152070947564</v>
      </c>
      <c r="F20" s="23">
        <f t="shared" ca="1" si="2"/>
        <v>723.25496111419932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3334.9574651826297</v>
      </c>
      <c r="C26" s="39">
        <f>IF(ISERROR(B26*3.6/1000000/'E Balans VL '!Z12*100),0,B26*3.6/1000000/'E Balans VL '!Z12*100)</f>
        <v>7.0178649244114849E-2</v>
      </c>
      <c r="D26" s="238" t="s">
        <v>720</v>
      </c>
      <c r="F26" s="6"/>
    </row>
    <row r="27" spans="1:18">
      <c r="A27" s="232" t="s">
        <v>53</v>
      </c>
      <c r="B27" s="33">
        <f>IF(ISERROR(TER_horeca_ele_kWh/1000),0,TER_horeca_ele_kWh/1000)</f>
        <v>1175.7279688353001</v>
      </c>
      <c r="C27" s="39">
        <f>IF(ISERROR(B27*3.6/1000000/'E Balans VL '!Z9*100),0,B27*3.6/1000000/'E Balans VL '!Z9*100)</f>
        <v>9.9545583356287382E-2</v>
      </c>
      <c r="D27" s="238" t="s">
        <v>720</v>
      </c>
      <c r="F27" s="6"/>
    </row>
    <row r="28" spans="1:18">
      <c r="A28" s="172" t="s">
        <v>52</v>
      </c>
      <c r="B28" s="33">
        <f>IF(ISERROR(TER_handel_ele_kWh/1000),0,TER_handel_ele_kWh/1000)</f>
        <v>4802.8812609818997</v>
      </c>
      <c r="C28" s="39">
        <f>IF(ISERROR(B28*3.6/1000000/'E Balans VL '!Z13*100),0,B28*3.6/1000000/'E Balans VL '!Z13*100)</f>
        <v>0.13296710357244651</v>
      </c>
      <c r="D28" s="238" t="s">
        <v>720</v>
      </c>
      <c r="F28" s="6"/>
    </row>
    <row r="29" spans="1:18">
      <c r="A29" s="232" t="s">
        <v>51</v>
      </c>
      <c r="B29" s="33">
        <f>IF(ISERROR(TER_gezond_ele_kWh/1000),0,TER_gezond_ele_kWh/1000)</f>
        <v>403.13735866956802</v>
      </c>
      <c r="C29" s="39">
        <f>IF(ISERROR(B29*3.6/1000000/'E Balans VL '!Z10*100),0,B29*3.6/1000000/'E Balans VL '!Z10*100)</f>
        <v>5.2403387328348712E-2</v>
      </c>
      <c r="D29" s="238" t="s">
        <v>720</v>
      </c>
      <c r="F29" s="6"/>
    </row>
    <row r="30" spans="1:18">
      <c r="A30" s="232" t="s">
        <v>50</v>
      </c>
      <c r="B30" s="33">
        <f>IF(ISERROR(TER_ander_ele_kWh/1000),0,TER_ander_ele_kWh/1000)</f>
        <v>2203.6150242621202</v>
      </c>
      <c r="C30" s="39">
        <f>IF(ISERROR(B30*3.6/1000000/'E Balans VL '!Z14*100),0,B30*3.6/1000000/'E Balans VL '!Z14*100)</f>
        <v>0.17080037307384946</v>
      </c>
      <c r="D30" s="238" t="s">
        <v>720</v>
      </c>
      <c r="F30" s="6"/>
    </row>
    <row r="31" spans="1:18">
      <c r="A31" s="232" t="s">
        <v>55</v>
      </c>
      <c r="B31" s="33">
        <f>IF(ISERROR(TER_onderwijs_ele_kWh/1000),0,TER_onderwijs_ele_kWh/1000)</f>
        <v>189.925721931955</v>
      </c>
      <c r="C31" s="39">
        <f>IF(ISERROR(B31*3.6/1000000/'E Balans VL '!Z11*100),0,B31*3.6/1000000/'E Balans VL '!Z11*100)</f>
        <v>3.6336026871398398E-2</v>
      </c>
      <c r="D31" s="238" t="s">
        <v>720</v>
      </c>
    </row>
    <row r="32" spans="1:18">
      <c r="A32" s="232" t="s">
        <v>261</v>
      </c>
      <c r="B32" s="33">
        <f>IF(ISERROR(TER_rest_ele_kWh/1000),0,TER_rest_ele_kWh/1000)</f>
        <v>2214.11596484337</v>
      </c>
      <c r="C32" s="39">
        <f>IF(ISERROR(B32*3.6/1000000/'E Balans VL '!Z8*100),0,B32*3.6/1000000/'E Balans VL '!Z8*100)</f>
        <v>1.8257086384241814E-2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1</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2</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6476.3527163939616</v>
      </c>
      <c r="C5" s="17">
        <f>IF(ISERROR('Eigen informatie GS &amp; warmtenet'!B59),0,'Eigen informatie GS &amp; warmtenet'!B59)</f>
        <v>0</v>
      </c>
      <c r="D5" s="30">
        <f>SUM(D6:D15)</f>
        <v>6051.566793835118</v>
      </c>
      <c r="E5" s="17">
        <f>SUM(E6:E15)</f>
        <v>75.368444184417825</v>
      </c>
      <c r="F5" s="17">
        <f>SUM(F6:F15)</f>
        <v>2581.108111025063</v>
      </c>
      <c r="G5" s="18"/>
      <c r="H5" s="17"/>
      <c r="I5" s="17"/>
      <c r="J5" s="17">
        <f>SUM(J6:J15)</f>
        <v>35.104194707841998</v>
      </c>
      <c r="K5" s="17"/>
      <c r="L5" s="17"/>
      <c r="M5" s="17"/>
      <c r="N5" s="17">
        <f>SUM(N6:N15)</f>
        <v>237.68697696727173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547.47594853369401</v>
      </c>
      <c r="C8" s="33"/>
      <c r="D8" s="37">
        <f>IF( ISERROR(IND_metaal_Gas_kWH/1000),0,IND_metaal_Gas_kWH/1000)*0.902</f>
        <v>139.62543347417474</v>
      </c>
      <c r="E8" s="33">
        <f>C30*'E Balans VL '!I18/100/3.6*1000000</f>
        <v>3.8469926952575202</v>
      </c>
      <c r="F8" s="33">
        <f>C30*'E Balans VL '!L18/100/3.6*1000000+C30*'E Balans VL '!N18/100/3.6*1000000</f>
        <v>60.109656099429202</v>
      </c>
      <c r="G8" s="34"/>
      <c r="H8" s="33"/>
      <c r="I8" s="33"/>
      <c r="J8" s="40">
        <f>C30*'E Balans VL '!D18/100/3.6*1000000+C30*'E Balans VL '!E18/100/3.6*1000000</f>
        <v>11.295608843405171</v>
      </c>
      <c r="K8" s="33"/>
      <c r="L8" s="33"/>
      <c r="M8" s="33"/>
      <c r="N8" s="33">
        <f>C30*'E Balans VL '!Y18/100/3.6*1000000</f>
        <v>2.0519792842798061</v>
      </c>
      <c r="O8" s="33"/>
      <c r="P8" s="33"/>
      <c r="R8" s="32"/>
    </row>
    <row r="9" spans="1:18">
      <c r="A9" s="6" t="s">
        <v>33</v>
      </c>
      <c r="B9" s="37">
        <f t="shared" si="0"/>
        <v>2314.4783714414998</v>
      </c>
      <c r="C9" s="33"/>
      <c r="D9" s="37">
        <f>IF( ISERROR(IND_andere_gas_kWh/1000),0,IND_andere_gas_kWh/1000)*0.902</f>
        <v>1300.4096777303828</v>
      </c>
      <c r="E9" s="33">
        <f>C31*'E Balans VL '!I19/100/3.6*1000000</f>
        <v>38.874499574891949</v>
      </c>
      <c r="F9" s="33">
        <f>C31*'E Balans VL '!L19/100/3.6*1000000+C31*'E Balans VL '!N19/100/3.6*1000000</f>
        <v>1809.3273679478195</v>
      </c>
      <c r="G9" s="34"/>
      <c r="H9" s="33"/>
      <c r="I9" s="33"/>
      <c r="J9" s="40">
        <f>C31*'E Balans VL '!D19/100/3.6*1000000+C31*'E Balans VL '!E19/100/3.6*1000000</f>
        <v>0.2087455183125641</v>
      </c>
      <c r="K9" s="33"/>
      <c r="L9" s="33"/>
      <c r="M9" s="33"/>
      <c r="N9" s="33">
        <f>C31*'E Balans VL '!Y19/100/3.6*1000000</f>
        <v>171.53997986023788</v>
      </c>
      <c r="O9" s="33"/>
      <c r="P9" s="33"/>
      <c r="R9" s="32"/>
    </row>
    <row r="10" spans="1:18">
      <c r="A10" s="6" t="s">
        <v>41</v>
      </c>
      <c r="B10" s="37">
        <f t="shared" si="0"/>
        <v>281.93601250974797</v>
      </c>
      <c r="C10" s="33"/>
      <c r="D10" s="37">
        <f>IF( ISERROR(IND_voed_gas_kWh/1000),0,IND_voed_gas_kWh/1000)*0.902</f>
        <v>498.38914911687408</v>
      </c>
      <c r="E10" s="33">
        <f>C32*'E Balans VL '!I20/100/3.6*1000000</f>
        <v>2.5722670196345754</v>
      </c>
      <c r="F10" s="33">
        <f>C32*'E Balans VL '!L20/100/3.6*1000000+C32*'E Balans VL '!N20/100/3.6*1000000</f>
        <v>45.485097260220442</v>
      </c>
      <c r="G10" s="34"/>
      <c r="H10" s="33"/>
      <c r="I10" s="33"/>
      <c r="J10" s="40">
        <f>C32*'E Balans VL '!D20/100/3.6*1000000+C32*'E Balans VL '!E20/100/3.6*1000000</f>
        <v>1.1611973457124389</v>
      </c>
      <c r="K10" s="33"/>
      <c r="L10" s="33"/>
      <c r="M10" s="33"/>
      <c r="N10" s="33">
        <f>C32*'E Balans VL '!Y20/100/3.6*1000000</f>
        <v>4.1245015502323028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3332.46238390902</v>
      </c>
      <c r="C15" s="33"/>
      <c r="D15" s="37">
        <f>IF( ISERROR(IND_rest_gas_kWh/1000),0,IND_rest_gas_kWh/1000)*0.902</f>
        <v>4113.1425335136864</v>
      </c>
      <c r="E15" s="33">
        <f>C37*'E Balans VL '!I15/100/3.6*1000000</f>
        <v>30.07468489463378</v>
      </c>
      <c r="F15" s="33">
        <f>C37*'E Balans VL '!L15/100/3.6*1000000+C37*'E Balans VL '!N15/100/3.6*1000000</f>
        <v>666.18598971759366</v>
      </c>
      <c r="G15" s="34"/>
      <c r="H15" s="33"/>
      <c r="I15" s="33"/>
      <c r="J15" s="40">
        <f>C37*'E Balans VL '!D15/100/3.6*1000000+C37*'E Balans VL '!E15/100/3.6*1000000</f>
        <v>22.438643000411819</v>
      </c>
      <c r="K15" s="33"/>
      <c r="L15" s="33"/>
      <c r="M15" s="33"/>
      <c r="N15" s="33">
        <f>C37*'E Balans VL '!Y15/100/3.6*1000000</f>
        <v>59.970516272521735</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6476.3527163939616</v>
      </c>
      <c r="C18" s="21">
        <f>C5+C16</f>
        <v>0</v>
      </c>
      <c r="D18" s="21">
        <f>MAX((D5+D16),0)</f>
        <v>6051.566793835118</v>
      </c>
      <c r="E18" s="21">
        <f>MAX((E5+E16),0)</f>
        <v>75.368444184417825</v>
      </c>
      <c r="F18" s="21">
        <f>MAX((F5+F16),0)</f>
        <v>2581.108111025063</v>
      </c>
      <c r="G18" s="21"/>
      <c r="H18" s="21"/>
      <c r="I18" s="21"/>
      <c r="J18" s="21">
        <f>MAX((J5+J16),0)</f>
        <v>35.104194707841998</v>
      </c>
      <c r="K18" s="21"/>
      <c r="L18" s="21">
        <f>MAX((L5+L16),0)</f>
        <v>0</v>
      </c>
      <c r="M18" s="21"/>
      <c r="N18" s="21">
        <f>MAX((N5+N16),0)</f>
        <v>237.68697696727173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0.21913429234931284</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1419.1909695115407</v>
      </c>
      <c r="C22" s="23">
        <f ca="1">C18*C20</f>
        <v>0</v>
      </c>
      <c r="D22" s="23">
        <f>D18*D20</f>
        <v>1222.4164923546939</v>
      </c>
      <c r="E22" s="23">
        <f>E18*E20</f>
        <v>17.108636829862846</v>
      </c>
      <c r="F22" s="23">
        <f>F18*F20</f>
        <v>689.15586564369187</v>
      </c>
      <c r="G22" s="23"/>
      <c r="H22" s="23"/>
      <c r="I22" s="23"/>
      <c r="J22" s="23">
        <f>J18*J20</f>
        <v>12.426884926576067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547.47594853369401</v>
      </c>
      <c r="C30" s="39">
        <f>IF(ISERROR(B30*3.6/1000000/'E Balans VL '!Z18*100),0,B30*3.6/1000000/'E Balans VL '!Z18*100)</f>
        <v>3.6445808210717343E-2</v>
      </c>
      <c r="D30" s="238" t="s">
        <v>720</v>
      </c>
    </row>
    <row r="31" spans="1:18">
      <c r="A31" s="6" t="s">
        <v>33</v>
      </c>
      <c r="B31" s="37">
        <f>IF( ISERROR(IND_ander_ele_kWh/1000),0,IND_ander_ele_kWh/1000)</f>
        <v>2314.4783714414998</v>
      </c>
      <c r="C31" s="39">
        <f>IF(ISERROR(B31*3.6/1000000/'E Balans VL '!Z19*100),0,B31*3.6/1000000/'E Balans VL '!Z19*100)</f>
        <v>0.10259165405122606</v>
      </c>
      <c r="D31" s="238" t="s">
        <v>720</v>
      </c>
    </row>
    <row r="32" spans="1:18">
      <c r="A32" s="172" t="s">
        <v>41</v>
      </c>
      <c r="B32" s="37">
        <f>IF( ISERROR(IND_voed_ele_kWh/1000),0,IND_voed_ele_kWh/1000)</f>
        <v>281.93601250974797</v>
      </c>
      <c r="C32" s="39">
        <f>IF(ISERROR(B32*3.6/1000000/'E Balans VL '!Z20*100),0,B32*3.6/1000000/'E Balans VL '!Z20*100)</f>
        <v>9.4174715875702114E-3</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3332.46238390902</v>
      </c>
      <c r="C37" s="39">
        <f>IF(ISERROR(B37*3.6/1000000/'E Balans VL '!Z15*100),0,B37*3.6/1000000/'E Balans VL '!Z15*100)</f>
        <v>2.4788091090663263E-2</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11634.0668632208</v>
      </c>
      <c r="C5" s="17">
        <f>'Eigen informatie GS &amp; warmtenet'!B60</f>
        <v>0</v>
      </c>
      <c r="D5" s="30">
        <f>IF(ISERROR(SUM(LB_lb_gas_kWh,LB_rest_gas_kWh,onbekend_gas_kWh)/1000),0,SUM(LB_lb_gas_kWh,LB_rest_gas_kWh,onbekend_gas_kWh)/1000)*0.902</f>
        <v>126925.18451163394</v>
      </c>
      <c r="E5" s="17">
        <f>B17*'E Balans VL '!I25/3.6*1000000/100</f>
        <v>121.83446686441319</v>
      </c>
      <c r="F5" s="17">
        <f>B17*('E Balans VL '!L25/3.6*1000000+'E Balans VL '!N25/3.6*1000000)/100</f>
        <v>59754.4198352764</v>
      </c>
      <c r="G5" s="18"/>
      <c r="H5" s="17"/>
      <c r="I5" s="17"/>
      <c r="J5" s="17">
        <f>('E Balans VL '!D25+'E Balans VL '!E25)/3.6*1000000*landbouw!B17/100</f>
        <v>1039.0264488058583</v>
      </c>
      <c r="K5" s="17"/>
      <c r="L5" s="17">
        <f>L6*(-1)</f>
        <v>0</v>
      </c>
      <c r="M5" s="17"/>
      <c r="N5" s="17">
        <f>N6*(-1)</f>
        <v>0</v>
      </c>
      <c r="O5" s="17"/>
      <c r="P5" s="17"/>
      <c r="R5" s="32"/>
    </row>
    <row r="6" spans="1:18">
      <c r="A6" s="16" t="s">
        <v>497</v>
      </c>
      <c r="B6" s="17" t="s">
        <v>212</v>
      </c>
      <c r="C6" s="17">
        <f>'lokale energieproductie'!O91+'lokale energieproductie'!O60</f>
        <v>70290</v>
      </c>
      <c r="D6" s="311">
        <f>('lokale energieproductie'!P60+'lokale energieproductie'!P91)*(-1)</f>
        <v>-140580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11634.0668632208</v>
      </c>
      <c r="C8" s="21">
        <f>C5+C6</f>
        <v>70290</v>
      </c>
      <c r="D8" s="21">
        <f>MAX((D5+D6),0)</f>
        <v>0</v>
      </c>
      <c r="E8" s="21">
        <f>MAX((E5+E6),0)</f>
        <v>121.83446686441319</v>
      </c>
      <c r="F8" s="21">
        <f>MAX((F5+F6),0)</f>
        <v>59754.4198352764</v>
      </c>
      <c r="G8" s="21"/>
      <c r="H8" s="21"/>
      <c r="I8" s="21"/>
      <c r="J8" s="21">
        <f>MAX((J5+J6),0)</f>
        <v>1039.0264488058583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0.21913429234931284</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2549.4230092164798</v>
      </c>
      <c r="C12" s="23">
        <f ca="1">C8*C10</f>
        <v>16704.211764705884</v>
      </c>
      <c r="D12" s="23">
        <f>D8*D10</f>
        <v>0</v>
      </c>
      <c r="E12" s="23">
        <f>E8*E10</f>
        <v>27.656423978221795</v>
      </c>
      <c r="F12" s="23">
        <f>F8*F10</f>
        <v>15954.430096018799</v>
      </c>
      <c r="G12" s="23"/>
      <c r="H12" s="23"/>
      <c r="I12" s="23"/>
      <c r="J12" s="23">
        <f>J8*J10</f>
        <v>367.8153628772738</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1.790707469241988</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1810.5733074594873</v>
      </c>
      <c r="C26" s="248">
        <f>B26*'GWP N2O_CH4'!B5</f>
        <v>38022.039456649232</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1011.7408818758424</v>
      </c>
      <c r="C27" s="248">
        <f>B27*'GWP N2O_CH4'!B5</f>
        <v>21246.558519392693</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26.473680506895082</v>
      </c>
      <c r="C28" s="248">
        <f>B28*'GWP N2O_CH4'!B4</f>
        <v>8206.8409571374759</v>
      </c>
      <c r="D28" s="50"/>
    </row>
    <row r="29" spans="1:4">
      <c r="A29" s="41" t="s">
        <v>278</v>
      </c>
      <c r="B29" s="248">
        <f>B34*'ha_N2O bodem landbouw'!B4</f>
        <v>53.181635644296023</v>
      </c>
      <c r="C29" s="248">
        <f>B29*'GWP N2O_CH4'!B4</f>
        <v>16486.307049731768</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8.7889637616943329E-3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5.0361854823607689E-6</v>
      </c>
      <c r="C5" s="446" t="s">
        <v>212</v>
      </c>
      <c r="D5" s="431">
        <f>SUM(D6:D11)</f>
        <v>2.3440700420640147E-5</v>
      </c>
      <c r="E5" s="431">
        <f>SUM(E6:E11)</f>
        <v>2.7251671272150862E-3</v>
      </c>
      <c r="F5" s="444" t="s">
        <v>212</v>
      </c>
      <c r="G5" s="431">
        <f>SUM(G6:G11)</f>
        <v>0.62374981388277395</v>
      </c>
      <c r="H5" s="431">
        <f>SUM(H6:H11)</f>
        <v>8.0857201564132217E-2</v>
      </c>
      <c r="I5" s="446" t="s">
        <v>212</v>
      </c>
      <c r="J5" s="446" t="s">
        <v>212</v>
      </c>
      <c r="K5" s="446" t="s">
        <v>212</v>
      </c>
      <c r="L5" s="446" t="s">
        <v>212</v>
      </c>
      <c r="M5" s="431">
        <f>SUM(M6:M11)</f>
        <v>3.0675810018445139E-2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1.9773226869108768E-6</v>
      </c>
      <c r="C6" s="432"/>
      <c r="D6" s="432">
        <f>vkm_2011_GW_PW*SUMIFS(TableVerdeelsleutelVkm[CNG],TableVerdeelsleutelVkm[Voertuigtype],"Lichte voertuigen")*SUMIFS(TableECFTransport[EnergieConsumptieFactor (PJ per km)],TableECFTransport[Index],CONCATENATE($A6,"_CNG_CNG"))</f>
        <v>8.5240082595374344E-6</v>
      </c>
      <c r="E6" s="434">
        <f>vkm_2011_GW_PW*SUMIFS(TableVerdeelsleutelVkm[LPG],TableVerdeelsleutelVkm[Voertuigtype],"Lichte voertuigen")*SUMIFS(TableECFTransport[EnergieConsumptieFactor (PJ per km)],TableECFTransport[Index],CONCATENATE($A6,"_LPG_LPG"))</f>
        <v>8.8687075718791458E-4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0.10908753784167829</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2.87204880904776E-2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6.0394083733419628E-3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4.6111562955063155E-2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1.5811015939517069E-5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1.9919331215721013E-3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3.8397392893818679E-7</v>
      </c>
      <c r="C8" s="432"/>
      <c r="D8" s="434">
        <f>vkm_2011_NGW_PW*SUMIFS(TableVerdeelsleutelVkm[CNG],TableVerdeelsleutelVkm[Voertuigtype],"Lichte voertuigen")*SUMIFS(TableECFTransport[EnergieConsumptieFactor (PJ per km)],TableECFTransport[Index],CONCATENATE($A8,"_CNG_CNG"))</f>
        <v>2.9695892697187564E-6</v>
      </c>
      <c r="E8" s="434">
        <f>vkm_2011_NGW_PW*SUMIFS(TableVerdeelsleutelVkm[LPG],TableVerdeelsleutelVkm[Voertuigtype],"Lichte voertuigen")*SUMIFS(TableECFTransport[EnergieConsumptieFactor (PJ per km)],TableECFTransport[Index],CONCATENATE($A8,"_LPG_LPG"))</f>
        <v>2.8211028228183226E-4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3.2912481611717018E-2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9.5510540802902708E-3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1.8631176964523223E-3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3.9253684150389184E-3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1.1692641271766923E-6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1.6956038603669878E-4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2.6748888665117054E-6</v>
      </c>
      <c r="C10" s="432"/>
      <c r="D10" s="434">
        <f>vkm_2011_SW_PW*SUMIFS(TableVerdeelsleutelVkm[CNG],TableVerdeelsleutelVkm[Voertuigtype],"Lichte voertuigen")*SUMIFS(TableECFTransport[EnergieConsumptieFactor (PJ per km)],TableECFTransport[Index],CONCATENATE($A10,"_CNG_CNG"))</f>
        <v>1.1947102891383958E-5</v>
      </c>
      <c r="E10" s="434">
        <f>vkm_2011_SW_PW*SUMIFS(TableVerdeelsleutelVkm[LPG],TableVerdeelsleutelVkm[Voertuigtype],"Lichte voertuigen")*SUMIFS(TableECFTransport[EnergieConsumptieFactor (PJ per km)],TableECFTransport[Index],CONCATENATE($A10,"_LPG_LPG"))</f>
        <v>1.5561860877453396E-3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0.17597570214638492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4.2475118801683275E-2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9.5641526074677543E-3</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0.25573716091289161</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9.3560311614373308E-5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1.1047637833574297E-2</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1.3989404117668802</v>
      </c>
      <c r="C14" s="21"/>
      <c r="D14" s="21">
        <f t="shared" ref="D14:M14" si="0">((D5)*10^9/3600)+D12</f>
        <v>6.5113056724000407</v>
      </c>
      <c r="E14" s="21">
        <f t="shared" si="0"/>
        <v>756.99086867085725</v>
      </c>
      <c r="F14" s="21"/>
      <c r="G14" s="21">
        <f t="shared" si="0"/>
        <v>173263.83718965945</v>
      </c>
      <c r="H14" s="21">
        <f t="shared" si="0"/>
        <v>22460.333767814504</v>
      </c>
      <c r="I14" s="21"/>
      <c r="J14" s="21"/>
      <c r="K14" s="21"/>
      <c r="L14" s="21"/>
      <c r="M14" s="21">
        <f t="shared" si="0"/>
        <v>8521.0583384569836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0.21913429234931284</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0.30655581717139163</v>
      </c>
      <c r="C18" s="23"/>
      <c r="D18" s="23">
        <f t="shared" ref="D18:M18" si="1">D14*D16</f>
        <v>1.3152837458248083</v>
      </c>
      <c r="E18" s="23">
        <f t="shared" si="1"/>
        <v>171.83692718828459</v>
      </c>
      <c r="F18" s="23"/>
      <c r="G18" s="23">
        <f t="shared" si="1"/>
        <v>46261.444529639077</v>
      </c>
      <c r="H18" s="23">
        <f t="shared" si="1"/>
        <v>5592.6231081858114</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7.6920700816942899E-3</v>
      </c>
      <c r="H50" s="322">
        <f t="shared" si="2"/>
        <v>0</v>
      </c>
      <c r="I50" s="322">
        <f t="shared" si="2"/>
        <v>0</v>
      </c>
      <c r="J50" s="322">
        <f t="shared" si="2"/>
        <v>0</v>
      </c>
      <c r="K50" s="322">
        <f t="shared" si="2"/>
        <v>0</v>
      </c>
      <c r="L50" s="322">
        <f t="shared" si="2"/>
        <v>0</v>
      </c>
      <c r="M50" s="322">
        <f t="shared" si="2"/>
        <v>3.2787952956440751E-4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7.6920700816942899E-3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3.2787952956440751E-4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2136.6861338039694</v>
      </c>
      <c r="H54" s="21">
        <f t="shared" si="3"/>
        <v>0</v>
      </c>
      <c r="I54" s="21">
        <f t="shared" si="3"/>
        <v>0</v>
      </c>
      <c r="J54" s="21">
        <f t="shared" si="3"/>
        <v>0</v>
      </c>
      <c r="K54" s="21">
        <f t="shared" si="3"/>
        <v>0</v>
      </c>
      <c r="L54" s="21">
        <f t="shared" si="3"/>
        <v>0</v>
      </c>
      <c r="M54" s="21">
        <f t="shared" si="3"/>
        <v>91.077647101224315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0.21913429234931284</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570.49519772565986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4335.1568649773399</v>
      </c>
      <c r="C6" s="1124"/>
      <c r="D6" s="1127"/>
      <c r="E6" s="1127"/>
      <c r="F6" s="1130"/>
      <c r="G6" s="1133"/>
      <c r="H6" s="1121"/>
      <c r="I6" s="1127"/>
      <c r="J6" s="1127"/>
      <c r="K6" s="1127"/>
      <c r="L6" s="1157"/>
      <c r="M6" s="559"/>
      <c r="N6" s="1169"/>
      <c r="O6" s="1170"/>
      <c r="Q6" s="557"/>
      <c r="R6" s="1154"/>
      <c r="S6" s="1154"/>
    </row>
    <row r="7" spans="1:19" s="547" customFormat="1">
      <c r="A7" s="560" t="s">
        <v>253</v>
      </c>
      <c r="B7" s="561">
        <f>N57</f>
        <v>49203</v>
      </c>
      <c r="C7" s="562">
        <f>B100</f>
        <v>57885.882352941175</v>
      </c>
      <c r="D7" s="563"/>
      <c r="E7" s="563">
        <f>E100</f>
        <v>0</v>
      </c>
      <c r="F7" s="564"/>
      <c r="G7" s="565"/>
      <c r="H7" s="563">
        <f>I100</f>
        <v>0</v>
      </c>
      <c r="I7" s="563">
        <f>G100+F100</f>
        <v>0</v>
      </c>
      <c r="J7" s="563">
        <f>H100+D100+C100</f>
        <v>0</v>
      </c>
      <c r="K7" s="563"/>
      <c r="L7" s="566"/>
      <c r="M7" s="567">
        <f>C7*$C$11+D7*$D$11+E7*$E$11+F7*$F$11+G7*$G$11+H7*$H$11+I7*$I$11+J7*$J$11</f>
        <v>11692.948235294118</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53538.15686497734</v>
      </c>
      <c r="C9" s="578">
        <f t="shared" ref="C9:L9" si="0">SUM(C7:C8)</f>
        <v>57885.882352941175</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11692.948235294118</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70290</v>
      </c>
      <c r="C16" s="594">
        <f>B101</f>
        <v>82694.117647058825</v>
      </c>
      <c r="D16" s="595"/>
      <c r="E16" s="595">
        <f>E101</f>
        <v>0</v>
      </c>
      <c r="F16" s="596"/>
      <c r="G16" s="597"/>
      <c r="H16" s="594">
        <f>I101</f>
        <v>0</v>
      </c>
      <c r="I16" s="595">
        <f>G101+F101</f>
        <v>0</v>
      </c>
      <c r="J16" s="595">
        <f>H101+D101+C101</f>
        <v>0</v>
      </c>
      <c r="K16" s="595"/>
      <c r="L16" s="598"/>
      <c r="M16" s="599">
        <f>C16*$C$21+E16*$E$21+H16*$H$21+I16*$I$21+J16*$J$21+D16*$D$21+F16*$F$21+G16*$G$21+K16*$K$21+L16*$L$21</f>
        <v>16704.211764705884</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70290</v>
      </c>
      <c r="C19" s="577">
        <f>SUM(C16:C18)</f>
        <v>82694.117647058825</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16704.211764705884</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25.5">
      <c r="A27" s="608"/>
      <c r="B27" s="839">
        <v>11053</v>
      </c>
      <c r="C27" s="839">
        <v>2990</v>
      </c>
      <c r="D27" s="656" t="s">
        <v>894</v>
      </c>
      <c r="E27" s="655" t="s">
        <v>895</v>
      </c>
      <c r="F27" s="655" t="s">
        <v>896</v>
      </c>
      <c r="G27" s="655" t="s">
        <v>897</v>
      </c>
      <c r="H27" s="655" t="s">
        <v>898</v>
      </c>
      <c r="I27" s="655" t="s">
        <v>899</v>
      </c>
      <c r="J27" s="838">
        <v>39778</v>
      </c>
      <c r="K27" s="838">
        <v>39806</v>
      </c>
      <c r="L27" s="655" t="s">
        <v>900</v>
      </c>
      <c r="M27" s="655">
        <v>801</v>
      </c>
      <c r="N27" s="655">
        <v>3604.5</v>
      </c>
      <c r="O27" s="655">
        <v>5149.2857142857147</v>
      </c>
      <c r="P27" s="655">
        <v>10298.571428571429</v>
      </c>
      <c r="Q27" s="655">
        <v>0</v>
      </c>
      <c r="R27" s="655">
        <v>0</v>
      </c>
      <c r="S27" s="655">
        <v>0</v>
      </c>
      <c r="T27" s="655">
        <v>0</v>
      </c>
      <c r="U27" s="655">
        <v>0</v>
      </c>
      <c r="V27" s="655">
        <v>0</v>
      </c>
      <c r="W27" s="655">
        <v>0</v>
      </c>
      <c r="X27" s="655">
        <v>10</v>
      </c>
      <c r="Y27" s="655" t="s">
        <v>112</v>
      </c>
      <c r="Z27" s="657" t="s">
        <v>112</v>
      </c>
    </row>
    <row r="28" spans="1:26" s="609" customFormat="1" ht="25.5">
      <c r="A28" s="608"/>
      <c r="B28" s="839">
        <v>11053</v>
      </c>
      <c r="C28" s="839">
        <v>2990</v>
      </c>
      <c r="D28" s="656" t="s">
        <v>901</v>
      </c>
      <c r="E28" s="655" t="s">
        <v>902</v>
      </c>
      <c r="F28" s="655" t="s">
        <v>903</v>
      </c>
      <c r="G28" s="655" t="s">
        <v>897</v>
      </c>
      <c r="H28" s="655" t="s">
        <v>898</v>
      </c>
      <c r="I28" s="655" t="s">
        <v>902</v>
      </c>
      <c r="J28" s="838">
        <v>39798</v>
      </c>
      <c r="K28" s="838">
        <v>39798</v>
      </c>
      <c r="L28" s="655" t="s">
        <v>900</v>
      </c>
      <c r="M28" s="655">
        <v>1558</v>
      </c>
      <c r="N28" s="655">
        <v>7011</v>
      </c>
      <c r="O28" s="655">
        <v>10015.714285714286</v>
      </c>
      <c r="P28" s="655">
        <v>20031.428571428572</v>
      </c>
      <c r="Q28" s="655">
        <v>0</v>
      </c>
      <c r="R28" s="655">
        <v>0</v>
      </c>
      <c r="S28" s="655">
        <v>0</v>
      </c>
      <c r="T28" s="655">
        <v>0</v>
      </c>
      <c r="U28" s="655">
        <v>0</v>
      </c>
      <c r="V28" s="655">
        <v>0</v>
      </c>
      <c r="W28" s="655">
        <v>0</v>
      </c>
      <c r="X28" s="655">
        <v>10</v>
      </c>
      <c r="Y28" s="655" t="s">
        <v>112</v>
      </c>
      <c r="Z28" s="657" t="s">
        <v>112</v>
      </c>
    </row>
    <row r="29" spans="1:26" s="609" customFormat="1" ht="38.25">
      <c r="A29" s="608"/>
      <c r="B29" s="839">
        <v>11053</v>
      </c>
      <c r="C29" s="839">
        <v>2990</v>
      </c>
      <c r="D29" s="656" t="s">
        <v>904</v>
      </c>
      <c r="E29" s="655" t="s">
        <v>905</v>
      </c>
      <c r="F29" s="655" t="s">
        <v>906</v>
      </c>
      <c r="G29" s="655" t="s">
        <v>897</v>
      </c>
      <c r="H29" s="655" t="s">
        <v>898</v>
      </c>
      <c r="I29" s="655" t="s">
        <v>905</v>
      </c>
      <c r="J29" s="838">
        <v>40259</v>
      </c>
      <c r="K29" s="838">
        <v>39255</v>
      </c>
      <c r="L29" s="655" t="s">
        <v>900</v>
      </c>
      <c r="M29" s="655">
        <v>3435</v>
      </c>
      <c r="N29" s="655">
        <v>15457.5</v>
      </c>
      <c r="O29" s="655">
        <v>22082.142857142859</v>
      </c>
      <c r="P29" s="655">
        <v>44164.285714285717</v>
      </c>
      <c r="Q29" s="655">
        <v>0</v>
      </c>
      <c r="R29" s="655">
        <v>0</v>
      </c>
      <c r="S29" s="655">
        <v>0</v>
      </c>
      <c r="T29" s="655">
        <v>0</v>
      </c>
      <c r="U29" s="655">
        <v>0</v>
      </c>
      <c r="V29" s="655">
        <v>0</v>
      </c>
      <c r="W29" s="655">
        <v>0</v>
      </c>
      <c r="X29" s="655">
        <v>10</v>
      </c>
      <c r="Y29" s="655" t="s">
        <v>112</v>
      </c>
      <c r="Z29" s="657" t="s">
        <v>112</v>
      </c>
    </row>
    <row r="30" spans="1:26" s="609" customFormat="1" ht="25.5">
      <c r="A30" s="608"/>
      <c r="B30" s="839">
        <v>11053</v>
      </c>
      <c r="C30" s="839">
        <v>2990</v>
      </c>
      <c r="D30" s="656" t="s">
        <v>907</v>
      </c>
      <c r="E30" s="655" t="s">
        <v>908</v>
      </c>
      <c r="F30" s="655" t="s">
        <v>909</v>
      </c>
      <c r="G30" s="655" t="s">
        <v>897</v>
      </c>
      <c r="H30" s="655" t="s">
        <v>898</v>
      </c>
      <c r="I30" s="655" t="s">
        <v>908</v>
      </c>
      <c r="J30" s="838">
        <v>39623</v>
      </c>
      <c r="K30" s="838">
        <v>39623</v>
      </c>
      <c r="L30" s="655" t="s">
        <v>900</v>
      </c>
      <c r="M30" s="655">
        <v>5140</v>
      </c>
      <c r="N30" s="655">
        <v>23130</v>
      </c>
      <c r="O30" s="655">
        <v>33042.857142857145</v>
      </c>
      <c r="P30" s="655">
        <v>66085.71428571429</v>
      </c>
      <c r="Q30" s="655">
        <v>0</v>
      </c>
      <c r="R30" s="655">
        <v>0</v>
      </c>
      <c r="S30" s="655">
        <v>0</v>
      </c>
      <c r="T30" s="655">
        <v>0</v>
      </c>
      <c r="U30" s="655">
        <v>0</v>
      </c>
      <c r="V30" s="655">
        <v>0</v>
      </c>
      <c r="W30" s="655">
        <v>0</v>
      </c>
      <c r="X30" s="655">
        <v>10</v>
      </c>
      <c r="Y30" s="655" t="s">
        <v>112</v>
      </c>
      <c r="Z30" s="657" t="s">
        <v>112</v>
      </c>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10934</v>
      </c>
      <c r="N57" s="613">
        <f>SUM(N27:N56)</f>
        <v>49203</v>
      </c>
      <c r="O57" s="613">
        <f t="shared" ref="O57:W57" si="2">SUM(O27:O56)</f>
        <v>70290</v>
      </c>
      <c r="P57" s="613">
        <f t="shared" si="2"/>
        <v>140580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10934</v>
      </c>
      <c r="N60" s="618">
        <f t="shared" ref="N60:W60" si="4">SUMIF($Z$27:$Z$56,"landbouw",N27:N56)</f>
        <v>49203</v>
      </c>
      <c r="O60" s="618">
        <f t="shared" si="4"/>
        <v>70290</v>
      </c>
      <c r="P60" s="618">
        <f t="shared" si="4"/>
        <v>140580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0.58823529411764708</v>
      </c>
      <c r="C97" s="638">
        <f>IF(ISERROR(N57/(O57+N57)),0,N57/(N57+O57))</f>
        <v>0.41176470588235292</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57885.882352941175</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82694.117647058825</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15718.060764706845</v>
      </c>
      <c r="D10" s="702">
        <f ca="1">tertiair!C16</f>
        <v>0</v>
      </c>
      <c r="E10" s="702">
        <f ca="1">tertiair!D16</f>
        <v>14622.053202904823</v>
      </c>
      <c r="F10" s="702">
        <f>tertiair!E16</f>
        <v>268.95221176628883</v>
      </c>
      <c r="G10" s="702">
        <f ca="1">tertiair!F16</f>
        <v>2708.8200790793981</v>
      </c>
      <c r="H10" s="702">
        <f>tertiair!G16</f>
        <v>0</v>
      </c>
      <c r="I10" s="702">
        <f>tertiair!H16</f>
        <v>0</v>
      </c>
      <c r="J10" s="702">
        <f>tertiair!I16</f>
        <v>0</v>
      </c>
      <c r="K10" s="702">
        <f>tertiair!J16</f>
        <v>0</v>
      </c>
      <c r="L10" s="702">
        <f>tertiair!K16</f>
        <v>0</v>
      </c>
      <c r="M10" s="702">
        <f ca="1">tertiair!L16</f>
        <v>0</v>
      </c>
      <c r="N10" s="702">
        <f>tertiair!M16</f>
        <v>0</v>
      </c>
      <c r="O10" s="702">
        <f ca="1">tertiair!N16</f>
        <v>602.75241230453651</v>
      </c>
      <c r="P10" s="702">
        <f>tertiair!O16</f>
        <v>1.5633333333333335</v>
      </c>
      <c r="Q10" s="703">
        <f>tertiair!P16</f>
        <v>38.133333333333333</v>
      </c>
      <c r="R10" s="705">
        <f ca="1">SUM(C10:Q10)</f>
        <v>33960.335337428551</v>
      </c>
      <c r="S10" s="67"/>
    </row>
    <row r="11" spans="1:19" s="457" customFormat="1">
      <c r="A11" s="858" t="s">
        <v>226</v>
      </c>
      <c r="B11" s="863"/>
      <c r="C11" s="702">
        <f>huishoudens!B8</f>
        <v>40664.338399739296</v>
      </c>
      <c r="D11" s="702">
        <f>huishoudens!C8</f>
        <v>0</v>
      </c>
      <c r="E11" s="702">
        <f>huishoudens!D8</f>
        <v>81319.114011917831</v>
      </c>
      <c r="F11" s="702">
        <f>huishoudens!E8</f>
        <v>9558.3342638799022</v>
      </c>
      <c r="G11" s="702">
        <f>huishoudens!F8</f>
        <v>3734.9849399721516</v>
      </c>
      <c r="H11" s="702">
        <f>huishoudens!G8</f>
        <v>0</v>
      </c>
      <c r="I11" s="702">
        <f>huishoudens!H8</f>
        <v>0</v>
      </c>
      <c r="J11" s="702">
        <f>huishoudens!I8</f>
        <v>0</v>
      </c>
      <c r="K11" s="702">
        <f>huishoudens!J8</f>
        <v>694.20237025241431</v>
      </c>
      <c r="L11" s="702">
        <f>huishoudens!K8</f>
        <v>0</v>
      </c>
      <c r="M11" s="702">
        <f>huishoudens!L8</f>
        <v>0</v>
      </c>
      <c r="N11" s="702">
        <f>huishoudens!M8</f>
        <v>0</v>
      </c>
      <c r="O11" s="702">
        <f>huishoudens!N8</f>
        <v>21858.744188374014</v>
      </c>
      <c r="P11" s="702">
        <f>huishoudens!O8</f>
        <v>85.983333333333334</v>
      </c>
      <c r="Q11" s="703">
        <f>huishoudens!P8</f>
        <v>572</v>
      </c>
      <c r="R11" s="705">
        <f>SUM(C11:Q11)</f>
        <v>158487.70150746894</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6476.3527163939616</v>
      </c>
      <c r="D13" s="702">
        <f>industrie!C18</f>
        <v>0</v>
      </c>
      <c r="E13" s="702">
        <f>industrie!D18</f>
        <v>6051.566793835118</v>
      </c>
      <c r="F13" s="702">
        <f>industrie!E18</f>
        <v>75.368444184417825</v>
      </c>
      <c r="G13" s="702">
        <f>industrie!F18</f>
        <v>2581.108111025063</v>
      </c>
      <c r="H13" s="702">
        <f>industrie!G18</f>
        <v>0</v>
      </c>
      <c r="I13" s="702">
        <f>industrie!H18</f>
        <v>0</v>
      </c>
      <c r="J13" s="702">
        <f>industrie!I18</f>
        <v>0</v>
      </c>
      <c r="K13" s="702">
        <f>industrie!J18</f>
        <v>35.104194707841998</v>
      </c>
      <c r="L13" s="702">
        <f>industrie!K18</f>
        <v>0</v>
      </c>
      <c r="M13" s="702">
        <f>industrie!L18</f>
        <v>0</v>
      </c>
      <c r="N13" s="702">
        <f>industrie!M18</f>
        <v>0</v>
      </c>
      <c r="O13" s="702">
        <f>industrie!N18</f>
        <v>237.68697696727173</v>
      </c>
      <c r="P13" s="702">
        <f>industrie!O18</f>
        <v>0</v>
      </c>
      <c r="Q13" s="703">
        <f>industrie!P18</f>
        <v>0</v>
      </c>
      <c r="R13" s="705">
        <f>SUM(C13:Q13)</f>
        <v>15457.187237113676</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62858.751880840107</v>
      </c>
      <c r="D15" s="707">
        <f t="shared" ref="D15:Q15" ca="1" si="0">SUM(D9:D14)</f>
        <v>0</v>
      </c>
      <c r="E15" s="707">
        <f t="shared" ca="1" si="0"/>
        <v>101992.73400865778</v>
      </c>
      <c r="F15" s="707">
        <f t="shared" si="0"/>
        <v>9902.6549198306093</v>
      </c>
      <c r="G15" s="707">
        <f t="shared" ca="1" si="0"/>
        <v>9024.913130076613</v>
      </c>
      <c r="H15" s="707">
        <f t="shared" si="0"/>
        <v>0</v>
      </c>
      <c r="I15" s="707">
        <f t="shared" si="0"/>
        <v>0</v>
      </c>
      <c r="J15" s="707">
        <f t="shared" si="0"/>
        <v>0</v>
      </c>
      <c r="K15" s="707">
        <f t="shared" si="0"/>
        <v>729.30656496025631</v>
      </c>
      <c r="L15" s="707">
        <f t="shared" si="0"/>
        <v>0</v>
      </c>
      <c r="M15" s="707">
        <f t="shared" ca="1" si="0"/>
        <v>0</v>
      </c>
      <c r="N15" s="707">
        <f t="shared" si="0"/>
        <v>0</v>
      </c>
      <c r="O15" s="707">
        <f t="shared" ca="1" si="0"/>
        <v>22699.183577645821</v>
      </c>
      <c r="P15" s="707">
        <f t="shared" si="0"/>
        <v>87.546666666666667</v>
      </c>
      <c r="Q15" s="708">
        <f t="shared" si="0"/>
        <v>610.13333333333333</v>
      </c>
      <c r="R15" s="709">
        <f ca="1">SUM(R9:R14)</f>
        <v>207905.22408201118</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2136.6861338039694</v>
      </c>
      <c r="I18" s="702">
        <f>transport!H54</f>
        <v>0</v>
      </c>
      <c r="J18" s="702">
        <f>transport!I54</f>
        <v>0</v>
      </c>
      <c r="K18" s="702">
        <f>transport!J54</f>
        <v>0</v>
      </c>
      <c r="L18" s="702">
        <f>transport!K54</f>
        <v>0</v>
      </c>
      <c r="M18" s="702">
        <f>transport!L54</f>
        <v>0</v>
      </c>
      <c r="N18" s="702">
        <f>transport!M54</f>
        <v>91.077647101224315</v>
      </c>
      <c r="O18" s="702">
        <f>transport!N54</f>
        <v>0</v>
      </c>
      <c r="P18" s="702">
        <f>transport!O54</f>
        <v>0</v>
      </c>
      <c r="Q18" s="703">
        <f>transport!P54</f>
        <v>0</v>
      </c>
      <c r="R18" s="705">
        <f>SUM(C18:Q18)</f>
        <v>2227.7637809051935</v>
      </c>
      <c r="S18" s="67"/>
    </row>
    <row r="19" spans="1:19" s="457" customFormat="1" ht="15" thickBot="1">
      <c r="A19" s="858" t="s">
        <v>308</v>
      </c>
      <c r="B19" s="863"/>
      <c r="C19" s="711">
        <f>transport!B14</f>
        <v>1.3989404117668802</v>
      </c>
      <c r="D19" s="711">
        <f>transport!C14</f>
        <v>0</v>
      </c>
      <c r="E19" s="711">
        <f>transport!D14</f>
        <v>6.5113056724000407</v>
      </c>
      <c r="F19" s="711">
        <f>transport!E14</f>
        <v>756.99086867085725</v>
      </c>
      <c r="G19" s="711">
        <f>transport!F14</f>
        <v>0</v>
      </c>
      <c r="H19" s="711">
        <f>transport!G14</f>
        <v>173263.83718965945</v>
      </c>
      <c r="I19" s="711">
        <f>transport!H14</f>
        <v>22460.333767814504</v>
      </c>
      <c r="J19" s="711">
        <f>transport!I14</f>
        <v>0</v>
      </c>
      <c r="K19" s="711">
        <f>transport!J14</f>
        <v>0</v>
      </c>
      <c r="L19" s="711">
        <f>transport!K14</f>
        <v>0</v>
      </c>
      <c r="M19" s="711">
        <f>transport!L14</f>
        <v>0</v>
      </c>
      <c r="N19" s="711">
        <f>transport!M14</f>
        <v>8521.0583384569836</v>
      </c>
      <c r="O19" s="711">
        <f>transport!N14</f>
        <v>0</v>
      </c>
      <c r="P19" s="711">
        <f>transport!O14</f>
        <v>0</v>
      </c>
      <c r="Q19" s="712">
        <f>transport!P14</f>
        <v>0</v>
      </c>
      <c r="R19" s="713">
        <f>SUM(C19:Q19)</f>
        <v>205010.13041068596</v>
      </c>
      <c r="S19" s="67"/>
    </row>
    <row r="20" spans="1:19" s="457" customFormat="1" ht="15.75" thickBot="1">
      <c r="A20" s="714" t="s">
        <v>231</v>
      </c>
      <c r="B20" s="866"/>
      <c r="C20" s="861">
        <f>SUM(C17:C19)</f>
        <v>1.3989404117668802</v>
      </c>
      <c r="D20" s="715">
        <f t="shared" ref="D20:R20" si="1">SUM(D17:D19)</f>
        <v>0</v>
      </c>
      <c r="E20" s="715">
        <f t="shared" si="1"/>
        <v>6.5113056724000407</v>
      </c>
      <c r="F20" s="715">
        <f t="shared" si="1"/>
        <v>756.99086867085725</v>
      </c>
      <c r="G20" s="715">
        <f t="shared" si="1"/>
        <v>0</v>
      </c>
      <c r="H20" s="715">
        <f t="shared" si="1"/>
        <v>175400.52332346342</v>
      </c>
      <c r="I20" s="715">
        <f t="shared" si="1"/>
        <v>22460.333767814504</v>
      </c>
      <c r="J20" s="715">
        <f t="shared" si="1"/>
        <v>0</v>
      </c>
      <c r="K20" s="715">
        <f t="shared" si="1"/>
        <v>0</v>
      </c>
      <c r="L20" s="715">
        <f t="shared" si="1"/>
        <v>0</v>
      </c>
      <c r="M20" s="715">
        <f t="shared" si="1"/>
        <v>0</v>
      </c>
      <c r="N20" s="715">
        <f t="shared" si="1"/>
        <v>8612.1359855582086</v>
      </c>
      <c r="O20" s="715">
        <f t="shared" si="1"/>
        <v>0</v>
      </c>
      <c r="P20" s="715">
        <f t="shared" si="1"/>
        <v>0</v>
      </c>
      <c r="Q20" s="716">
        <f t="shared" si="1"/>
        <v>0</v>
      </c>
      <c r="R20" s="717">
        <f t="shared" si="1"/>
        <v>207237.89419159116</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11634.0668632208</v>
      </c>
      <c r="D22" s="711">
        <f>+landbouw!C8</f>
        <v>70290</v>
      </c>
      <c r="E22" s="711">
        <f>+landbouw!D8</f>
        <v>0</v>
      </c>
      <c r="F22" s="711">
        <f>+landbouw!E8</f>
        <v>121.83446686441319</v>
      </c>
      <c r="G22" s="711">
        <f>+landbouw!F8</f>
        <v>59754.4198352764</v>
      </c>
      <c r="H22" s="711">
        <f>+landbouw!G8</f>
        <v>0</v>
      </c>
      <c r="I22" s="711">
        <f>+landbouw!H8</f>
        <v>0</v>
      </c>
      <c r="J22" s="711">
        <f>+landbouw!I8</f>
        <v>0</v>
      </c>
      <c r="K22" s="711">
        <f>+landbouw!J8</f>
        <v>1039.0264488058583</v>
      </c>
      <c r="L22" s="711">
        <f>+landbouw!K8</f>
        <v>0</v>
      </c>
      <c r="M22" s="711">
        <f>+landbouw!L8</f>
        <v>0</v>
      </c>
      <c r="N22" s="711">
        <f>+landbouw!M8</f>
        <v>0</v>
      </c>
      <c r="O22" s="711">
        <f>+landbouw!N8</f>
        <v>0</v>
      </c>
      <c r="P22" s="711">
        <f>+landbouw!O8</f>
        <v>0</v>
      </c>
      <c r="Q22" s="712">
        <f>+landbouw!P8</f>
        <v>0</v>
      </c>
      <c r="R22" s="713">
        <f>SUM(C22:Q22)</f>
        <v>142839.34761416746</v>
      </c>
      <c r="S22" s="67"/>
    </row>
    <row r="23" spans="1:19" s="457" customFormat="1" ht="17.25" thickTop="1" thickBot="1">
      <c r="A23" s="718" t="s">
        <v>116</v>
      </c>
      <c r="B23" s="852"/>
      <c r="C23" s="719">
        <f ca="1">C20+C15+C22</f>
        <v>74494.217684472678</v>
      </c>
      <c r="D23" s="719">
        <f t="shared" ref="D23:Q23" ca="1" si="2">D20+D15+D22</f>
        <v>70290</v>
      </c>
      <c r="E23" s="719">
        <f t="shared" ca="1" si="2"/>
        <v>101999.24531433017</v>
      </c>
      <c r="F23" s="719">
        <f t="shared" si="2"/>
        <v>10781.480255365879</v>
      </c>
      <c r="G23" s="719">
        <f t="shared" ca="1" si="2"/>
        <v>68779.332965353009</v>
      </c>
      <c r="H23" s="719">
        <f t="shared" si="2"/>
        <v>175400.52332346342</v>
      </c>
      <c r="I23" s="719">
        <f t="shared" si="2"/>
        <v>22460.333767814504</v>
      </c>
      <c r="J23" s="719">
        <f t="shared" si="2"/>
        <v>0</v>
      </c>
      <c r="K23" s="719">
        <f t="shared" si="2"/>
        <v>1768.3330137661146</v>
      </c>
      <c r="L23" s="719">
        <f t="shared" si="2"/>
        <v>0</v>
      </c>
      <c r="M23" s="719">
        <f t="shared" ca="1" si="2"/>
        <v>0</v>
      </c>
      <c r="N23" s="719">
        <f t="shared" si="2"/>
        <v>8612.1359855582086</v>
      </c>
      <c r="O23" s="719">
        <f t="shared" ca="1" si="2"/>
        <v>22699.183577645821</v>
      </c>
      <c r="P23" s="719">
        <f t="shared" si="2"/>
        <v>87.546666666666667</v>
      </c>
      <c r="Q23" s="720">
        <f t="shared" si="2"/>
        <v>610.13333333333333</v>
      </c>
      <c r="R23" s="721">
        <f ca="1">R20+R15+R22</f>
        <v>557982.46588776982</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3444.3661227775333</v>
      </c>
      <c r="D36" s="702">
        <f ca="1">tertiair!C20</f>
        <v>0</v>
      </c>
      <c r="E36" s="702">
        <f ca="1">tertiair!D20</f>
        <v>2953.6547469867742</v>
      </c>
      <c r="F36" s="702">
        <f>tertiair!E20</f>
        <v>61.052152070947564</v>
      </c>
      <c r="G36" s="702">
        <f ca="1">tertiair!F20</f>
        <v>723.25496111419932</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7182.3279829494541</v>
      </c>
    </row>
    <row r="37" spans="1:18">
      <c r="A37" s="873" t="s">
        <v>226</v>
      </c>
      <c r="B37" s="880"/>
      <c r="C37" s="702">
        <f ca="1">huishoudens!B12</f>
        <v>8910.9510190798592</v>
      </c>
      <c r="D37" s="702">
        <f ca="1">huishoudens!C12</f>
        <v>0</v>
      </c>
      <c r="E37" s="702">
        <f>huishoudens!D12</f>
        <v>16426.461030407401</v>
      </c>
      <c r="F37" s="702">
        <f>huishoudens!E12</f>
        <v>2169.741877900738</v>
      </c>
      <c r="G37" s="702">
        <f>huishoudens!F12</f>
        <v>997.24097897256456</v>
      </c>
      <c r="H37" s="702">
        <f>huishoudens!G12</f>
        <v>0</v>
      </c>
      <c r="I37" s="702">
        <f>huishoudens!H12</f>
        <v>0</v>
      </c>
      <c r="J37" s="702">
        <f>huishoudens!I12</f>
        <v>0</v>
      </c>
      <c r="K37" s="702">
        <f>huishoudens!J12</f>
        <v>245.74763906935465</v>
      </c>
      <c r="L37" s="702">
        <f>huishoudens!K12</f>
        <v>0</v>
      </c>
      <c r="M37" s="702">
        <f>huishoudens!L12</f>
        <v>0</v>
      </c>
      <c r="N37" s="702">
        <f>huishoudens!M12</f>
        <v>0</v>
      </c>
      <c r="O37" s="702">
        <f>huishoudens!N12</f>
        <v>0</v>
      </c>
      <c r="P37" s="702">
        <f>huishoudens!O12</f>
        <v>0</v>
      </c>
      <c r="Q37" s="812">
        <f>huishoudens!P12</f>
        <v>0</v>
      </c>
      <c r="R37" s="905">
        <f ca="1">SUM(C37:Q37)</f>
        <v>28750.142545429921</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1419.1909695115407</v>
      </c>
      <c r="D39" s="702">
        <f ca="1">industrie!C22</f>
        <v>0</v>
      </c>
      <c r="E39" s="702">
        <f>industrie!D22</f>
        <v>1222.4164923546939</v>
      </c>
      <c r="F39" s="702">
        <f>industrie!E22</f>
        <v>17.108636829862846</v>
      </c>
      <c r="G39" s="702">
        <f>industrie!F22</f>
        <v>689.15586564369187</v>
      </c>
      <c r="H39" s="702">
        <f>industrie!G22</f>
        <v>0</v>
      </c>
      <c r="I39" s="702">
        <f>industrie!H22</f>
        <v>0</v>
      </c>
      <c r="J39" s="702">
        <f>industrie!I22</f>
        <v>0</v>
      </c>
      <c r="K39" s="702">
        <f>industrie!J22</f>
        <v>12.426884926576067</v>
      </c>
      <c r="L39" s="702">
        <f>industrie!K22</f>
        <v>0</v>
      </c>
      <c r="M39" s="702">
        <f>industrie!L22</f>
        <v>0</v>
      </c>
      <c r="N39" s="702">
        <f>industrie!M22</f>
        <v>0</v>
      </c>
      <c r="O39" s="702">
        <f>industrie!N22</f>
        <v>0</v>
      </c>
      <c r="P39" s="702">
        <f>industrie!O22</f>
        <v>0</v>
      </c>
      <c r="Q39" s="812">
        <f>industrie!P22</f>
        <v>0</v>
      </c>
      <c r="R39" s="906">
        <f ca="1">SUM(C39:Q39)</f>
        <v>3360.2988492663653</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13774.508111368934</v>
      </c>
      <c r="D41" s="747">
        <f t="shared" ref="D41:R41" ca="1" si="4">SUM(D35:D40)</f>
        <v>0</v>
      </c>
      <c r="E41" s="747">
        <f t="shared" ca="1" si="4"/>
        <v>20602.532269748866</v>
      </c>
      <c r="F41" s="747">
        <f t="shared" si="4"/>
        <v>2247.9026668015485</v>
      </c>
      <c r="G41" s="747">
        <f t="shared" ca="1" si="4"/>
        <v>2409.6518057304556</v>
      </c>
      <c r="H41" s="747">
        <f t="shared" si="4"/>
        <v>0</v>
      </c>
      <c r="I41" s="747">
        <f t="shared" si="4"/>
        <v>0</v>
      </c>
      <c r="J41" s="747">
        <f t="shared" si="4"/>
        <v>0</v>
      </c>
      <c r="K41" s="747">
        <f t="shared" si="4"/>
        <v>258.17452399593071</v>
      </c>
      <c r="L41" s="747">
        <f t="shared" si="4"/>
        <v>0</v>
      </c>
      <c r="M41" s="747">
        <f t="shared" ca="1" si="4"/>
        <v>0</v>
      </c>
      <c r="N41" s="747">
        <f t="shared" si="4"/>
        <v>0</v>
      </c>
      <c r="O41" s="747">
        <f t="shared" ca="1" si="4"/>
        <v>0</v>
      </c>
      <c r="P41" s="747">
        <f t="shared" si="4"/>
        <v>0</v>
      </c>
      <c r="Q41" s="748">
        <f t="shared" si="4"/>
        <v>0</v>
      </c>
      <c r="R41" s="749">
        <f t="shared" ca="1" si="4"/>
        <v>39292.769377645738</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570.49519772565986</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570.49519772565986</v>
      </c>
    </row>
    <row r="45" spans="1:18" ht="15" thickBot="1">
      <c r="A45" s="876" t="s">
        <v>308</v>
      </c>
      <c r="B45" s="886"/>
      <c r="C45" s="711">
        <f ca="1">transport!B18</f>
        <v>0.30655581717139163</v>
      </c>
      <c r="D45" s="711">
        <f>transport!C18</f>
        <v>0</v>
      </c>
      <c r="E45" s="711">
        <f>transport!D18</f>
        <v>1.3152837458248083</v>
      </c>
      <c r="F45" s="711">
        <f>transport!E18</f>
        <v>171.83692718828459</v>
      </c>
      <c r="G45" s="711">
        <f>transport!F18</f>
        <v>0</v>
      </c>
      <c r="H45" s="711">
        <f>transport!G18</f>
        <v>46261.444529639077</v>
      </c>
      <c r="I45" s="711">
        <f>transport!H18</f>
        <v>5592.6231081858114</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52027.526404576172</v>
      </c>
    </row>
    <row r="46" spans="1:18" ht="15.75" thickBot="1">
      <c r="A46" s="874" t="s">
        <v>231</v>
      </c>
      <c r="B46" s="887"/>
      <c r="C46" s="747">
        <f t="shared" ref="C46:R46" ca="1" si="5">SUM(C43:C45)</f>
        <v>0.30655581717139163</v>
      </c>
      <c r="D46" s="747">
        <f t="shared" ca="1" si="5"/>
        <v>0</v>
      </c>
      <c r="E46" s="747">
        <f t="shared" si="5"/>
        <v>1.3152837458248083</v>
      </c>
      <c r="F46" s="747">
        <f t="shared" si="5"/>
        <v>171.83692718828459</v>
      </c>
      <c r="G46" s="747">
        <f t="shared" si="5"/>
        <v>0</v>
      </c>
      <c r="H46" s="747">
        <f t="shared" si="5"/>
        <v>46831.939727364734</v>
      </c>
      <c r="I46" s="747">
        <f t="shared" si="5"/>
        <v>5592.6231081858114</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52598.021602301829</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2549.4230092164798</v>
      </c>
      <c r="D48" s="702">
        <f ca="1">+landbouw!C12</f>
        <v>16704.211764705884</v>
      </c>
      <c r="E48" s="702">
        <f>+landbouw!D12</f>
        <v>0</v>
      </c>
      <c r="F48" s="702">
        <f>+landbouw!E12</f>
        <v>27.656423978221795</v>
      </c>
      <c r="G48" s="702">
        <f>+landbouw!F12</f>
        <v>15954.430096018799</v>
      </c>
      <c r="H48" s="702">
        <f>+landbouw!G12</f>
        <v>0</v>
      </c>
      <c r="I48" s="702">
        <f>+landbouw!H12</f>
        <v>0</v>
      </c>
      <c r="J48" s="702">
        <f>+landbouw!I12</f>
        <v>0</v>
      </c>
      <c r="K48" s="702">
        <f>+landbouw!J12</f>
        <v>367.8153628772738</v>
      </c>
      <c r="L48" s="702">
        <f>+landbouw!K12</f>
        <v>0</v>
      </c>
      <c r="M48" s="702">
        <f>+landbouw!L12</f>
        <v>0</v>
      </c>
      <c r="N48" s="702">
        <f>+landbouw!M12</f>
        <v>0</v>
      </c>
      <c r="O48" s="702">
        <f>+landbouw!N12</f>
        <v>0</v>
      </c>
      <c r="P48" s="702">
        <f>+landbouw!O12</f>
        <v>0</v>
      </c>
      <c r="Q48" s="703">
        <f>+landbouw!P12</f>
        <v>0</v>
      </c>
      <c r="R48" s="745">
        <f ca="1">SUM(C48:Q48)</f>
        <v>35603.536656796656</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16324.237676402585</v>
      </c>
      <c r="D53" s="757">
        <f t="shared" ref="D53:Q53" ca="1" si="6">D41+D46+D48</f>
        <v>16704.211764705884</v>
      </c>
      <c r="E53" s="757">
        <f t="shared" ca="1" si="6"/>
        <v>20603.847553494692</v>
      </c>
      <c r="F53" s="757">
        <f t="shared" si="6"/>
        <v>2447.3960179680553</v>
      </c>
      <c r="G53" s="757">
        <f t="shared" ca="1" si="6"/>
        <v>18364.081901749254</v>
      </c>
      <c r="H53" s="757">
        <f t="shared" si="6"/>
        <v>46831.939727364734</v>
      </c>
      <c r="I53" s="757">
        <f t="shared" si="6"/>
        <v>5592.6231081858114</v>
      </c>
      <c r="J53" s="757">
        <f t="shared" si="6"/>
        <v>0</v>
      </c>
      <c r="K53" s="757">
        <f t="shared" si="6"/>
        <v>625.98988687320457</v>
      </c>
      <c r="L53" s="757">
        <f t="shared" si="6"/>
        <v>0</v>
      </c>
      <c r="M53" s="757">
        <f t="shared" ca="1" si="6"/>
        <v>0</v>
      </c>
      <c r="N53" s="757">
        <f t="shared" si="6"/>
        <v>0</v>
      </c>
      <c r="O53" s="757">
        <f t="shared" ca="1" si="6"/>
        <v>0</v>
      </c>
      <c r="P53" s="757">
        <f>P41+P46+P48</f>
        <v>0</v>
      </c>
      <c r="Q53" s="758">
        <f t="shared" si="6"/>
        <v>0</v>
      </c>
      <c r="R53" s="759">
        <f ca="1">R41+R46+R48</f>
        <v>127494.32763674423</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0.21913429234931281</v>
      </c>
      <c r="D55" s="823">
        <f t="shared" ca="1" si="7"/>
        <v>0.23764705882352943</v>
      </c>
      <c r="E55" s="823">
        <f t="shared" ca="1" si="7"/>
        <v>0.20199999999999999</v>
      </c>
      <c r="F55" s="823">
        <f t="shared" si="7"/>
        <v>0.22700000000000006</v>
      </c>
      <c r="G55" s="823">
        <f t="shared" ca="1" si="7"/>
        <v>0.26700000000000002</v>
      </c>
      <c r="H55" s="823">
        <f t="shared" si="7"/>
        <v>0.26700000000000002</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4335.1568649773399</v>
      </c>
      <c r="C66" s="779">
        <f>'lokale energieproductie'!B6</f>
        <v>4335.1568649773399</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49203</v>
      </c>
      <c r="C67" s="778">
        <f>B67*IFERROR(SUM(J67:L67)/SUM(D67:M67),0)</f>
        <v>0</v>
      </c>
      <c r="D67" s="810">
        <f>'lokale energieproductie'!C7</f>
        <v>57885.882352941175</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11692.948235294118</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53538.15686497734</v>
      </c>
      <c r="C69" s="787">
        <f>SUM(C64:C68)</f>
        <v>4335.1568649773399</v>
      </c>
      <c r="D69" s="788">
        <f t="shared" ref="D69:M69" si="8">SUM(D67:D68)</f>
        <v>57885.882352941175</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11692.948235294118</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70290</v>
      </c>
      <c r="C78" s="801">
        <f>B78*IFERROR(SUM(I78:L78)/SUM(D78:M78),0)</f>
        <v>0</v>
      </c>
      <c r="D78" s="816">
        <f>'lokale energieproductie'!C16</f>
        <v>82694.117647058825</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16704.211764705884</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70290</v>
      </c>
      <c r="C81" s="787">
        <f>SUM(C78:C80)</f>
        <v>0</v>
      </c>
      <c r="D81" s="787">
        <f t="shared" ref="D81:P81" si="9">SUM(D78:D80)</f>
        <v>82694.117647058825</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16704.211764705884</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40664.338399739296</v>
      </c>
      <c r="C4" s="461">
        <f>huishoudens!C8</f>
        <v>0</v>
      </c>
      <c r="D4" s="461">
        <f>huishoudens!D8</f>
        <v>81319.114011917831</v>
      </c>
      <c r="E4" s="461">
        <f>huishoudens!E8</f>
        <v>9558.3342638799022</v>
      </c>
      <c r="F4" s="461">
        <f>huishoudens!F8</f>
        <v>3734.9849399721516</v>
      </c>
      <c r="G4" s="461">
        <f>huishoudens!G8</f>
        <v>0</v>
      </c>
      <c r="H4" s="461">
        <f>huishoudens!H8</f>
        <v>0</v>
      </c>
      <c r="I4" s="461">
        <f>huishoudens!I8</f>
        <v>0</v>
      </c>
      <c r="J4" s="461">
        <f>huishoudens!J8</f>
        <v>694.20237025241431</v>
      </c>
      <c r="K4" s="461">
        <f>huishoudens!K8</f>
        <v>0</v>
      </c>
      <c r="L4" s="461">
        <f>huishoudens!L8</f>
        <v>0</v>
      </c>
      <c r="M4" s="461">
        <f>huishoudens!M8</f>
        <v>0</v>
      </c>
      <c r="N4" s="461">
        <f>huishoudens!N8</f>
        <v>21858.744188374014</v>
      </c>
      <c r="O4" s="461">
        <f>huishoudens!O8</f>
        <v>85.983333333333334</v>
      </c>
      <c r="P4" s="462">
        <f>huishoudens!P8</f>
        <v>572</v>
      </c>
      <c r="Q4" s="463">
        <f>SUM(B4:P4)</f>
        <v>158487.70150746894</v>
      </c>
    </row>
    <row r="5" spans="1:17">
      <c r="A5" s="460" t="s">
        <v>156</v>
      </c>
      <c r="B5" s="461">
        <f ca="1">tertiair!B16</f>
        <v>14324.360764706844</v>
      </c>
      <c r="C5" s="461">
        <f ca="1">tertiair!C16</f>
        <v>0</v>
      </c>
      <c r="D5" s="461">
        <f ca="1">tertiair!D16</f>
        <v>14622.053202904823</v>
      </c>
      <c r="E5" s="461">
        <f>tertiair!E16</f>
        <v>268.95221176628883</v>
      </c>
      <c r="F5" s="461">
        <f ca="1">tertiair!F16</f>
        <v>2708.8200790793981</v>
      </c>
      <c r="G5" s="461">
        <f>tertiair!G16</f>
        <v>0</v>
      </c>
      <c r="H5" s="461">
        <f>tertiair!H16</f>
        <v>0</v>
      </c>
      <c r="I5" s="461">
        <f>tertiair!I16</f>
        <v>0</v>
      </c>
      <c r="J5" s="461">
        <f>tertiair!J16</f>
        <v>0</v>
      </c>
      <c r="K5" s="461">
        <f>tertiair!K16</f>
        <v>0</v>
      </c>
      <c r="L5" s="461">
        <f ca="1">tertiair!L16</f>
        <v>0</v>
      </c>
      <c r="M5" s="461">
        <f>tertiair!M16</f>
        <v>0</v>
      </c>
      <c r="N5" s="461">
        <f ca="1">tertiair!N16</f>
        <v>602.75241230453651</v>
      </c>
      <c r="O5" s="461">
        <f>tertiair!O16</f>
        <v>1.5633333333333335</v>
      </c>
      <c r="P5" s="462">
        <f>tertiair!P16</f>
        <v>38.133333333333333</v>
      </c>
      <c r="Q5" s="460">
        <f t="shared" ref="Q5:Q13" ca="1" si="0">SUM(B5:P5)</f>
        <v>32566.635337428557</v>
      </c>
    </row>
    <row r="6" spans="1:17">
      <c r="A6" s="460" t="s">
        <v>195</v>
      </c>
      <c r="B6" s="461">
        <f>'openbare verlichting'!B8</f>
        <v>1393.7</v>
      </c>
      <c r="C6" s="461"/>
      <c r="D6" s="461"/>
      <c r="E6" s="461"/>
      <c r="F6" s="461"/>
      <c r="G6" s="461"/>
      <c r="H6" s="461"/>
      <c r="I6" s="461"/>
      <c r="J6" s="461"/>
      <c r="K6" s="461"/>
      <c r="L6" s="461"/>
      <c r="M6" s="461"/>
      <c r="N6" s="461"/>
      <c r="O6" s="461"/>
      <c r="P6" s="462"/>
      <c r="Q6" s="460">
        <f t="shared" si="0"/>
        <v>1393.7</v>
      </c>
    </row>
    <row r="7" spans="1:17">
      <c r="A7" s="460" t="s">
        <v>112</v>
      </c>
      <c r="B7" s="461">
        <f>landbouw!B8</f>
        <v>11634.0668632208</v>
      </c>
      <c r="C7" s="461">
        <f>landbouw!C8</f>
        <v>70290</v>
      </c>
      <c r="D7" s="461">
        <f>landbouw!D8</f>
        <v>0</v>
      </c>
      <c r="E7" s="461">
        <f>landbouw!E8</f>
        <v>121.83446686441319</v>
      </c>
      <c r="F7" s="461">
        <f>landbouw!F8</f>
        <v>59754.4198352764</v>
      </c>
      <c r="G7" s="461">
        <f>landbouw!G8</f>
        <v>0</v>
      </c>
      <c r="H7" s="461">
        <f>landbouw!H8</f>
        <v>0</v>
      </c>
      <c r="I7" s="461">
        <f>landbouw!I8</f>
        <v>0</v>
      </c>
      <c r="J7" s="461">
        <f>landbouw!J8</f>
        <v>1039.0264488058583</v>
      </c>
      <c r="K7" s="461">
        <f>landbouw!K8</f>
        <v>0</v>
      </c>
      <c r="L7" s="461">
        <f>landbouw!L8</f>
        <v>0</v>
      </c>
      <c r="M7" s="461">
        <f>landbouw!M8</f>
        <v>0</v>
      </c>
      <c r="N7" s="461">
        <f>landbouw!N8</f>
        <v>0</v>
      </c>
      <c r="O7" s="461">
        <f>landbouw!O8</f>
        <v>0</v>
      </c>
      <c r="P7" s="462">
        <f>landbouw!P8</f>
        <v>0</v>
      </c>
      <c r="Q7" s="460">
        <f t="shared" si="0"/>
        <v>142839.34761416746</v>
      </c>
    </row>
    <row r="8" spans="1:17">
      <c r="A8" s="460" t="s">
        <v>656</v>
      </c>
      <c r="B8" s="461">
        <f>industrie!B18</f>
        <v>6476.3527163939616</v>
      </c>
      <c r="C8" s="461">
        <f>industrie!C18</f>
        <v>0</v>
      </c>
      <c r="D8" s="461">
        <f>industrie!D18</f>
        <v>6051.566793835118</v>
      </c>
      <c r="E8" s="461">
        <f>industrie!E18</f>
        <v>75.368444184417825</v>
      </c>
      <c r="F8" s="461">
        <f>industrie!F18</f>
        <v>2581.108111025063</v>
      </c>
      <c r="G8" s="461">
        <f>industrie!G18</f>
        <v>0</v>
      </c>
      <c r="H8" s="461">
        <f>industrie!H18</f>
        <v>0</v>
      </c>
      <c r="I8" s="461">
        <f>industrie!I18</f>
        <v>0</v>
      </c>
      <c r="J8" s="461">
        <f>industrie!J18</f>
        <v>35.104194707841998</v>
      </c>
      <c r="K8" s="461">
        <f>industrie!K18</f>
        <v>0</v>
      </c>
      <c r="L8" s="461">
        <f>industrie!L18</f>
        <v>0</v>
      </c>
      <c r="M8" s="461">
        <f>industrie!M18</f>
        <v>0</v>
      </c>
      <c r="N8" s="461">
        <f>industrie!N18</f>
        <v>237.68697696727173</v>
      </c>
      <c r="O8" s="461">
        <f>industrie!O18</f>
        <v>0</v>
      </c>
      <c r="P8" s="462">
        <f>industrie!P18</f>
        <v>0</v>
      </c>
      <c r="Q8" s="460">
        <f t="shared" si="0"/>
        <v>15457.187237113676</v>
      </c>
    </row>
    <row r="9" spans="1:17" s="466" customFormat="1">
      <c r="A9" s="464" t="s">
        <v>574</v>
      </c>
      <c r="B9" s="465">
        <f>transport!B14</f>
        <v>1.3989404117668802</v>
      </c>
      <c r="C9" s="465">
        <f>transport!C14</f>
        <v>0</v>
      </c>
      <c r="D9" s="465">
        <f>transport!D14</f>
        <v>6.5113056724000407</v>
      </c>
      <c r="E9" s="465">
        <f>transport!E14</f>
        <v>756.99086867085725</v>
      </c>
      <c r="F9" s="465">
        <f>transport!F14</f>
        <v>0</v>
      </c>
      <c r="G9" s="465">
        <f>transport!G14</f>
        <v>173263.83718965945</v>
      </c>
      <c r="H9" s="465">
        <f>transport!H14</f>
        <v>22460.333767814504</v>
      </c>
      <c r="I9" s="465">
        <f>transport!I14</f>
        <v>0</v>
      </c>
      <c r="J9" s="465">
        <f>transport!J14</f>
        <v>0</v>
      </c>
      <c r="K9" s="465">
        <f>transport!K14</f>
        <v>0</v>
      </c>
      <c r="L9" s="465">
        <f>transport!L14</f>
        <v>0</v>
      </c>
      <c r="M9" s="465">
        <f>transport!M14</f>
        <v>8521.0583384569836</v>
      </c>
      <c r="N9" s="465">
        <f>transport!N14</f>
        <v>0</v>
      </c>
      <c r="O9" s="465">
        <f>transport!O14</f>
        <v>0</v>
      </c>
      <c r="P9" s="465">
        <f>transport!P14</f>
        <v>0</v>
      </c>
      <c r="Q9" s="464">
        <f>SUM(B9:P9)</f>
        <v>205010.13041068596</v>
      </c>
    </row>
    <row r="10" spans="1:17">
      <c r="A10" s="460" t="s">
        <v>564</v>
      </c>
      <c r="B10" s="461">
        <f>transport!B54</f>
        <v>0</v>
      </c>
      <c r="C10" s="461">
        <f>transport!C54</f>
        <v>0</v>
      </c>
      <c r="D10" s="461">
        <f>transport!D54</f>
        <v>0</v>
      </c>
      <c r="E10" s="461">
        <f>transport!E54</f>
        <v>0</v>
      </c>
      <c r="F10" s="461">
        <f>transport!F54</f>
        <v>0</v>
      </c>
      <c r="G10" s="461">
        <f>transport!G54</f>
        <v>2136.6861338039694</v>
      </c>
      <c r="H10" s="461">
        <f>transport!H54</f>
        <v>0</v>
      </c>
      <c r="I10" s="461">
        <f>transport!I54</f>
        <v>0</v>
      </c>
      <c r="J10" s="461">
        <f>transport!J54</f>
        <v>0</v>
      </c>
      <c r="K10" s="461">
        <f>transport!K54</f>
        <v>0</v>
      </c>
      <c r="L10" s="461">
        <f>transport!L54</f>
        <v>0</v>
      </c>
      <c r="M10" s="461">
        <f>transport!M54</f>
        <v>91.077647101224315</v>
      </c>
      <c r="N10" s="461">
        <f>transport!N54</f>
        <v>0</v>
      </c>
      <c r="O10" s="461">
        <f>transport!O54</f>
        <v>0</v>
      </c>
      <c r="P10" s="462">
        <f>transport!P54</f>
        <v>0</v>
      </c>
      <c r="Q10" s="460">
        <f t="shared" si="0"/>
        <v>2227.7637809051935</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74494.217684472649</v>
      </c>
      <c r="C14" s="471">
        <f t="shared" ref="C14:Q14" ca="1" si="1">SUM(C4:C13)</f>
        <v>70290</v>
      </c>
      <c r="D14" s="471">
        <f t="shared" ca="1" si="1"/>
        <v>101999.24531433017</v>
      </c>
      <c r="E14" s="471">
        <f t="shared" si="1"/>
        <v>10781.480255365879</v>
      </c>
      <c r="F14" s="471">
        <f t="shared" ca="1" si="1"/>
        <v>68779.332965353009</v>
      </c>
      <c r="G14" s="471">
        <f t="shared" si="1"/>
        <v>175400.52332346342</v>
      </c>
      <c r="H14" s="471">
        <f t="shared" si="1"/>
        <v>22460.333767814504</v>
      </c>
      <c r="I14" s="471">
        <f t="shared" si="1"/>
        <v>0</v>
      </c>
      <c r="J14" s="471">
        <f t="shared" si="1"/>
        <v>1768.3330137661146</v>
      </c>
      <c r="K14" s="471">
        <f t="shared" si="1"/>
        <v>0</v>
      </c>
      <c r="L14" s="471">
        <f t="shared" ca="1" si="1"/>
        <v>0</v>
      </c>
      <c r="M14" s="471">
        <f t="shared" si="1"/>
        <v>8612.1359855582086</v>
      </c>
      <c r="N14" s="471">
        <f t="shared" ca="1" si="1"/>
        <v>22699.183577645821</v>
      </c>
      <c r="O14" s="471">
        <f t="shared" si="1"/>
        <v>87.546666666666667</v>
      </c>
      <c r="P14" s="472">
        <f t="shared" si="1"/>
        <v>610.13333333333333</v>
      </c>
      <c r="Q14" s="472">
        <f t="shared" ca="1" si="1"/>
        <v>557982.46588776982</v>
      </c>
    </row>
    <row r="16" spans="1:17">
      <c r="A16" s="474" t="s">
        <v>569</v>
      </c>
      <c r="B16" s="828">
        <f ca="1">huishoudens!B10</f>
        <v>0.21913429234931284</v>
      </c>
      <c r="C16" s="828">
        <f ca="1">huishoudens!C10</f>
        <v>0.23764705882352943</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8910.9510190798592</v>
      </c>
      <c r="C21" s="461">
        <f t="shared" ref="C21:C30" ca="1" si="3">C4*$C$16</f>
        <v>0</v>
      </c>
      <c r="D21" s="461">
        <f t="shared" ref="D21:D30" si="4">D4*$D$16</f>
        <v>16426.461030407401</v>
      </c>
      <c r="E21" s="461">
        <f t="shared" ref="E21:E30" si="5">E4*$E$16</f>
        <v>2169.741877900738</v>
      </c>
      <c r="F21" s="461">
        <f t="shared" ref="F21:F30" si="6">F4*$F$16</f>
        <v>997.24097897256456</v>
      </c>
      <c r="G21" s="461">
        <f t="shared" ref="G21:G30" si="7">G4*$G$16</f>
        <v>0</v>
      </c>
      <c r="H21" s="461">
        <f t="shared" ref="H21:H30" si="8">H4*$H$16</f>
        <v>0</v>
      </c>
      <c r="I21" s="461">
        <f t="shared" ref="I21:I30" si="9">I4*$I$16</f>
        <v>0</v>
      </c>
      <c r="J21" s="461">
        <f t="shared" ref="J21:J30" si="10">J4*$J$16</f>
        <v>245.74763906935465</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28750.142545429921</v>
      </c>
    </row>
    <row r="22" spans="1:17">
      <c r="A22" s="460" t="s">
        <v>156</v>
      </c>
      <c r="B22" s="461">
        <f t="shared" ca="1" si="2"/>
        <v>3138.9586595302958</v>
      </c>
      <c r="C22" s="461">
        <f t="shared" ca="1" si="3"/>
        <v>0</v>
      </c>
      <c r="D22" s="461">
        <f t="shared" ca="1" si="4"/>
        <v>2953.6547469867742</v>
      </c>
      <c r="E22" s="461">
        <f t="shared" si="5"/>
        <v>61.052152070947564</v>
      </c>
      <c r="F22" s="461">
        <f t="shared" ca="1" si="6"/>
        <v>723.25496111419932</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6876.9205197022166</v>
      </c>
    </row>
    <row r="23" spans="1:17">
      <c r="A23" s="460" t="s">
        <v>195</v>
      </c>
      <c r="B23" s="461">
        <f t="shared" ca="1" si="2"/>
        <v>305.40746324723733</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305.40746324723733</v>
      </c>
    </row>
    <row r="24" spans="1:17">
      <c r="A24" s="460" t="s">
        <v>112</v>
      </c>
      <c r="B24" s="461">
        <f t="shared" ca="1" si="2"/>
        <v>2549.4230092164798</v>
      </c>
      <c r="C24" s="461">
        <f t="shared" ca="1" si="3"/>
        <v>16704.211764705884</v>
      </c>
      <c r="D24" s="461">
        <f t="shared" si="4"/>
        <v>0</v>
      </c>
      <c r="E24" s="461">
        <f t="shared" si="5"/>
        <v>27.656423978221795</v>
      </c>
      <c r="F24" s="461">
        <f t="shared" si="6"/>
        <v>15954.430096018799</v>
      </c>
      <c r="G24" s="461">
        <f t="shared" si="7"/>
        <v>0</v>
      </c>
      <c r="H24" s="461">
        <f t="shared" si="8"/>
        <v>0</v>
      </c>
      <c r="I24" s="461">
        <f t="shared" si="9"/>
        <v>0</v>
      </c>
      <c r="J24" s="461">
        <f t="shared" si="10"/>
        <v>367.8153628772738</v>
      </c>
      <c r="K24" s="461">
        <f t="shared" si="11"/>
        <v>0</v>
      </c>
      <c r="L24" s="461">
        <f t="shared" si="12"/>
        <v>0</v>
      </c>
      <c r="M24" s="461">
        <f t="shared" si="13"/>
        <v>0</v>
      </c>
      <c r="N24" s="461">
        <f t="shared" si="14"/>
        <v>0</v>
      </c>
      <c r="O24" s="461">
        <f t="shared" si="15"/>
        <v>0</v>
      </c>
      <c r="P24" s="462">
        <f t="shared" si="16"/>
        <v>0</v>
      </c>
      <c r="Q24" s="460">
        <f t="shared" ca="1" si="17"/>
        <v>35603.536656796656</v>
      </c>
    </row>
    <row r="25" spans="1:17">
      <c r="A25" s="460" t="s">
        <v>656</v>
      </c>
      <c r="B25" s="461">
        <f t="shared" ca="1" si="2"/>
        <v>1419.1909695115407</v>
      </c>
      <c r="C25" s="461">
        <f t="shared" ca="1" si="3"/>
        <v>0</v>
      </c>
      <c r="D25" s="461">
        <f t="shared" si="4"/>
        <v>1222.4164923546939</v>
      </c>
      <c r="E25" s="461">
        <f t="shared" si="5"/>
        <v>17.108636829862846</v>
      </c>
      <c r="F25" s="461">
        <f t="shared" si="6"/>
        <v>689.15586564369187</v>
      </c>
      <c r="G25" s="461">
        <f t="shared" si="7"/>
        <v>0</v>
      </c>
      <c r="H25" s="461">
        <f t="shared" si="8"/>
        <v>0</v>
      </c>
      <c r="I25" s="461">
        <f t="shared" si="9"/>
        <v>0</v>
      </c>
      <c r="J25" s="461">
        <f t="shared" si="10"/>
        <v>12.426884926576067</v>
      </c>
      <c r="K25" s="461">
        <f t="shared" si="11"/>
        <v>0</v>
      </c>
      <c r="L25" s="461">
        <f t="shared" si="12"/>
        <v>0</v>
      </c>
      <c r="M25" s="461">
        <f t="shared" si="13"/>
        <v>0</v>
      </c>
      <c r="N25" s="461">
        <f t="shared" si="14"/>
        <v>0</v>
      </c>
      <c r="O25" s="461">
        <f t="shared" si="15"/>
        <v>0</v>
      </c>
      <c r="P25" s="462">
        <f t="shared" si="16"/>
        <v>0</v>
      </c>
      <c r="Q25" s="460">
        <f t="shared" ca="1" si="17"/>
        <v>3360.2988492663653</v>
      </c>
    </row>
    <row r="26" spans="1:17" s="466" customFormat="1">
      <c r="A26" s="464" t="s">
        <v>574</v>
      </c>
      <c r="B26" s="822">
        <f t="shared" ca="1" si="2"/>
        <v>0.30655581717139163</v>
      </c>
      <c r="C26" s="465">
        <f t="shared" ca="1" si="3"/>
        <v>0</v>
      </c>
      <c r="D26" s="465">
        <f t="shared" si="4"/>
        <v>1.3152837458248083</v>
      </c>
      <c r="E26" s="465">
        <f t="shared" si="5"/>
        <v>171.83692718828459</v>
      </c>
      <c r="F26" s="465">
        <f t="shared" si="6"/>
        <v>0</v>
      </c>
      <c r="G26" s="465">
        <f t="shared" si="7"/>
        <v>46261.444529639077</v>
      </c>
      <c r="H26" s="465">
        <f t="shared" si="8"/>
        <v>5592.6231081858114</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52027.526404576172</v>
      </c>
    </row>
    <row r="27" spans="1:17">
      <c r="A27" s="460" t="s">
        <v>564</v>
      </c>
      <c r="B27" s="461">
        <f t="shared" ca="1" si="2"/>
        <v>0</v>
      </c>
      <c r="C27" s="461">
        <f t="shared" ca="1" si="3"/>
        <v>0</v>
      </c>
      <c r="D27" s="461">
        <f t="shared" si="4"/>
        <v>0</v>
      </c>
      <c r="E27" s="461">
        <f t="shared" si="5"/>
        <v>0</v>
      </c>
      <c r="F27" s="461">
        <f t="shared" si="6"/>
        <v>0</v>
      </c>
      <c r="G27" s="461">
        <f t="shared" si="7"/>
        <v>570.49519772565986</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570.49519772565986</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16324.237676402583</v>
      </c>
      <c r="C31" s="471">
        <f t="shared" ca="1" si="18"/>
        <v>16704.211764705884</v>
      </c>
      <c r="D31" s="471">
        <f t="shared" ca="1" si="18"/>
        <v>20603.847553494692</v>
      </c>
      <c r="E31" s="471">
        <f t="shared" si="18"/>
        <v>2447.3960179680553</v>
      </c>
      <c r="F31" s="471">
        <f t="shared" ca="1" si="18"/>
        <v>18364.081901749254</v>
      </c>
      <c r="G31" s="471">
        <f t="shared" si="18"/>
        <v>46831.939727364734</v>
      </c>
      <c r="H31" s="471">
        <f t="shared" si="18"/>
        <v>5592.6231081858114</v>
      </c>
      <c r="I31" s="471">
        <f t="shared" si="18"/>
        <v>0</v>
      </c>
      <c r="J31" s="471">
        <f t="shared" si="18"/>
        <v>625.98988687320457</v>
      </c>
      <c r="K31" s="471">
        <f t="shared" si="18"/>
        <v>0</v>
      </c>
      <c r="L31" s="471">
        <f t="shared" ca="1" si="18"/>
        <v>0</v>
      </c>
      <c r="M31" s="471">
        <f t="shared" si="18"/>
        <v>0</v>
      </c>
      <c r="N31" s="471">
        <f t="shared" ca="1" si="18"/>
        <v>0</v>
      </c>
      <c r="O31" s="471">
        <f t="shared" si="18"/>
        <v>0</v>
      </c>
      <c r="P31" s="472">
        <f t="shared" si="18"/>
        <v>0</v>
      </c>
      <c r="Q31" s="472">
        <f t="shared" ca="1" si="18"/>
        <v>127494.32763674424</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0.21913429234931284</v>
      </c>
      <c r="C17" s="511">
        <f ca="1">'EF ele_warmte'!B22</f>
        <v>0.23764705882352943</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1</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1.5633333333333335</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0.21913429234931284</v>
      </c>
      <c r="C17" s="511">
        <f ca="1">'EF ele_warmte'!B22</f>
        <v>0.23764705882352943</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0.21913429234931284</v>
      </c>
      <c r="C29" s="512">
        <f ca="1">'EF ele_warmte'!B22</f>
        <v>0.23764705882352943</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2018-06-27T08:59:21Z</dcterms:modified>
</cp:coreProperties>
</file>