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C16" i="16" s="1"/>
  <c r="N89" i="18"/>
  <c r="B16" i="16" s="1"/>
  <c r="M89" i="18"/>
  <c r="W88"/>
  <c r="V88"/>
  <c r="J8" s="1"/>
  <c r="U88"/>
  <c r="T88"/>
  <c r="S88"/>
  <c r="E8" s="1"/>
  <c r="F68" i="14" s="1"/>
  <c r="R88" i="18"/>
  <c r="Q88"/>
  <c r="P88"/>
  <c r="C8" s="1"/>
  <c r="D68" i="14" s="1"/>
  <c r="O88" i="18"/>
  <c r="N88"/>
  <c r="B8" s="1"/>
  <c r="M88"/>
  <c r="W60"/>
  <c r="V60"/>
  <c r="U60"/>
  <c r="T60"/>
  <c r="S60"/>
  <c r="R60"/>
  <c r="Q60"/>
  <c r="P60"/>
  <c r="D6" i="17" s="1"/>
  <c r="O60" i="18"/>
  <c r="N60"/>
  <c r="M60"/>
  <c r="W59"/>
  <c r="V59"/>
  <c r="U59"/>
  <c r="T59"/>
  <c r="S59"/>
  <c r="F13" i="15" s="1"/>
  <c r="R59" i="18"/>
  <c r="Q59"/>
  <c r="P59"/>
  <c r="O59"/>
  <c r="N59"/>
  <c r="M59"/>
  <c r="W58"/>
  <c r="V58"/>
  <c r="U58"/>
  <c r="T58"/>
  <c r="S58"/>
  <c r="R58"/>
  <c r="Q58"/>
  <c r="P58"/>
  <c r="O5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I17"/>
  <c r="H17"/>
  <c r="G17"/>
  <c r="F17"/>
  <c r="G79" i="14" s="1"/>
  <c r="E17" i="18"/>
  <c r="D17"/>
  <c r="E79" i="14" s="1"/>
  <c r="C17" i="18"/>
  <c r="B17"/>
  <c r="K11"/>
  <c r="J11"/>
  <c r="I11"/>
  <c r="H11"/>
  <c r="G11"/>
  <c r="F11"/>
  <c r="E11"/>
  <c r="D11"/>
  <c r="C11"/>
  <c r="L8"/>
  <c r="L9" s="1"/>
  <c r="K8"/>
  <c r="K9" s="1"/>
  <c r="I8"/>
  <c r="J68" i="14" s="1"/>
  <c r="H8" i="18"/>
  <c r="G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C6"/>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B11"/>
  <c r="D10"/>
  <c r="D9"/>
  <c r="E8"/>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M79" i="14"/>
  <c r="K79"/>
  <c r="I79"/>
  <c r="B79"/>
  <c r="M78"/>
  <c r="L78"/>
  <c r="H78"/>
  <c r="G78"/>
  <c r="E7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O80" i="14" l="1"/>
  <c r="L68"/>
  <c r="H68"/>
  <c r="D8" i="17"/>
  <c r="E22" i="14" s="1"/>
  <c r="C97" i="18"/>
  <c r="I100" s="1"/>
  <c r="H7" s="1"/>
  <c r="I67" i="14" s="1"/>
  <c r="F16" i="16"/>
  <c r="D13" i="15"/>
  <c r="B16" i="18"/>
  <c r="B78" i="14" s="1"/>
  <c r="B81" s="1"/>
  <c r="C13" i="15"/>
  <c r="C18" i="16"/>
  <c r="C8" i="48" s="1"/>
  <c r="N16" i="16"/>
  <c r="B13" i="15"/>
  <c r="F6" i="17"/>
  <c r="F8" s="1"/>
  <c r="D16" i="16"/>
  <c r="D12" i="22"/>
  <c r="E17" i="14"/>
  <c r="D13" i="48"/>
  <c r="D30" s="1"/>
  <c r="D31" i="20"/>
  <c r="E43" i="14" s="1"/>
  <c r="I101" i="18"/>
  <c r="H16" s="1"/>
  <c r="I78" i="14" s="1"/>
  <c r="E101" i="18"/>
  <c r="E16" s="1"/>
  <c r="F78" i="14" s="1"/>
  <c r="F101" i="18"/>
  <c r="H101"/>
  <c r="J16" s="1"/>
  <c r="K78" i="14" s="1"/>
  <c r="K81" s="1"/>
  <c r="D101" i="18"/>
  <c r="G101"/>
  <c r="C101"/>
  <c r="B101"/>
  <c r="C16" s="1"/>
  <c r="D78" i="14" s="1"/>
  <c r="E12" i="22"/>
  <c r="F17" i="14"/>
  <c r="E13" i="48"/>
  <c r="B12" i="22"/>
  <c r="C17" i="14"/>
  <c r="B13" i="48"/>
  <c r="B13" i="16"/>
  <c r="C35"/>
  <c r="C64" i="14"/>
  <c r="D11" i="48"/>
  <c r="D28" s="1"/>
  <c r="D14" i="15"/>
  <c r="K19" i="19"/>
  <c r="L35" i="14" s="1"/>
  <c r="I19" i="19"/>
  <c r="J35" i="14" s="1"/>
  <c r="B6" i="48"/>
  <c r="Q6" s="1"/>
  <c r="P22" i="16"/>
  <c r="Q39" i="14" s="1"/>
  <c r="P18" i="16"/>
  <c r="J8" i="17"/>
  <c r="J7" i="48" s="1"/>
  <c r="J24" s="1"/>
  <c r="G19" i="18"/>
  <c r="K19"/>
  <c r="L16" i="16"/>
  <c r="L18" s="1"/>
  <c r="N6" i="17"/>
  <c r="F100" i="18"/>
  <c r="E31" i="20"/>
  <c r="F43" i="14" s="1"/>
  <c r="H14" i="22"/>
  <c r="B100" i="18"/>
  <c r="C7" s="1"/>
  <c r="C9" s="1"/>
  <c r="E9" i="14"/>
  <c r="J9"/>
  <c r="J15" s="1"/>
  <c r="N9"/>
  <c r="N15" s="1"/>
  <c r="I11" i="48"/>
  <c r="M11"/>
  <c r="M28" s="1"/>
  <c r="M19" i="19"/>
  <c r="N35" i="14" s="1"/>
  <c r="J7" i="15"/>
  <c r="O5" i="16"/>
  <c r="B7" i="18"/>
  <c r="B67" i="14" s="1"/>
  <c r="C80"/>
  <c r="C16" i="15"/>
  <c r="D10" i="14" s="1"/>
  <c r="L6" i="17"/>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I27" s="1"/>
  <c r="J18" i="14"/>
  <c r="J20" s="1"/>
  <c r="F18"/>
  <c r="E58" i="22"/>
  <c r="F44" i="14" s="1"/>
  <c r="E10" i="48"/>
  <c r="E27" s="1"/>
  <c r="K18" i="14"/>
  <c r="J10" i="48"/>
  <c r="J27" s="1"/>
  <c r="J58" i="22"/>
  <c r="K44" i="14" s="1"/>
  <c r="K46" s="1"/>
  <c r="D18"/>
  <c r="D20" s="1"/>
  <c r="C10" i="48"/>
  <c r="I18" i="14"/>
  <c r="H10" i="48"/>
  <c r="H27" s="1"/>
  <c r="L58" i="22"/>
  <c r="M44" i="14" s="1"/>
  <c r="M46"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C78" i="22"/>
  <c r="E7" i="15"/>
  <c r="Q9" i="14"/>
  <c r="G5" i="48"/>
  <c r="E12" i="15"/>
  <c r="O5"/>
  <c r="O16" s="1"/>
  <c r="M20"/>
  <c r="N36" i="14" s="1"/>
  <c r="N41" s="1"/>
  <c r="N10"/>
  <c r="G20" i="15"/>
  <c r="H36" i="14" s="1"/>
  <c r="H41" s="1"/>
  <c r="H20" i="15"/>
  <c r="I36" i="14" s="1"/>
  <c r="I41" s="1"/>
  <c r="I10"/>
  <c r="I15" s="1"/>
  <c r="C66"/>
  <c r="B66"/>
  <c r="F8" i="16"/>
  <c r="J9"/>
  <c r="B7" i="48"/>
  <c r="C22" i="14"/>
  <c r="C65"/>
  <c r="B65"/>
  <c r="F6" i="15"/>
  <c r="F8"/>
  <c r="N10" i="16"/>
  <c r="E14"/>
  <c r="L41" i="14"/>
  <c r="H15"/>
  <c r="L15"/>
  <c r="H69"/>
  <c r="P20"/>
  <c r="K20"/>
  <c r="G20"/>
  <c r="L69"/>
  <c r="D5" i="15"/>
  <c r="B8"/>
  <c r="J8"/>
  <c r="F12"/>
  <c r="I20"/>
  <c r="J36" i="14" s="1"/>
  <c r="J4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L21"/>
  <c r="M16"/>
  <c r="M21" s="1"/>
  <c r="K29"/>
  <c r="B39" i="13"/>
  <c r="B51" s="1"/>
  <c r="F5" s="1"/>
  <c r="F8" s="1"/>
  <c r="G11" i="14" s="1"/>
  <c r="I21" i="48"/>
  <c r="K27"/>
  <c r="G29"/>
  <c r="O21"/>
  <c r="H24"/>
  <c r="L16"/>
  <c r="L29" s="1"/>
  <c r="H21"/>
  <c r="K24"/>
  <c r="K25"/>
  <c r="Q11" i="14"/>
  <c r="P12" i="13"/>
  <c r="Q37" i="14" s="1"/>
  <c r="P4" i="48"/>
  <c r="P21" s="1"/>
  <c r="D12" i="13"/>
  <c r="E37" i="14" s="1"/>
  <c r="D4" i="48"/>
  <c r="D21" s="1"/>
  <c r="E11" i="14"/>
  <c r="F23" i="48"/>
  <c r="J23"/>
  <c r="N23"/>
  <c r="N26"/>
  <c r="H28"/>
  <c r="L28"/>
  <c r="F30"/>
  <c r="J30"/>
  <c r="N30"/>
  <c r="G23"/>
  <c r="K23"/>
  <c r="O23"/>
  <c r="G25"/>
  <c r="F26"/>
  <c r="J26"/>
  <c r="O26"/>
  <c r="F27"/>
  <c r="E28"/>
  <c r="I28"/>
  <c r="D29"/>
  <c r="H29"/>
  <c r="P29"/>
  <c r="K30"/>
  <c r="O30"/>
  <c r="C22" i="13"/>
  <c r="C21"/>
  <c r="C20"/>
  <c r="D23" i="48"/>
  <c r="H23"/>
  <c r="L23"/>
  <c r="P23"/>
  <c r="H25"/>
  <c r="P26"/>
  <c r="F28"/>
  <c r="J28"/>
  <c r="N28"/>
  <c r="L30"/>
  <c r="P30"/>
  <c r="G22"/>
  <c r="E23"/>
  <c r="I23"/>
  <c r="O24"/>
  <c r="I25"/>
  <c r="P11" i="14"/>
  <c r="O12" i="13"/>
  <c r="P37" i="14" s="1"/>
  <c r="B10" i="48"/>
  <c r="C18" i="14"/>
  <c r="P24" i="48"/>
  <c r="E5" i="17"/>
  <c r="C8"/>
  <c r="G24" i="48"/>
  <c r="K14"/>
  <c r="I24"/>
  <c r="G81" i="14"/>
  <c r="D79"/>
  <c r="H79"/>
  <c r="H81" s="1"/>
  <c r="L79"/>
  <c r="L81" s="1"/>
  <c r="F79"/>
  <c r="J79"/>
  <c r="E68"/>
  <c r="E69" s="1"/>
  <c r="I68"/>
  <c r="I69" s="1"/>
  <c r="M68"/>
  <c r="M69" s="1"/>
  <c r="D19" i="18"/>
  <c r="L19"/>
  <c r="B68" i="14"/>
  <c r="G68"/>
  <c r="G69" s="1"/>
  <c r="K68"/>
  <c r="E81"/>
  <c r="M81"/>
  <c r="B19" i="18"/>
  <c r="F19"/>
  <c r="D11" i="14"/>
  <c r="C4" i="48"/>
  <c r="M8" i="18"/>
  <c r="M17"/>
  <c r="M18"/>
  <c r="D13" i="14"/>
  <c r="G22" l="1"/>
  <c r="F12" i="17"/>
  <c r="G48" i="14" s="1"/>
  <c r="F7" i="48"/>
  <c r="F24" s="1"/>
  <c r="N8" i="17"/>
  <c r="N5"/>
  <c r="L8"/>
  <c r="L7" i="48" s="1"/>
  <c r="L24" s="1"/>
  <c r="L5" i="17"/>
  <c r="B35" i="13"/>
  <c r="J12" i="17"/>
  <c r="K48" i="14" s="1"/>
  <c r="D67"/>
  <c r="I81"/>
  <c r="E19" i="18"/>
  <c r="H19"/>
  <c r="H9"/>
  <c r="D7" i="48"/>
  <c r="D24" s="1"/>
  <c r="C100" i="18"/>
  <c r="I16"/>
  <c r="F81" i="14"/>
  <c r="D16" i="15"/>
  <c r="E10" i="14" s="1"/>
  <c r="D12" i="17"/>
  <c r="E48" i="14" s="1"/>
  <c r="D100" i="18"/>
  <c r="G100"/>
  <c r="G31" i="20"/>
  <c r="H43" i="14" s="1"/>
  <c r="E100" i="18"/>
  <c r="E7" s="1"/>
  <c r="H100"/>
  <c r="J7" s="1"/>
  <c r="O78" i="14"/>
  <c r="L12" i="17"/>
  <c r="M48" i="14" s="1"/>
  <c r="D81"/>
  <c r="O79"/>
  <c r="M23" i="48"/>
  <c r="L27"/>
  <c r="B9" i="18"/>
  <c r="M31" i="20"/>
  <c r="N43" i="14" s="1"/>
  <c r="M12" i="22"/>
  <c r="O18" i="16"/>
  <c r="B34" i="13"/>
  <c r="I7" i="18"/>
  <c r="K22" i="14"/>
  <c r="M13"/>
  <c r="L8" i="48"/>
  <c r="L25" s="1"/>
  <c r="L22" i="16"/>
  <c r="M39" i="14" s="1"/>
  <c r="J19" i="18"/>
  <c r="C7" i="48"/>
  <c r="D22" i="14"/>
  <c r="M22" i="48"/>
  <c r="B36" i="13"/>
  <c r="O68" i="14"/>
  <c r="C68"/>
  <c r="F22"/>
  <c r="E8" i="17"/>
  <c r="D8" i="48"/>
  <c r="D25" s="1"/>
  <c r="D18" i="16"/>
  <c r="D22" s="1"/>
  <c r="E39" i="14" s="1"/>
  <c r="M16" i="18"/>
  <c r="M19" s="1"/>
  <c r="C79" i="14"/>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M5" i="22"/>
  <c r="G5"/>
  <c r="G14" s="1"/>
  <c r="I14" i="48"/>
  <c r="E5" i="15"/>
  <c r="O20"/>
  <c r="P36" i="14" s="1"/>
  <c r="P10"/>
  <c r="P20" i="15"/>
  <c r="Q36" i="14" s="1"/>
  <c r="Q41" s="1"/>
  <c r="Q53" s="1"/>
  <c r="Q10"/>
  <c r="Q15" s="1"/>
  <c r="Q23" s="1"/>
  <c r="J5" i="15"/>
  <c r="F4" i="48"/>
  <c r="F21" s="1"/>
  <c r="B69" i="14"/>
  <c r="B4" i="6" s="1"/>
  <c r="D15" i="14"/>
  <c r="J23"/>
  <c r="L53"/>
  <c r="L23"/>
  <c r="J53"/>
  <c r="F5" i="15"/>
  <c r="F16" s="1"/>
  <c r="B5"/>
  <c r="B16" s="1"/>
  <c r="E13" i="14"/>
  <c r="B5" i="16"/>
  <c r="B18" s="1"/>
  <c r="C13" i="14" s="1"/>
  <c r="N5" i="15"/>
  <c r="N16" s="1"/>
  <c r="F12" i="13"/>
  <c r="G37" i="14" s="1"/>
  <c r="P5" i="48"/>
  <c r="P22" s="1"/>
  <c r="P31" s="1"/>
  <c r="F13" i="16"/>
  <c r="E13"/>
  <c r="N13"/>
  <c r="J13"/>
  <c r="B47" i="13"/>
  <c r="N12" i="16"/>
  <c r="J12"/>
  <c r="F12"/>
  <c r="E12"/>
  <c r="Q11" i="48"/>
  <c r="O5"/>
  <c r="R9" i="14"/>
  <c r="C19"/>
  <c r="C20" s="1"/>
  <c r="E19"/>
  <c r="E20" s="1"/>
  <c r="O28" i="48"/>
  <c r="H22"/>
  <c r="B46" i="13"/>
  <c r="E5" s="1"/>
  <c r="E8" s="1"/>
  <c r="E12" s="1"/>
  <c r="F37" i="14" s="1"/>
  <c r="K31" i="48"/>
  <c r="L26"/>
  <c r="B48" i="13"/>
  <c r="C48" s="1"/>
  <c r="N5" s="1"/>
  <c r="N8" s="1"/>
  <c r="N4" i="48" s="1"/>
  <c r="N21" s="1"/>
  <c r="M29"/>
  <c r="M25"/>
  <c r="M24"/>
  <c r="I31"/>
  <c r="C50" i="13"/>
  <c r="J5" s="1"/>
  <c r="J8" s="1"/>
  <c r="E7" i="48"/>
  <c r="E24" s="1"/>
  <c r="E12" i="17"/>
  <c r="F48" i="14" s="1"/>
  <c r="C5" i="48"/>
  <c r="O67" i="14" l="1"/>
  <c r="O22"/>
  <c r="N12" i="17"/>
  <c r="O48" i="14" s="1"/>
  <c r="N7" i="48"/>
  <c r="N24" s="1"/>
  <c r="F67" i="14"/>
  <c r="F69" s="1"/>
  <c r="E9" i="18"/>
  <c r="J78" i="14"/>
  <c r="I19" i="18"/>
  <c r="C14" i="48"/>
  <c r="D69" i="14"/>
  <c r="O81"/>
  <c r="B17" i="6" s="1"/>
  <c r="Q13" i="48"/>
  <c r="D20" i="15"/>
  <c r="E36" i="14" s="1"/>
  <c r="E41" s="1"/>
  <c r="D5" i="48"/>
  <c r="D22" s="1"/>
  <c r="D31" s="1"/>
  <c r="M22" i="14"/>
  <c r="R22" s="1"/>
  <c r="E20" i="15"/>
  <c r="F36" i="14" s="1"/>
  <c r="E16" i="15"/>
  <c r="K67" i="14"/>
  <c r="K69" s="1"/>
  <c r="J9" i="18"/>
  <c r="J67" i="14"/>
  <c r="I9" i="18"/>
  <c r="M7"/>
  <c r="M9" s="1"/>
  <c r="K10" i="14"/>
  <c r="J16" i="15"/>
  <c r="J5" i="48" s="1"/>
  <c r="J22" s="1"/>
  <c r="O8"/>
  <c r="O25" s="1"/>
  <c r="P13" i="14"/>
  <c r="P15" s="1"/>
  <c r="P23" s="1"/>
  <c r="M14" i="22"/>
  <c r="O22" i="16"/>
  <c r="P39" i="14" s="1"/>
  <c r="P41" s="1"/>
  <c r="P53" s="1"/>
  <c r="D18" i="22"/>
  <c r="E45" i="14" s="1"/>
  <c r="E46" s="1"/>
  <c r="E18" i="22"/>
  <c r="F45" i="14" s="1"/>
  <c r="F46" s="1"/>
  <c r="E9" i="48"/>
  <c r="E26" s="1"/>
  <c r="M58" i="22"/>
  <c r="N44" i="14" s="1"/>
  <c r="M10" i="48"/>
  <c r="M27" s="1"/>
  <c r="N18" i="14"/>
  <c r="H31" i="48"/>
  <c r="H14"/>
  <c r="G18" i="22"/>
  <c r="H45" i="14" s="1"/>
  <c r="H19"/>
  <c r="G9" i="48"/>
  <c r="G58" i="22"/>
  <c r="H44" i="14" s="1"/>
  <c r="H18"/>
  <c r="G10" i="48"/>
  <c r="M18" i="22"/>
  <c r="N45" i="14" s="1"/>
  <c r="M9" i="48"/>
  <c r="N19" i="14"/>
  <c r="E5" i="48"/>
  <c r="E22" s="1"/>
  <c r="P14"/>
  <c r="F10" i="14"/>
  <c r="B8" i="48"/>
  <c r="J20" i="15"/>
  <c r="K36" i="14" s="1"/>
  <c r="E15"/>
  <c r="E23" s="1"/>
  <c r="J55"/>
  <c r="L55"/>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J81" i="14" l="1"/>
  <c r="C78"/>
  <c r="C81" s="1"/>
  <c r="Q7" i="48"/>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N22" i="16"/>
  <c r="O39" i="14" s="1"/>
  <c r="O41" s="1"/>
  <c r="F8" i="48"/>
  <c r="Q4"/>
  <c r="N22"/>
  <c r="R11" i="14"/>
  <c r="J21" i="48"/>
  <c r="R10" i="14"/>
  <c r="O13" l="1"/>
  <c r="O15" s="1"/>
  <c r="F13"/>
  <c r="F15" s="1"/>
  <c r="F23" s="1"/>
  <c r="F22" i="16"/>
  <c r="G39" i="14" s="1"/>
  <c r="G41" s="1"/>
  <c r="N25" i="48"/>
  <c r="N31" s="1"/>
  <c r="N14"/>
  <c r="E8"/>
  <c r="Q8" s="1"/>
  <c r="Q14" s="1"/>
  <c r="J22" i="16"/>
  <c r="K39" i="14" s="1"/>
  <c r="K41" s="1"/>
  <c r="K53" s="1"/>
  <c r="K55" s="1"/>
  <c r="J31" i="48"/>
  <c r="J14"/>
  <c r="R20" i="14"/>
  <c r="N55"/>
  <c r="H55"/>
  <c r="G31" i="48"/>
  <c r="F55" i="14"/>
  <c r="O53"/>
  <c r="G53"/>
  <c r="G55" s="1"/>
  <c r="O69" s="1"/>
  <c r="B9" i="6" s="1"/>
  <c r="B12" s="1"/>
  <c r="M53" i="14"/>
  <c r="M55" s="1"/>
  <c r="C12" i="13"/>
  <c r="D37" i="14" s="1"/>
  <c r="D41" s="1"/>
  <c r="C23" i="48"/>
  <c r="C24"/>
  <c r="C27"/>
  <c r="C28"/>
  <c r="C22"/>
  <c r="C25"/>
  <c r="C29"/>
  <c r="C21"/>
  <c r="C26"/>
  <c r="F25"/>
  <c r="F31" s="1"/>
  <c r="F14"/>
  <c r="R13" i="14" l="1"/>
  <c r="R15"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<sst xmlns="http://schemas.openxmlformats.org/spreadsheetml/2006/main" count="2056" uniqueCount="907">
  <si>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</si>
  <si>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</si>
  <si>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</si>
  <si>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</si>
  <si>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</si>
  <si>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</si>
  <si>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</si>
  <si>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</si>
  <si>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</si>
  <si>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</si>
  <si>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</si>
  <si>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</si>
  <si>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</si>
  <si>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</si>
  <si>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</si>
  <si>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</si>
  <si>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</si>
  <si>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</si>
  <si>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</si>
  <si>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</si>
  <si>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</si>
  <si>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</si>
  <si>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</si>
  <si>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</si>
  <si>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</si>
  <si>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</si>
  <si>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</si>
  <si>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</si>
  <si>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</si>
  <si>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</si>
  <si>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</si>
  <si>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</si>
  <si>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</si>
  <si>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</si>
  <si>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</si>
  <si>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</si>
  <si>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</si>
  <si>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</si>
  <si>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</si>
  <si>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</si>
  <si>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</si>
  <si>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</si>
  <si>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</si>
  <si>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</si>
  <si>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</si>
  <si>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</si>
  <si>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</si>
  <si>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</si>
  <si>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</si>
  <si>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</si>
  <si>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</si>
  <si>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</si>
  <si>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</si>
  <si>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</si>
  <si>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</si>
  <si>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</si>
  <si>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</si>
  <si>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</si>
  <si>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</si>
  <si>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</si>
  <si>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</si>
  <si>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</si>
  <si>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</si>
  <si>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</si>
  <si>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</si>
  <si>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</si>
  <si>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</si>
  <si>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</si>
  <si>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</si>
  <si>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</si>
  <si>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</si>
  <si>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</si>
  <si>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</si>
  <si>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</si>
  <si>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</si>
  <si>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</si>
  <si>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</si>
  <si>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</si>
  <si>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</si>
  <si>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</si>
  <si>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</si>
  <si>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</si>
  <si>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</si>
  <si>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</si>
  <si>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</si>
  <si>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</si>
  <si>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</si>
  <si>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</si>
  <si>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</si>
  <si>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</si>
  <si>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</si>
  <si>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</si>
  <si>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</si>
  <si>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</si>
  <si>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</si>
  <si>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</si>
  <si>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</si>
  <si>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</si>
  <si>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</si>
  <si>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</si>
  <si>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</si>
  <si>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</si>
  <si>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</si>
  <si>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</si>
  <si>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</si>
  <si>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</si>
  <si>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</si>
  <si>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</si>
  <si>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</si>
  <si>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</si>
  <si>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</si>
  <si>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</si>
  <si>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</si>
  <si>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</si>
  <si>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</si>
  <si>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</si>
  <si>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</si>
  <si>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</si>
  <si>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</si>
  <si>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</si>
  <si>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</si>
  <si>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</si>
  <si>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</si>
  <si>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</si>
  <si>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</si>
  <si>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</si>
  <si>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</si>
  <si>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</si>
  <si>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</si>
  <si>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</si>
  <si>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</si>
  <si>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</si>
  <si>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</si>
  <si>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</si>
  <si>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</si>
  <si>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</si>
  <si>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</si>
  <si>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</si>
  <si>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</si>
  <si>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</si>
  <si>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</si>
  <si>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</si>
  <si>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</si>
  <si>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</si>
  <si>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</si>
  <si>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</si>
  <si>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</si>
  <si>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</si>
  <si>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</si>
  <si>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</si>
  <si>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</si>
  <si>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</si>
  <si>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</si>
  <si>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</si>
  <si>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</si>
  <si>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</si>
  <si>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</si>
  <si>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</si>
  <si>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</si>
  <si>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</si>
  <si>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</si>
  <si>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</si>
  <si>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</si>
  <si>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</si>
  <si>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</si>
  <si>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</si>
  <si>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</si>
  <si>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</si>
  <si>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</si>
  <si>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</si>
  <si>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</si>
  <si>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</si>
  <si>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</si>
  <si>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</si>
  <si>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</si>
  <si>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</si>
  <si>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</si>
  <si>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</si>
  <si>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</si>
  <si>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</si>
  <si>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</si>
  <si>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</si>
  <si>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</si>
  <si>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</si>
  <si>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</si>
  <si>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</si>
  <si>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</si>
  <si>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</si>
  <si>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</si>
  <si>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</si>
  <si>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</si>
  <si>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</si>
  <si>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</si>
  <si>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</si>
  <si>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</si>
  <si>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</si>
  <si>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</si>
  <si>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</si>
  <si>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</si>
  <si>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</si>
  <si>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</si>
  <si>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</si>
  <si>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</si>
  <si>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</si>
  <si>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</si>
  <si>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</si>
  <si>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</si>
  <si>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</si>
  <si>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</si>
  <si>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</si>
  <si>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</si>
  <si>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</si>
  <si>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</si>
  <si>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</si>
  <si>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</si>
  <si>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</si>
  <si>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</si>
  <si>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</si>
  <si>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</si>
  <si>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</si>
  <si>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</si>
  <si>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</si>
  <si>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</si>
  <si>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</si>
  <si>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</si>
  <si>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</si>
  <si>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</si>
  <si>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</si>
  <si>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</si>
  <si>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</si>
  <si>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</si>
  <si>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</si>
  <si>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</si>
  <si>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</si>
  <si>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</si>
  <si>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</si>
  <si>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</si>
  <si>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</si>
  <si>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</si>
  <si>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</si>
  <si>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</si>
  <si>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</si>
  <si>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</si>
  <si>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</si>
  <si>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</si>
  <si>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</si>
  <si>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</si>
  <si>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</si>
  <si>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</si>
  <si>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</si>
  <si>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</si>
  <si>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</si>
  <si>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</si>
  <si>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</si>
  <si>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</si>
  <si>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</si>
  <si>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</si>
  <si>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</si>
  <si>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</si>
  <si>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</si>
  <si>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</si>
  <si>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</si>
  <si>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</si>
  <si>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</si>
  <si>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</si>
  <si>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</si>
  <si>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</si>
  <si>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</si>
  <si>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</si>
  <si>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</si>
  <si>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</si>
  <si>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</si>
  <si>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</si>
  <si>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</si>
  <si>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</si>
  <si>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</si>
  <si>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</si>
  <si>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</si>
  <si>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</si>
  <si>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</si>
  <si>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</si>
  <si>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</si>
  <si>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</si>
  <si>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</si>
  <si>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</si>
  <si>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</si>
  <si>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</si>
  <si>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</si>
  <si>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</si>
  <si>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</si>
  <si>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</si>
  <si>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</si>
  <si>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</si>
  <si>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</si>
  <si>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</si>
  <si>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</si>
  <si>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</si>
  <si>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</si>
  <si>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</si>
  <si>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</si>
  <si>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</si>
  <si>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</si>
  <si>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</si>
  <si>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</si>
  <si>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</si>
  <si>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</si>
  <si>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</si>
  <si>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</si>
  <si>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</si>
  <si>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</si>
  <si>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</si>
  <si>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</si>
  <si>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</si>
  <si>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</si>
  <si>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</si>
  <si>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</si>
  <si>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</si>
  <si>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</si>
  <si>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</si>
  <si>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</si>
  <si>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</si>
  <si>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</si>
  <si>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</si>
  <si>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</si>
  <si>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</si>
  <si>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</si>
  <si>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</si>
  <si>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</si>
  <si>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</si>
  <si>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</si>
  <si>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</si>
  <si>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</si>
  <si>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</si>
  <si>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</si>
  <si>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</si>
  <si>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</si>
  <si>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</si>
  <si>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</si>
  <si>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</si>
  <si>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</si>
  <si>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</si>
  <si>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</si>
  <si>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</si>
  <si>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</si>
  <si>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</si>
  <si>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</si>
  <si>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</si>
  <si>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</si>
  <si>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</si>
  <si>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</si>
  <si>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</si>
  <si>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</si>
  <si>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</si>
  <si>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</si>
  <si>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</si>
  <si>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</si>
  <si>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</si>
  <si>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</si>
  <si>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</si>
  <si>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</si>
  <si>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</si>
  <si>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</si>
  <si>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</si>
  <si>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</si>
  <si>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</si>
  <si>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</si>
  <si>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</si>
  <si>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</si>
  <si>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</si>
  <si>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</si>
  <si>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</si>
  <si>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</si>
  <si>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</si>
  <si>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</si>
  <si>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</si>
  <si>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</si>
  <si>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</si>
  <si>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</si>
  <si>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</si>
  <si>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</si>
  <si>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</si>
  <si>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</si>
  <si>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</si>
  <si>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</si>
  <si>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</si>
  <si>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</si>
  <si>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</si>
  <si>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</si>
  <si>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</si>
  <si>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</si>
  <si>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</si>
  <si>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</si>
  <si>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</si>
  <si>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</si>
  <si>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</si>
  <si>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</si>
  <si>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</si>
  <si>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</si>
  <si>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</si>
  <si>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</si>
  <si>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</si>
  <si>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</si>
  <si>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</si>
  <si>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</si>
  <si>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</si>
  <si>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</si>
  <si>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</si>
  <si>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</si>
  <si>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</si>
  <si>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</si>
  <si>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</si>
  <si>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</si>
  <si>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</si>
  <si>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</si>
  <si>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</si>
  <si>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</si>
  <si>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</si>
  <si>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</si>
  <si>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</si>
  <si>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</si>
  <si>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</si>
  <si>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</si>
  <si>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</si>
  <si>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</si>
  <si>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</si>
  <si>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</si>
  <si>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</si>
  <si>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</si>
  <si>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</si>
  <si>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</si>
  <si>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</si>
  <si>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</si>
  <si>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</si>
  <si>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</si>
  <si>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</si>
  <si>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</si>
  <si>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</si>
  <si>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</si>
  <si>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</si>
  <si>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</si>
  <si>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</si>
  <si>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</si>
  <si>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</si>
  <si>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</si>
  <si>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</si>
  <si>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</si>
  <si>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</si>
  <si>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</si>
  <si>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</si>
  <si>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</si>
  <si>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</si>
  <si>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</si>
  <si>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</si>
  <si>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</si>
  <si>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</si>
  <si>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</si>
  <si>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</si>
  <si>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</si>
  <si>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</si>
  <si>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</si>
  <si>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</si>
  <si>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</si>
  <si>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</si>
  <si>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</si>
  <si>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</si>
  <si>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</si>
  <si>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</si>
  <si>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</si>
  <si>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</si>
  <si>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</si>
  <si>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</si>
  <si>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</si>
  <si>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</si>
  <si>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</si>
  <si>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</si>
  <si>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</si>
  <si>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</si>
  <si>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</si>
  <si>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</si>
  <si>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</si>
  <si>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</si>
  <si>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</si>
  <si>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</si>
  <si>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</si>
  <si>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</si>
  <si>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</si>
  <si>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</si>
  <si>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</si>
  <si>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</si>
  <si>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</si>
  <si>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</si>
  <si>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</si>
  <si>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</si>
  <si>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</si>
  <si>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</si>
  <si>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</si>
  <si>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</si>
  <si>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</si>
  <si>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</si>
  <si>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</si>
  <si>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</si>
  <si>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</si>
  <si>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</si>
  <si>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</si>
  <si>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</si>
  <si>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</si>
  <si>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</si>
  <si>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</si>
  <si>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</si>
  <si>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</si>
  <si>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</si>
  <si>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</si>
  <si>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</si>
  <si>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</si>
  <si>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</si>
  <si>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</si>
  <si>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</si>
  <si>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</si>
  <si>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</si>
  <si>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</si>
  <si>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</si>
  <si>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</si>
  <si>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</si>
  <si>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</si>
  <si>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</si>
  <si>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</si>
  <si>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</si>
  <si>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</si>
  <si>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</si>
  <si>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</si>
  <si>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</si>
  <si>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</si>
  <si>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</si>
  <si>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</si>
  <si>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</si>
  <si>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</si>
  <si>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</si>
  <si>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</si>
  <si>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</si>
  <si>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</si>
  <si>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</si>
  <si>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</si>
  <si>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</si>
  <si>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</si>
  <si>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</si>
  <si>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</si>
  <si>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</si>
  <si>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</si>
  <si>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</si>
  <si>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</si>
  <si>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</si>
  <si>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</si>
  <si>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</si>
  <si>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</si>
  <si>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</si>
  <si>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</si>
  <si>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</si>
  <si>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</si>
  <si>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</si>
  <si>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</si>
  <si>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</si>
  <si>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</si>
  <si>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</si>
  <si>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</si>
  <si>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</si>
  <si>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</si>
  <si>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</si>
  <si>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</si>
  <si>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</si>
  <si>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</si>
  <si>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</si>
  <si>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</si>
  <si>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</si>
  <si>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</si>
  <si>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</si>
  <si>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</si>
  <si>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</si>
  <si>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</si>
  <si>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</si>
  <si>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</si>
  <si>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</si>
  <si>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</si>
  <si>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</si>
  <si>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</si>
  <si>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</si>
  <si>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</si>
  <si>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</si>
  <si>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</si>
  <si>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</si>
  <si>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</si>
  <si>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</si>
  <si>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</si>
  <si>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</si>
  <si>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</si>
  <si>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</si>
  <si>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</si>
  <si>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</si>
  <si>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</si>
  <si>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</si>
  <si>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</si>
  <si>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</si>
  <si>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</si>
  <si>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</si>
  <si>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</si>
  <si>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</si>
  <si>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</si>
  <si>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</si>
  <si>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</si>
  <si>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</si>
  <si>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</si>
  <si>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</si>
  <si>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</si>
  <si>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</si>
  <si>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</si>
  <si>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</si>
  <si>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</si>
  <si>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</si>
  <si>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</si>
  <si>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</si>
  <si>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</si>
  <si>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</si>
  <si>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</si>
  <si>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</si>
  <si>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</si>
  <si>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</si>
  <si>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</si>
  <si>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</si>
  <si>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</si>
  <si>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</si>
  <si>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</si>
  <si>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</si>
  <si>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</si>
  <si>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</si>
  <si>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</si>
  <si>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</si>
  <si>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</si>
  <si>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</si>
  <si>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</si>
  <si>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</si>
  <si>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</si>
  <si>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</si>
  <si>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</si>
  <si>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</si>
  <si>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</si>
  <si>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</si>
  <si>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</si>
  <si>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</si>
  <si>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</si>
  <si>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</si>
  <si>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</si>
  <si>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</si>
  <si>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</si>
  <si>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</si>
  <si>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</si>
  <si>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</si>
  <si>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</si>
  <si>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</si>
  <si>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</si>
  <si>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</si>
  <si>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</si>
  <si>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</si>
  <si>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</si>
  <si>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</si>
  <si>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</si>
  <si>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</si>
  <si>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</si>
  <si>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</si>
  <si>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</si>
  <si>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</si>
  <si>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</si>
  <si>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</si>
  <si>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</si>
  <si>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</si>
  <si>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</si>
  <si>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</si>
  <si>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</si>
  <si>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</si>
  <si>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</si>
  <si>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</si>
  <si>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</si>
  <si>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</si>
  <si>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</si>
  <si>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</si>
  <si>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</si>
  <si>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</si>
  <si>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</si>
  <si>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</si>
  <si>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</si>
  <si>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</si>
  <si>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</si>
  <si>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</si>
  <si>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</si>
  <si>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</si>
  <si>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</si>
  <si>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</si>
  <si>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</si>
  <si>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</si>
  <si>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</si>
  <si>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</si>
  <si>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</si>
  <si>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</si>
  <si>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</si>
  <si>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</si>
  <si>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</si>
  <si>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</si>
  <si>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</si>
  <si>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</si>
  <si>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</si>
  <si>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</si>
  <si>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</si>
  <si>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</si>
  <si>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</si>
  <si>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</si>
  <si>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</si>
  <si>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</si>
  <si>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</si>
  <si>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</si>
  <si>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</si>
  <si>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</si>
  <si>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</si>
  <si>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</si>
  <si>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</si>
  <si>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</si>
  <si>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</si>
  <si>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</si>
  <si>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</si>
  <si>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</si>
  <si>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</si>
  <si>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</si>
  <si>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</si>
  <si>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</si>
  <si>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</si>
  <si>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</si>
  <si>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</si>
  <si>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</si>
  <si>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</si>
  <si>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</si>
  <si>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</si>
  <si>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</si>
  <si>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</si>
  <si>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</si>
  <si>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</si>
  <si>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</si>
  <si>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</si>
  <si>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</si>
  <si>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</si>
  <si>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</si>
  <si>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</si>
  <si>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</si>
  <si>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</si>
  <si>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</si>
  <si>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</si>
  <si>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</si>
  <si>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</si>
  <si>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</si>
  <si>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</si>
  <si>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</si>
  <si>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</si>
  <si>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</si>
  <si>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</si>
  <si>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</si>
  <si>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</si>
  <si>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</si>
  <si>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</si>
  <si>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</si>
  <si>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</si>
  <si>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</si>
  <si>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</si>
  <si>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</si>
  <si>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</si>
  <si>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</si>
  <si>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</si>
  <si>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</si>
  <si>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</si>
  <si>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</si>
  <si>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</si>
  <si>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</si>
  <si>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</si>
  <si>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</si>
  <si>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</si>
  <si>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</si>
  <si>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</si>
  <si>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</si>
  <si>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</si>
  <si>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</si>
  <si>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</si>
  <si>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</si>
  <si>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</si>
  <si>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</si>
  <si>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</si>
  <si>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</si>
  <si>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</si>
  <si>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</si>
  <si>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</si>
  <si>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</si>
  <si>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</si>
  <si>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</si>
  <si>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</si>
  <si>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</si>
  <si>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</si>
  <si>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</si>
  <si>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</si>
  <si>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</si>
  <si>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</si>
  <si>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</si>
  <si>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</si>
  <si>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</si>
  <si>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</si>
  <si>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</si>
  <si>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</si>
  <si>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</si>
  <si>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</si>
  <si>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</si>
  <si>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</si>
  <si>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</si>
  <si>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</si>
  <si>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</si>
  <si>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</si>
  <si>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</si>
  <si>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</si>
  <si>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</si>
  <si>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</si>
  <si>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</si>
  <si>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</si>
  <si>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</si>
  <si>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</si>
  <si>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</si>
  <si>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</si>
  <si>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</si>
  <si>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</si>
  <si>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</si>
  <si>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</si>
  <si>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</si>
  <si>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</si>
  <si>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</si>
  <si>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</si>
  <si>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</si>
  <si>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</si>
  <si>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</si>
  <si>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</si>
  <si>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</si>
  <si>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</si>
  <si>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</si>
  <si>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</si>
  <si>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</si>
  <si>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</si>
  <si>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</si>
  <si>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</si>
  <si>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</si>
  <si>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</si>
  <si>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</si>
  <si>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</si>
  <si>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</si>
  <si>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</si>
  <si>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</si>
  <si>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</si>
  <si>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</si>
  <si>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</si>
  <si>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</si>
  <si>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</si>
  <si>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</si>
  <si>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</si>
  <si>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</si>
  <si>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</si>
  <si>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</si>
  <si>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</si>
  <si>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</si>
  <si>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</si>
  <si>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</si>
  <si>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</si>
  <si>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</si>
  <si>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</si>
  <si>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</si>
  <si>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</si>
  <si>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</si>
  <si>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</si>
  <si>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</si>
  <si>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</si>
  <si>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</si>
  <si>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</si>
  <si>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</si>
  <si>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</si>
  <si>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</si>
  <si>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</si>
  <si>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</si>
  <si>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11052</t>
  </si>
  <si>
    <t>WOMMELGEM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</si>
  <si>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</si>
  <si>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</si>
  <si>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</si>
  <si>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</si>
  <si>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</si>
  <si>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</si>
  <si>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</si>
  <si>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Albrecht C.V.</t>
  </si>
  <si>
    <t>Heyaardstraat 5, 2160 Wommelgem</t>
  </si>
  <si>
    <t>WKK-0143 Albrecht C.V.</t>
  </si>
  <si>
    <t>interne verbrandingsmotor</t>
  </si>
  <si>
    <t>WKK interne verbrandinsgmotor (gas)</t>
  </si>
  <si>
    <t>eilandwerking</t>
  </si>
  <si>
    <t>Dirk Mermans</t>
  </si>
  <si>
    <t>Vremdesteenweg 120 , 2160 Wommelgem</t>
  </si>
  <si>
    <t>WKK-0286 Dirk Mermans</t>
  </si>
  <si>
    <t>IVEKA</t>
  </si>
  <si>
    <t>Pieting Power BVBA</t>
  </si>
  <si>
    <t>Pietingbaan 105, 2160 Wommelgem</t>
  </si>
  <si>
    <t>WKK-0133 Groeikracht Wommelgem</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</si>
</sst>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11052</v>
      </c>
      <c r="B6" s="396"/>
      <c r="C6" s="397"/>
    </row>
    <row r="7" spans="1:7" s="394" customFormat="1" ht="15.75" customHeight="1">
      <c r="A7" s="398" t="str">
        <f>txtMunicipality</f>
        <v>WOMMELGEM</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11052</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4964</v>
      </c>
      <c r="C9" s="336">
        <v>5289</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326</v>
      </c>
    </row>
    <row r="15" spans="1:6">
      <c r="A15" s="1194" t="s">
        <v>185</v>
      </c>
      <c r="B15" s="333">
        <v>0</v>
      </c>
    </row>
    <row r="16" spans="1:6">
      <c r="A16" s="1194" t="s">
        <v>6</v>
      </c>
      <c r="B16" s="333">
        <v>0</v>
      </c>
    </row>
    <row r="17" spans="1:6">
      <c r="A17" s="1194" t="s">
        <v>7</v>
      </c>
      <c r="B17" s="333">
        <v>29</v>
      </c>
    </row>
    <row r="18" spans="1:6">
      <c r="A18" s="1194" t="s">
        <v>8</v>
      </c>
      <c r="B18" s="333">
        <v>21</v>
      </c>
    </row>
    <row r="19" spans="1:6">
      <c r="A19" s="1194" t="s">
        <v>9</v>
      </c>
      <c r="B19" s="333">
        <v>15</v>
      </c>
    </row>
    <row r="20" spans="1:6">
      <c r="A20" s="1194" t="s">
        <v>10</v>
      </c>
      <c r="B20" s="333">
        <v>23</v>
      </c>
    </row>
    <row r="21" spans="1:6">
      <c r="A21" s="1194" t="s">
        <v>11</v>
      </c>
      <c r="B21" s="333">
        <v>0</v>
      </c>
    </row>
    <row r="22" spans="1:6">
      <c r="A22" s="1194" t="s">
        <v>12</v>
      </c>
      <c r="B22" s="333">
        <v>0</v>
      </c>
    </row>
    <row r="23" spans="1:6">
      <c r="A23" s="1194" t="s">
        <v>13</v>
      </c>
      <c r="B23" s="333">
        <v>0</v>
      </c>
    </row>
    <row r="24" spans="1:6">
      <c r="A24" s="1194" t="s">
        <v>14</v>
      </c>
      <c r="B24" s="333">
        <v>0</v>
      </c>
    </row>
    <row r="25" spans="1:6">
      <c r="A25" s="1194" t="s">
        <v>15</v>
      </c>
      <c r="B25" s="333">
        <v>0</v>
      </c>
    </row>
    <row r="26" spans="1:6">
      <c r="A26" s="1194" t="s">
        <v>16</v>
      </c>
      <c r="B26" s="333">
        <v>0</v>
      </c>
    </row>
    <row r="27" spans="1:6">
      <c r="A27" s="1194" t="s">
        <v>17</v>
      </c>
      <c r="B27" s="333">
        <v>0</v>
      </c>
    </row>
    <row r="28" spans="1:6">
      <c r="A28" s="1194" t="s">
        <v>18</v>
      </c>
      <c r="B28" s="333">
        <v>10550</v>
      </c>
    </row>
    <row r="29" spans="1:6">
      <c r="A29" s="1194" t="s">
        <v>888</v>
      </c>
      <c r="B29" s="333">
        <v>44</v>
      </c>
    </row>
    <row r="30" spans="1:6">
      <c r="A30" s="1190" t="s">
        <v>889</v>
      </c>
      <c r="B30" s="1190">
        <v>2</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2</v>
      </c>
      <c r="F38" s="333">
        <v>53456.110853864498</v>
      </c>
    </row>
    <row r="39" spans="1:6">
      <c r="A39" s="1194" t="s">
        <v>30</v>
      </c>
      <c r="B39" s="1194" t="s">
        <v>31</v>
      </c>
      <c r="C39" s="333">
        <v>3955</v>
      </c>
      <c r="D39" s="333">
        <v>69464641.084243104</v>
      </c>
      <c r="E39" s="333">
        <v>5059</v>
      </c>
      <c r="F39" s="333">
        <v>22199657.605446398</v>
      </c>
    </row>
    <row r="40" spans="1:6">
      <c r="A40" s="1194" t="s">
        <v>30</v>
      </c>
      <c r="B40" s="1194" t="s">
        <v>29</v>
      </c>
      <c r="C40" s="333">
        <v>0</v>
      </c>
      <c r="D40" s="333">
        <v>0</v>
      </c>
      <c r="E40" s="333">
        <v>0</v>
      </c>
      <c r="F40" s="333">
        <v>0</v>
      </c>
    </row>
    <row r="41" spans="1:6">
      <c r="A41" s="1194" t="s">
        <v>32</v>
      </c>
      <c r="B41" s="1194" t="s">
        <v>33</v>
      </c>
      <c r="C41" s="333">
        <v>42</v>
      </c>
      <c r="D41" s="333">
        <v>1271393.36017121</v>
      </c>
      <c r="E41" s="333">
        <v>112</v>
      </c>
      <c r="F41" s="333">
        <v>1223516.17379128</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10</v>
      </c>
      <c r="D44" s="333">
        <v>34568288.277828701</v>
      </c>
      <c r="E44" s="333">
        <v>13</v>
      </c>
      <c r="F44" s="333">
        <v>948536.40483646002</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7</v>
      </c>
      <c r="D47" s="333">
        <v>4197283.5026532598</v>
      </c>
      <c r="E47" s="333">
        <v>10</v>
      </c>
      <c r="F47" s="333">
        <v>3360753.4148004502</v>
      </c>
    </row>
    <row r="48" spans="1:6">
      <c r="A48" s="1194" t="s">
        <v>32</v>
      </c>
      <c r="B48" s="1194" t="s">
        <v>29</v>
      </c>
      <c r="C48" s="333">
        <v>25</v>
      </c>
      <c r="D48" s="333">
        <v>2963422.8738234201</v>
      </c>
      <c r="E48" s="333">
        <v>34</v>
      </c>
      <c r="F48" s="333">
        <v>5553972.1747006401</v>
      </c>
    </row>
    <row r="49" spans="1:6">
      <c r="A49" s="1194" t="s">
        <v>32</v>
      </c>
      <c r="B49" s="1194" t="s">
        <v>40</v>
      </c>
      <c r="C49" s="333">
        <v>0</v>
      </c>
      <c r="D49" s="333">
        <v>0</v>
      </c>
      <c r="E49" s="333">
        <v>0</v>
      </c>
      <c r="F49" s="333">
        <v>0</v>
      </c>
    </row>
    <row r="50" spans="1:6">
      <c r="A50" s="1194" t="s">
        <v>32</v>
      </c>
      <c r="B50" s="1194" t="s">
        <v>41</v>
      </c>
      <c r="C50" s="333">
        <v>9</v>
      </c>
      <c r="D50" s="333">
        <v>22840891.560709201</v>
      </c>
      <c r="E50" s="333">
        <v>10</v>
      </c>
      <c r="F50" s="333">
        <v>19054377.716664299</v>
      </c>
    </row>
    <row r="51" spans="1:6">
      <c r="A51" s="1194" t="s">
        <v>42</v>
      </c>
      <c r="B51" s="1194" t="s">
        <v>43</v>
      </c>
      <c r="C51" s="333">
        <v>3</v>
      </c>
      <c r="D51" s="333">
        <v>2348630.4378538099</v>
      </c>
      <c r="E51" s="333">
        <v>21</v>
      </c>
      <c r="F51" s="333">
        <v>367592.37327440502</v>
      </c>
    </row>
    <row r="52" spans="1:6">
      <c r="A52" s="1194" t="s">
        <v>42</v>
      </c>
      <c r="B52" s="1194" t="s">
        <v>29</v>
      </c>
      <c r="C52" s="333">
        <v>5</v>
      </c>
      <c r="D52" s="333">
        <v>6294366.7823936502</v>
      </c>
      <c r="E52" s="333">
        <v>6</v>
      </c>
      <c r="F52" s="333">
        <v>109603.834665509</v>
      </c>
    </row>
    <row r="53" spans="1:6">
      <c r="A53" s="1194" t="s">
        <v>44</v>
      </c>
      <c r="B53" s="1194" t="s">
        <v>45</v>
      </c>
      <c r="C53" s="333">
        <v>128</v>
      </c>
      <c r="D53" s="333">
        <v>2452919.4659194401</v>
      </c>
      <c r="E53" s="333">
        <v>176</v>
      </c>
      <c r="F53" s="333">
        <v>962605.33298717905</v>
      </c>
    </row>
    <row r="54" spans="1:6">
      <c r="A54" s="1194" t="s">
        <v>46</v>
      </c>
      <c r="B54" s="1194" t="s">
        <v>47</v>
      </c>
      <c r="C54" s="333">
        <v>0</v>
      </c>
      <c r="D54" s="333">
        <v>0</v>
      </c>
      <c r="E54" s="333">
        <v>1</v>
      </c>
      <c r="F54" s="333">
        <v>889891</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23</v>
      </c>
      <c r="D57" s="333">
        <v>1356455.0311245399</v>
      </c>
      <c r="E57" s="333">
        <v>76</v>
      </c>
      <c r="F57" s="333">
        <v>2902304.95084514</v>
      </c>
    </row>
    <row r="58" spans="1:6">
      <c r="A58" s="1194" t="s">
        <v>49</v>
      </c>
      <c r="B58" s="1194" t="s">
        <v>51</v>
      </c>
      <c r="C58" s="333">
        <v>0</v>
      </c>
      <c r="D58" s="333">
        <v>0</v>
      </c>
      <c r="E58" s="333">
        <v>0</v>
      </c>
      <c r="F58" s="333">
        <v>0</v>
      </c>
    </row>
    <row r="59" spans="1:6">
      <c r="A59" s="1194" t="s">
        <v>49</v>
      </c>
      <c r="B59" s="1194" t="s">
        <v>52</v>
      </c>
      <c r="C59" s="333">
        <v>141</v>
      </c>
      <c r="D59" s="333">
        <v>11104321.0132815</v>
      </c>
      <c r="E59" s="333">
        <v>265</v>
      </c>
      <c r="F59" s="333">
        <v>15450439.416233599</v>
      </c>
    </row>
    <row r="60" spans="1:6">
      <c r="A60" s="1194" t="s">
        <v>49</v>
      </c>
      <c r="B60" s="1194" t="s">
        <v>53</v>
      </c>
      <c r="C60" s="333">
        <v>28</v>
      </c>
      <c r="D60" s="333">
        <v>1696757.53684358</v>
      </c>
      <c r="E60" s="333">
        <v>32</v>
      </c>
      <c r="F60" s="333">
        <v>897857.62910537596</v>
      </c>
    </row>
    <row r="61" spans="1:6">
      <c r="A61" s="1194" t="s">
        <v>49</v>
      </c>
      <c r="B61" s="1194" t="s">
        <v>54</v>
      </c>
      <c r="C61" s="333">
        <v>100</v>
      </c>
      <c r="D61" s="333">
        <v>6965118.3753123702</v>
      </c>
      <c r="E61" s="333">
        <v>226</v>
      </c>
      <c r="F61" s="333">
        <v>4249857.4246150497</v>
      </c>
    </row>
    <row r="62" spans="1:6">
      <c r="A62" s="1194" t="s">
        <v>49</v>
      </c>
      <c r="B62" s="1194" t="s">
        <v>55</v>
      </c>
      <c r="C62" s="333">
        <v>3</v>
      </c>
      <c r="D62" s="333">
        <v>885251.451536646</v>
      </c>
      <c r="E62" s="333">
        <v>3</v>
      </c>
      <c r="F62" s="333">
        <v>106743.12329075301</v>
      </c>
    </row>
    <row r="63" spans="1:6">
      <c r="A63" s="1194" t="s">
        <v>49</v>
      </c>
      <c r="B63" s="1194" t="s">
        <v>29</v>
      </c>
      <c r="C63" s="333">
        <v>101</v>
      </c>
      <c r="D63" s="333">
        <v>16278197.328397101</v>
      </c>
      <c r="E63" s="333">
        <v>116</v>
      </c>
      <c r="F63" s="333">
        <v>7788662.5184761602</v>
      </c>
    </row>
    <row r="64" spans="1:6">
      <c r="A64" s="1194" t="s">
        <v>56</v>
      </c>
      <c r="B64" s="1194" t="s">
        <v>57</v>
      </c>
      <c r="C64" s="333">
        <v>0</v>
      </c>
      <c r="D64" s="333">
        <v>0</v>
      </c>
      <c r="E64" s="333">
        <v>0</v>
      </c>
      <c r="F64" s="333">
        <v>0</v>
      </c>
    </row>
    <row r="65" spans="1:6">
      <c r="A65" s="1194" t="s">
        <v>56</v>
      </c>
      <c r="B65" s="1194" t="s">
        <v>29</v>
      </c>
      <c r="C65" s="333">
        <v>1</v>
      </c>
      <c r="D65" s="333">
        <v>25098.6270734602</v>
      </c>
      <c r="E65" s="333">
        <v>1</v>
      </c>
      <c r="F65" s="333">
        <v>15</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7</v>
      </c>
      <c r="D68" s="333">
        <v>1004863.8434806</v>
      </c>
      <c r="E68" s="333">
        <v>20</v>
      </c>
      <c r="F68" s="333">
        <v>756232.714902343</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38262735</v>
      </c>
      <c r="E73" s="333">
        <v>31715439.356178004</v>
      </c>
      <c r="F73" s="333">
        <v>36658899</v>
      </c>
    </row>
    <row r="74" spans="1:6">
      <c r="A74" s="1194" t="s">
        <v>64</v>
      </c>
      <c r="B74" s="1194" t="s">
        <v>775</v>
      </c>
      <c r="C74" s="1205" t="s">
        <v>776</v>
      </c>
      <c r="D74" s="333">
        <v>3637223.5304495427</v>
      </c>
      <c r="E74" s="333">
        <v>3257475.537645312</v>
      </c>
      <c r="F74" s="333">
        <v>3628840.6870271186</v>
      </c>
    </row>
    <row r="75" spans="1:6">
      <c r="A75" s="1194" t="s">
        <v>65</v>
      </c>
      <c r="B75" s="1194" t="s">
        <v>773</v>
      </c>
      <c r="C75" s="1205" t="s">
        <v>777</v>
      </c>
      <c r="D75" s="333">
        <v>12594124</v>
      </c>
      <c r="E75" s="333">
        <v>10176107.656212844</v>
      </c>
      <c r="F75" s="333">
        <v>11993147</v>
      </c>
    </row>
    <row r="76" spans="1:6">
      <c r="A76" s="1194" t="s">
        <v>65</v>
      </c>
      <c r="B76" s="1194" t="s">
        <v>775</v>
      </c>
      <c r="C76" s="1205" t="s">
        <v>778</v>
      </c>
      <c r="D76" s="333">
        <v>1258006.5304495427</v>
      </c>
      <c r="E76" s="333">
        <v>1139576.7311457361</v>
      </c>
      <c r="F76" s="333">
        <v>1313163.6870271186</v>
      </c>
    </row>
    <row r="77" spans="1:6">
      <c r="A77" s="1194" t="s">
        <v>66</v>
      </c>
      <c r="B77" s="1194" t="s">
        <v>773</v>
      </c>
      <c r="C77" s="1205" t="s">
        <v>779</v>
      </c>
      <c r="D77" s="333">
        <v>165633342</v>
      </c>
      <c r="E77" s="333">
        <v>177685798.9325479</v>
      </c>
      <c r="F77" s="333">
        <v>167859229</v>
      </c>
    </row>
    <row r="78" spans="1:6">
      <c r="A78" s="1190" t="s">
        <v>66</v>
      </c>
      <c r="B78" s="1190" t="s">
        <v>775</v>
      </c>
      <c r="C78" s="1190" t="s">
        <v>780</v>
      </c>
      <c r="D78" s="1190">
        <v>35608493</v>
      </c>
      <c r="E78" s="1190">
        <v>38421277.023954362</v>
      </c>
      <c r="F78" s="336">
        <v>37008202</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695146.93910091487</v>
      </c>
      <c r="C83" s="333">
        <v>640809.00257586548</v>
      </c>
      <c r="D83" s="333">
        <v>648152.62594576285</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1055.794124891451</v>
      </c>
    </row>
    <row r="92" spans="1:6">
      <c r="A92" s="1190" t="s">
        <v>69</v>
      </c>
      <c r="B92" s="336">
        <v>1279.7271029518365</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3049</v>
      </c>
    </row>
    <row r="98" spans="1:6">
      <c r="A98" s="1194" t="s">
        <v>72</v>
      </c>
      <c r="B98" s="333">
        <v>2</v>
      </c>
    </row>
    <row r="99" spans="1:6">
      <c r="A99" s="1194" t="s">
        <v>73</v>
      </c>
      <c r="B99" s="333">
        <v>32</v>
      </c>
    </row>
    <row r="100" spans="1:6">
      <c r="A100" s="1194" t="s">
        <v>74</v>
      </c>
      <c r="B100" s="333">
        <v>376</v>
      </c>
    </row>
    <row r="101" spans="1:6">
      <c r="A101" s="1194" t="s">
        <v>75</v>
      </c>
      <c r="B101" s="333">
        <v>46</v>
      </c>
    </row>
    <row r="102" spans="1:6">
      <c r="A102" s="1194" t="s">
        <v>76</v>
      </c>
      <c r="B102" s="333">
        <v>41</v>
      </c>
    </row>
    <row r="103" spans="1:6">
      <c r="A103" s="1194" t="s">
        <v>77</v>
      </c>
      <c r="B103" s="333">
        <v>57</v>
      </c>
    </row>
    <row r="104" spans="1:6">
      <c r="A104" s="1194" t="s">
        <v>78</v>
      </c>
      <c r="B104" s="333">
        <v>856</v>
      </c>
    </row>
    <row r="105" spans="1:6">
      <c r="A105" s="1190" t="s">
        <v>79</v>
      </c>
      <c r="B105" s="1190">
        <v>1</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4</v>
      </c>
      <c r="C123" s="333">
        <v>5</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53</v>
      </c>
    </row>
    <row r="130" spans="1:6">
      <c r="A130" s="1194" t="s">
        <v>296</v>
      </c>
      <c r="B130" s="333">
        <v>0</v>
      </c>
    </row>
    <row r="131" spans="1:6">
      <c r="A131" s="1194" t="s">
        <v>297</v>
      </c>
      <c r="B131" s="333">
        <v>1</v>
      </c>
    </row>
    <row r="132" spans="1:6">
      <c r="A132" s="1190" t="s">
        <v>298</v>
      </c>
      <c r="B132" s="336">
        <v>2</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105052.28834953209</v>
      </c>
      <c r="C3" s="43" t="s">
        <v>171</v>
      </c>
      <c r="D3" s="43"/>
      <c r="E3" s="156"/>
      <c r="F3" s="43"/>
      <c r="G3" s="43"/>
      <c r="H3" s="43"/>
      <c r="I3" s="43"/>
      <c r="J3" s="43"/>
      <c r="K3" s="96"/>
    </row>
    <row r="4" spans="1:11">
      <c r="A4" s="364" t="s">
        <v>172</v>
      </c>
      <c r="B4" s="49">
        <f>IF(ISERROR('SEAP template'!B69),0,'SEAP template'!B69)</f>
        <v>26389.521227843288</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5716.3623529411771</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0.21989843581486626</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8166.2319327731111</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34362.857142857145</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0.23764705882352946</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889.89099999999996</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889.89099999999996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0.21989843581486626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195.68563894572713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22199.657605446399</v>
      </c>
      <c r="C5" s="17">
        <f>IF(ISERROR('Eigen informatie GS &amp; warmtenet'!B57),0,'Eigen informatie GS &amp; warmtenet'!B57)</f>
        <v>0</v>
      </c>
      <c r="D5" s="30">
        <f>(SUM(HH_hh_gas_kWh,HH_rest_gas_kWh)/1000)*0.902</f>
        <v>62657.106257987281</v>
      </c>
      <c r="E5" s="17">
        <f>B46*B57</f>
        <v>1454.1949275838683</v>
      </c>
      <c r="F5" s="17">
        <f>B51*B62</f>
        <v>0</v>
      </c>
      <c r="G5" s="18"/>
      <c r="H5" s="17"/>
      <c r="I5" s="17"/>
      <c r="J5" s="17">
        <f>B50*B61+C50*C61</f>
        <v>0</v>
      </c>
      <c r="K5" s="17"/>
      <c r="L5" s="17"/>
      <c r="M5" s="17"/>
      <c r="N5" s="17">
        <f>B48*B59+C48*C59</f>
        <v>6048.2589911010791</v>
      </c>
      <c r="O5" s="17">
        <f>B69*B70*B71</f>
        <v>90.673333333333346</v>
      </c>
      <c r="P5" s="17">
        <f>B77*B78*B79/1000-B77*B78*B79/1000/B80</f>
        <v>114.4</v>
      </c>
    </row>
    <row r="6" spans="1:16">
      <c r="A6" s="16" t="s">
        <v>633</v>
      </c>
      <c r="B6" s="830">
        <f>kWh_PV_kleiner_dan_10kW</f>
        <v>1055.794124891451</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23255.451730337849</v>
      </c>
      <c r="C8" s="21">
        <f>C5</f>
        <v>0</v>
      </c>
      <c r="D8" s="21">
        <f>D5</f>
        <v>62657.106257987281</v>
      </c>
      <c r="E8" s="21">
        <f>E5</f>
        <v>1454.1949275838683</v>
      </c>
      <c r="F8" s="21">
        <f>F5</f>
        <v>0</v>
      </c>
      <c r="G8" s="21"/>
      <c r="H8" s="21"/>
      <c r="I8" s="21"/>
      <c r="J8" s="21">
        <f>J5</f>
        <v>0</v>
      </c>
      <c r="K8" s="21"/>
      <c r="L8" s="21">
        <f>L5</f>
        <v>0</v>
      </c>
      <c r="M8" s="21">
        <f>M5</f>
        <v>0</v>
      </c>
      <c r="N8" s="21">
        <f>N5</f>
        <v>6048.2589911010791</v>
      </c>
      <c r="O8" s="21">
        <f>O5</f>
        <v>90.673333333333346</v>
      </c>
      <c r="P8" s="21">
        <f>P5</f>
        <v>114.4</v>
      </c>
    </row>
    <row r="9" spans="1:16">
      <c r="B9" s="19"/>
      <c r="C9" s="19"/>
      <c r="D9" s="260"/>
      <c r="E9" s="19"/>
      <c r="F9" s="19"/>
      <c r="G9" s="19"/>
      <c r="H9" s="19"/>
      <c r="I9" s="19"/>
      <c r="J9" s="19"/>
      <c r="K9" s="19"/>
      <c r="L9" s="19"/>
      <c r="M9" s="19"/>
      <c r="N9" s="19"/>
      <c r="O9" s="19"/>
      <c r="P9" s="19"/>
    </row>
    <row r="10" spans="1:16">
      <c r="A10" s="24" t="s">
        <v>215</v>
      </c>
      <c r="B10" s="25">
        <f ca="1">'EF ele_warmte'!B12</f>
        <v>0.21989843581486626</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5113.8374596694184</v>
      </c>
      <c r="C12" s="23">
        <f ca="1">C10*C8</f>
        <v>0</v>
      </c>
      <c r="D12" s="23">
        <f>D8*D10</f>
        <v>12656.735464113432</v>
      </c>
      <c r="E12" s="23">
        <f>E10*E8</f>
        <v>330.10224856153815</v>
      </c>
      <c r="F12" s="23">
        <f>F10*F8</f>
        <v>0</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3049</v>
      </c>
      <c r="C18" s="167" t="s">
        <v>111</v>
      </c>
      <c r="D18" s="229"/>
      <c r="E18" s="15"/>
    </row>
    <row r="19" spans="1:7">
      <c r="A19" s="172" t="s">
        <v>72</v>
      </c>
      <c r="B19" s="37">
        <f>aantalw2001_ander</f>
        <v>2</v>
      </c>
      <c r="C19" s="167" t="s">
        <v>111</v>
      </c>
      <c r="D19" s="230"/>
      <c r="E19" s="15"/>
    </row>
    <row r="20" spans="1:7">
      <c r="A20" s="172" t="s">
        <v>73</v>
      </c>
      <c r="B20" s="37">
        <f>aantalw2001_propaan</f>
        <v>32</v>
      </c>
      <c r="C20" s="168">
        <f>IF(ISERROR(B20/SUM($B$20,$B$21,$B$22)*100),0,B20/SUM($B$20,$B$21,$B$22)*100)</f>
        <v>7.0484581497797363</v>
      </c>
      <c r="D20" s="230"/>
      <c r="E20" s="15"/>
    </row>
    <row r="21" spans="1:7">
      <c r="A21" s="172" t="s">
        <v>74</v>
      </c>
      <c r="B21" s="37">
        <f>aantalw2001_elektriciteit</f>
        <v>376</v>
      </c>
      <c r="C21" s="168">
        <f>IF(ISERROR(B21/SUM($B$20,$B$21,$B$22)*100),0,B21/SUM($B$20,$B$21,$B$22)*100)</f>
        <v>82.819383259911888</v>
      </c>
      <c r="D21" s="230"/>
      <c r="E21" s="15"/>
    </row>
    <row r="22" spans="1:7">
      <c r="A22" s="172" t="s">
        <v>75</v>
      </c>
      <c r="B22" s="37">
        <f>aantalw2001_hout</f>
        <v>46</v>
      </c>
      <c r="C22" s="168">
        <f>IF(ISERROR(B22/SUM($B$20,$B$21,$B$22)*100),0,B22/SUM($B$20,$B$21,$B$22)*100)</f>
        <v>10.13215859030837</v>
      </c>
      <c r="D22" s="230"/>
      <c r="E22" s="15"/>
    </row>
    <row r="23" spans="1:7">
      <c r="A23" s="172" t="s">
        <v>76</v>
      </c>
      <c r="B23" s="37">
        <f>aantalw2001_niet_gespec</f>
        <v>41</v>
      </c>
      <c r="C23" s="167" t="s">
        <v>111</v>
      </c>
      <c r="D23" s="229"/>
      <c r="E23" s="15"/>
    </row>
    <row r="24" spans="1:7">
      <c r="A24" s="172" t="s">
        <v>77</v>
      </c>
      <c r="B24" s="37">
        <f>aantalw2001_steenkool</f>
        <v>57</v>
      </c>
      <c r="C24" s="167" t="s">
        <v>111</v>
      </c>
      <c r="D24" s="230"/>
      <c r="E24" s="15"/>
    </row>
    <row r="25" spans="1:7">
      <c r="A25" s="172" t="s">
        <v>78</v>
      </c>
      <c r="B25" s="37">
        <f>aantalw2001_stookolie</f>
        <v>856</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713</v>
      </c>
      <c r="B28" s="37">
        <f>aantalHuishoudens2011</f>
        <v>4964</v>
      </c>
      <c r="C28" s="36"/>
      <c r="D28" s="229"/>
    </row>
    <row r="29" spans="1:7" s="15" customFormat="1">
      <c r="A29" s="231" t="s">
        <v>714</v>
      </c>
      <c r="B29" s="37">
        <f>SUM(HH_hh_gas_aantal,HH_rest_gas_aantal)</f>
        <v>3955</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3955</v>
      </c>
      <c r="C32" s="168">
        <f>IF(ISERROR(B32/SUM($B$32,$B$34,$B$35,$B$36,$B$38,$B$39)*100),0,B32/SUM($B$32,$B$34,$B$35,$B$36,$B$38,$B$39)*100)</f>
        <v>79.770068576038724</v>
      </c>
      <c r="D32" s="234"/>
      <c r="G32" s="15"/>
    </row>
    <row r="33" spans="1:7">
      <c r="A33" s="172" t="s">
        <v>72</v>
      </c>
      <c r="B33" s="34" t="s">
        <v>111</v>
      </c>
      <c r="C33" s="168"/>
      <c r="D33" s="234"/>
      <c r="G33" s="15"/>
    </row>
    <row r="34" spans="1:7">
      <c r="A34" s="172" t="s">
        <v>73</v>
      </c>
      <c r="B34" s="33">
        <f>IF((($B$28-$B$32-$B$39-$B$77-$B$38)*C20/100)&lt;0,0,($B$28-$B$32-$B$39-$B$77-$B$38)*C20/100)</f>
        <v>70.696035242290748</v>
      </c>
      <c r="C34" s="168">
        <f>IF(ISERROR(B34/SUM($B$32,$B$34,$B$35,$B$36,$B$38,$B$39)*100),0,B34/SUM($B$32,$B$34,$B$35,$B$36,$B$38,$B$39)*100)</f>
        <v>1.4258982501470503</v>
      </c>
      <c r="D34" s="234"/>
      <c r="G34" s="15"/>
    </row>
    <row r="35" spans="1:7">
      <c r="A35" s="172" t="s">
        <v>74</v>
      </c>
      <c r="B35" s="33">
        <f>IF((($B$28-$B$32-$B$39-$B$77-$B$38)*C21/100)&lt;0,0,($B$28-$B$32-$B$39-$B$77-$B$38)*C21/100)</f>
        <v>830.67841409691619</v>
      </c>
      <c r="C35" s="168">
        <f>IF(ISERROR(B35/SUM($B$32,$B$34,$B$35,$B$36,$B$38,$B$39)*100),0,B35/SUM($B$32,$B$34,$B$35,$B$36,$B$38,$B$39)*100)</f>
        <v>16.754304439227838</v>
      </c>
      <c r="D35" s="234"/>
      <c r="G35" s="15"/>
    </row>
    <row r="36" spans="1:7">
      <c r="A36" s="172" t="s">
        <v>75</v>
      </c>
      <c r="B36" s="33">
        <f>IF((($B$28-$B$32-$B$39-$B$77-$B$38)*C22/100)&lt;0,0,($B$28-$B$32-$B$39-$B$77-$B$38)*C22/100)</f>
        <v>101.62555066079294</v>
      </c>
      <c r="C36" s="168">
        <f>IF(ISERROR(B36/SUM($B$32,$B$34,$B$35,$B$36,$B$38,$B$39)*100),0,B36/SUM($B$32,$B$34,$B$35,$B$36,$B$38,$B$39)*100)</f>
        <v>2.0497287345863846</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3955</v>
      </c>
      <c r="C44" s="34" t="s">
        <v>111</v>
      </c>
      <c r="D44" s="175"/>
    </row>
    <row r="45" spans="1:7">
      <c r="A45" s="172" t="s">
        <v>72</v>
      </c>
      <c r="B45" s="33" t="str">
        <f t="shared" si="0"/>
        <v>-</v>
      </c>
      <c r="C45" s="34" t="s">
        <v>111</v>
      </c>
      <c r="D45" s="175"/>
    </row>
    <row r="46" spans="1:7">
      <c r="A46" s="172" t="s">
        <v>73</v>
      </c>
      <c r="B46" s="33">
        <f t="shared" si="0"/>
        <v>70.696035242290748</v>
      </c>
      <c r="C46" s="34" t="s">
        <v>111</v>
      </c>
      <c r="D46" s="175"/>
    </row>
    <row r="47" spans="1:7">
      <c r="A47" s="172" t="s">
        <v>74</v>
      </c>
      <c r="B47" s="33">
        <f t="shared" si="0"/>
        <v>830.67841409691619</v>
      </c>
      <c r="C47" s="34" t="s">
        <v>111</v>
      </c>
      <c r="D47" s="175"/>
    </row>
    <row r="48" spans="1:7">
      <c r="A48" s="172" t="s">
        <v>75</v>
      </c>
      <c r="B48" s="33">
        <f t="shared" si="0"/>
        <v>101.62555066079294</v>
      </c>
      <c r="C48" s="33">
        <f>B48*10</f>
        <v>1016.2555066079294</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58</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6</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31395.865062566081</v>
      </c>
      <c r="C5" s="17">
        <f>IF(ISERROR('Eigen informatie GS &amp; warmtenet'!B58),0,'Eigen informatie GS &amp; warmtenet'!B58)</f>
        <v>0</v>
      </c>
      <c r="D5" s="30">
        <f>SUM(D6:D12)</f>
        <v>34534.062864319152</v>
      </c>
      <c r="E5" s="17">
        <f>SUM(E6:E12)</f>
        <v>463.55155235896308</v>
      </c>
      <c r="F5" s="17">
        <f>SUM(F6:F12)</f>
        <v>5566.5277918160227</v>
      </c>
      <c r="G5" s="18"/>
      <c r="H5" s="17"/>
      <c r="I5" s="17"/>
      <c r="J5" s="17">
        <f>SUM(J6:J12)</f>
        <v>0</v>
      </c>
      <c r="K5" s="17"/>
      <c r="L5" s="17"/>
      <c r="M5" s="17"/>
      <c r="N5" s="17">
        <f>SUM(N6:N12)</f>
        <v>930.2172906558186</v>
      </c>
      <c r="O5" s="17">
        <f>B38*B39*B40</f>
        <v>0</v>
      </c>
      <c r="P5" s="17">
        <f>B46*B47*B48/1000-B46*B47*B48/1000/B49</f>
        <v>19.066666666666666</v>
      </c>
      <c r="R5" s="32"/>
    </row>
    <row r="6" spans="1:18">
      <c r="A6" s="32" t="s">
        <v>54</v>
      </c>
      <c r="B6" s="37">
        <f>B26</f>
        <v>4249.8574246150501</v>
      </c>
      <c r="C6" s="33"/>
      <c r="D6" s="37">
        <f>IF(ISERROR(TER_kantoor_gas_kWh/1000),0,TER_kantoor_gas_kWh/1000)*0.902</f>
        <v>6282.5367745317581</v>
      </c>
      <c r="E6" s="33">
        <f>$C$26*'E Balans VL '!I12/100/3.6*1000000</f>
        <v>148.76172772387113</v>
      </c>
      <c r="F6" s="33">
        <f>$C$26*('E Balans VL '!L12+'E Balans VL '!N12)/100/3.6*1000000</f>
        <v>644.36962911644343</v>
      </c>
      <c r="G6" s="34"/>
      <c r="H6" s="33"/>
      <c r="I6" s="33"/>
      <c r="J6" s="33">
        <f>$C$26*('E Balans VL '!D12+'E Balans VL '!E12)/100/3.6*1000000</f>
        <v>0</v>
      </c>
      <c r="K6" s="33"/>
      <c r="L6" s="33"/>
      <c r="M6" s="33"/>
      <c r="N6" s="33">
        <f>$C$26*'E Balans VL '!Y12/100/3.6*1000000</f>
        <v>32.850067723508324</v>
      </c>
      <c r="O6" s="33"/>
      <c r="P6" s="33"/>
      <c r="R6" s="32"/>
    </row>
    <row r="7" spans="1:18">
      <c r="A7" s="32" t="s">
        <v>53</v>
      </c>
      <c r="B7" s="37">
        <f t="shared" ref="B7:B12" si="0">B27</f>
        <v>897.85762910537596</v>
      </c>
      <c r="C7" s="33"/>
      <c r="D7" s="37">
        <f>IF(ISERROR(TER_horeca_gas_kWh/1000),0,TER_horeca_gas_kWh/1000)*0.902</f>
        <v>1530.4752982329092</v>
      </c>
      <c r="E7" s="33">
        <f>$C$27*'E Balans VL '!I9/100/3.6*1000000</f>
        <v>50.651108880468826</v>
      </c>
      <c r="F7" s="33">
        <f>$C$27*('E Balans VL '!L9+'E Balans VL '!N9)/100/3.6*1000000</f>
        <v>156.41176779807245</v>
      </c>
      <c r="G7" s="34"/>
      <c r="H7" s="33"/>
      <c r="I7" s="33"/>
      <c r="J7" s="33">
        <f>$C$27*('E Balans VL '!D9+'E Balans VL '!E9)/100/3.6*1000000</f>
        <v>0</v>
      </c>
      <c r="K7" s="33"/>
      <c r="L7" s="33"/>
      <c r="M7" s="33"/>
      <c r="N7" s="33">
        <f>$C$27*'E Balans VL '!Y9/100/3.6*1000000</f>
        <v>0</v>
      </c>
      <c r="O7" s="33"/>
      <c r="P7" s="33"/>
      <c r="R7" s="32"/>
    </row>
    <row r="8" spans="1:18">
      <c r="A8" s="6" t="s">
        <v>52</v>
      </c>
      <c r="B8" s="37">
        <f t="shared" si="0"/>
        <v>15450.439416233599</v>
      </c>
      <c r="C8" s="33"/>
      <c r="D8" s="37">
        <f>IF(ISERROR(TER_handel_gas_kWh/1000),0,TER_handel_gas_kWh/1000)*0.902</f>
        <v>10016.097553979913</v>
      </c>
      <c r="E8" s="33">
        <f>$C$28*'E Balans VL '!I13/100/3.6*1000000</f>
        <v>79.320986221065155</v>
      </c>
      <c r="F8" s="33">
        <f>$C$28*('E Balans VL '!L13+'E Balans VL '!N13)/100/3.6*1000000</f>
        <v>2382.2190241871463</v>
      </c>
      <c r="G8" s="34"/>
      <c r="H8" s="33"/>
      <c r="I8" s="33"/>
      <c r="J8" s="33">
        <f>$C$28*('E Balans VL '!D13+'E Balans VL '!E13)/100/3.6*1000000</f>
        <v>0</v>
      </c>
      <c r="K8" s="33"/>
      <c r="L8" s="33"/>
      <c r="M8" s="33"/>
      <c r="N8" s="33">
        <f>$C$28*'E Balans VL '!Y13/100/3.6*1000000</f>
        <v>7.2263591129715268</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2902.30495084514</v>
      </c>
      <c r="C10" s="33"/>
      <c r="D10" s="37">
        <f>IF(ISERROR(TER_ander_gas_kWh/1000),0,TER_ander_gas_kWh/1000)*0.902</f>
        <v>1223.522438074335</v>
      </c>
      <c r="E10" s="33">
        <f>$C$30*'E Balans VL '!I14/100/3.6*1000000</f>
        <v>17.692522588043932</v>
      </c>
      <c r="F10" s="33">
        <f>$C$30*('E Balans VL '!L14+'E Balans VL '!N14)/100/3.6*1000000</f>
        <v>769.44079953703294</v>
      </c>
      <c r="G10" s="34"/>
      <c r="H10" s="33"/>
      <c r="I10" s="33"/>
      <c r="J10" s="33">
        <f>$C$30*('E Balans VL '!D14+'E Balans VL '!E14)/100/3.6*1000000</f>
        <v>0</v>
      </c>
      <c r="K10" s="33"/>
      <c r="L10" s="33"/>
      <c r="M10" s="33"/>
      <c r="N10" s="33">
        <f>$C$30*'E Balans VL '!Y14/100/3.6*1000000</f>
        <v>668.91857697584612</v>
      </c>
      <c r="O10" s="33"/>
      <c r="P10" s="33"/>
      <c r="R10" s="32"/>
    </row>
    <row r="11" spans="1:18">
      <c r="A11" s="32" t="s">
        <v>55</v>
      </c>
      <c r="B11" s="37">
        <f t="shared" si="0"/>
        <v>106.743123290753</v>
      </c>
      <c r="C11" s="33"/>
      <c r="D11" s="37">
        <f>IF(ISERROR(TER_onderwijs_gas_kWh/1000),0,TER_onderwijs_gas_kWh/1000)*0.902</f>
        <v>798.49680928605471</v>
      </c>
      <c r="E11" s="33">
        <f>$C$31*'E Balans VL '!I11/100/3.6*1000000</f>
        <v>8.1343818120701947E-2</v>
      </c>
      <c r="F11" s="33">
        <f>$C$31*('E Balans VL '!L11+'E Balans VL '!N11)/100/3.6*1000000</f>
        <v>77.245173779741279</v>
      </c>
      <c r="G11" s="34"/>
      <c r="H11" s="33"/>
      <c r="I11" s="33"/>
      <c r="J11" s="33">
        <f>$C$31*('E Balans VL '!D11+'E Balans VL '!E11)/100/3.6*1000000</f>
        <v>0</v>
      </c>
      <c r="K11" s="33"/>
      <c r="L11" s="33"/>
      <c r="M11" s="33"/>
      <c r="N11" s="33">
        <f>$C$31*'E Balans VL '!Y11/100/3.6*1000000</f>
        <v>0.31459749547945248</v>
      </c>
      <c r="O11" s="33"/>
      <c r="P11" s="33"/>
      <c r="R11" s="32"/>
    </row>
    <row r="12" spans="1:18">
      <c r="A12" s="32" t="s">
        <v>261</v>
      </c>
      <c r="B12" s="37">
        <f t="shared" si="0"/>
        <v>7788.6625184761606</v>
      </c>
      <c r="C12" s="33"/>
      <c r="D12" s="37">
        <f>IF(ISERROR(TER_rest_gas_kWh/1000),0,TER_rest_gas_kWh/1000)*0.902</f>
        <v>14682.933990214186</v>
      </c>
      <c r="E12" s="33">
        <f>$C$32*'E Balans VL '!I8/100/3.6*1000000</f>
        <v>167.04386312739331</v>
      </c>
      <c r="F12" s="33">
        <f>$C$32*('E Balans VL '!L8+'E Balans VL '!N8)/100/3.6*1000000</f>
        <v>1536.8413973975867</v>
      </c>
      <c r="G12" s="34"/>
      <c r="H12" s="33"/>
      <c r="I12" s="33"/>
      <c r="J12" s="33">
        <f>$C$32*('E Balans VL '!D8+'E Balans VL '!E8)/100/3.6*1000000</f>
        <v>0</v>
      </c>
      <c r="K12" s="33"/>
      <c r="L12" s="33"/>
      <c r="M12" s="33"/>
      <c r="N12" s="33">
        <f>$C$32*'E Balans VL '!Y8/100/3.6*1000000</f>
        <v>220.90768934801318</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31395.865062566081</v>
      </c>
      <c r="C16" s="21">
        <f ca="1">C5+C13+C14</f>
        <v>0</v>
      </c>
      <c r="D16" s="21">
        <f t="shared" ref="D16:N16" ca="1" si="1">MAX((D5+D13+D14),0)</f>
        <v>34534.062864319152</v>
      </c>
      <c r="E16" s="21">
        <f t="shared" si="1"/>
        <v>463.55155235896308</v>
      </c>
      <c r="F16" s="21">
        <f t="shared" ca="1" si="1"/>
        <v>5566.5277918160227</v>
      </c>
      <c r="G16" s="21">
        <f t="shared" si="1"/>
        <v>0</v>
      </c>
      <c r="H16" s="21">
        <f t="shared" si="1"/>
        <v>0</v>
      </c>
      <c r="I16" s="21">
        <f t="shared" si="1"/>
        <v>0</v>
      </c>
      <c r="J16" s="21">
        <f t="shared" si="1"/>
        <v>0</v>
      </c>
      <c r="K16" s="21">
        <f t="shared" si="1"/>
        <v>0</v>
      </c>
      <c r="L16" s="21">
        <f t="shared" ca="1" si="1"/>
        <v>0</v>
      </c>
      <c r="M16" s="21">
        <f t="shared" si="1"/>
        <v>0</v>
      </c>
      <c r="N16" s="21">
        <f t="shared" ca="1" si="1"/>
        <v>930.2172906558186</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0.21989843581486626</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6903.9016183128897</v>
      </c>
      <c r="C20" s="23">
        <f t="shared" ref="C20:P20" ca="1" si="2">C16*C18</f>
        <v>0</v>
      </c>
      <c r="D20" s="23">
        <f t="shared" ca="1" si="2"/>
        <v>6975.8806985924693</v>
      </c>
      <c r="E20" s="23">
        <f t="shared" si="2"/>
        <v>105.22620238548463</v>
      </c>
      <c r="F20" s="23">
        <f t="shared" ca="1" si="2"/>
        <v>1486.2629204148782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4249.8574246150501</v>
      </c>
      <c r="C26" s="39">
        <f>IF(ISERROR(B26*3.6/1000000/'E Balans VL '!Z12*100),0,B26*3.6/1000000/'E Balans VL '!Z12*100)</f>
        <v>8.9431201642994312E-2</v>
      </c>
      <c r="D26" s="238" t="s">
        <v>720</v>
      </c>
      <c r="F26" s="6"/>
    </row>
    <row r="27" spans="1:18">
      <c r="A27" s="232" t="s">
        <v>53</v>
      </c>
      <c r="B27" s="33">
        <f>IF(ISERROR(TER_horeca_ele_kWh/1000),0,TER_horeca_ele_kWh/1000)</f>
        <v>897.85762910537596</v>
      </c>
      <c r="C27" s="39">
        <f>IF(ISERROR(B27*3.6/1000000/'E Balans VL '!Z9*100),0,B27*3.6/1000000/'E Balans VL '!Z9*100)</f>
        <v>7.6019082499778567E-2</v>
      </c>
      <c r="D27" s="238" t="s">
        <v>720</v>
      </c>
      <c r="F27" s="6"/>
    </row>
    <row r="28" spans="1:18">
      <c r="A28" s="172" t="s">
        <v>52</v>
      </c>
      <c r="B28" s="33">
        <f>IF(ISERROR(TER_handel_ele_kWh/1000),0,TER_handel_ele_kWh/1000)</f>
        <v>15450.439416233599</v>
      </c>
      <c r="C28" s="39">
        <f>IF(ISERROR(B28*3.6/1000000/'E Balans VL '!Z13*100),0,B28*3.6/1000000/'E Balans VL '!Z13*100)</f>
        <v>0.42774327876640894</v>
      </c>
      <c r="D28" s="238" t="s">
        <v>720</v>
      </c>
      <c r="F28" s="6"/>
    </row>
    <row r="29" spans="1:18">
      <c r="A29" s="232" t="s">
        <v>51</v>
      </c>
      <c r="B29" s="33">
        <f>IF(ISERROR(TER_gezond_ele_kWh/1000),0,TER_gezond_ele_kWh/1000)</f>
        <v>0</v>
      </c>
      <c r="C29" s="39">
        <f>IF(ISERROR(B29*3.6/1000000/'E Balans VL '!Z10*100),0,B29*3.6/1000000/'E Balans VL '!Z10*100)</f>
        <v>0</v>
      </c>
      <c r="D29" s="238" t="s">
        <v>720</v>
      </c>
      <c r="F29" s="6"/>
    </row>
    <row r="30" spans="1:18">
      <c r="A30" s="232" t="s">
        <v>50</v>
      </c>
      <c r="B30" s="33">
        <f>IF(ISERROR(TER_ander_ele_kWh/1000),0,TER_ander_ele_kWh/1000)</f>
        <v>2902.30495084514</v>
      </c>
      <c r="C30" s="39">
        <f>IF(ISERROR(B30*3.6/1000000/'E Balans VL '!Z14*100),0,B30*3.6/1000000/'E Balans VL '!Z14*100)</f>
        <v>0.22495524986013388</v>
      </c>
      <c r="D30" s="238" t="s">
        <v>720</v>
      </c>
      <c r="F30" s="6"/>
    </row>
    <row r="31" spans="1:18">
      <c r="A31" s="232" t="s">
        <v>55</v>
      </c>
      <c r="B31" s="33">
        <f>IF(ISERROR(TER_onderwijs_ele_kWh/1000),0,TER_onderwijs_ele_kWh/1000)</f>
        <v>106.743123290753</v>
      </c>
      <c r="C31" s="39">
        <f>IF(ISERROR(B31*3.6/1000000/'E Balans VL '!Z11*100),0,B31*3.6/1000000/'E Balans VL '!Z11*100)</f>
        <v>2.0421778349850858E-2</v>
      </c>
      <c r="D31" s="238" t="s">
        <v>720</v>
      </c>
    </row>
    <row r="32" spans="1:18">
      <c r="A32" s="232" t="s">
        <v>261</v>
      </c>
      <c r="B32" s="33">
        <f>IF(ISERROR(TER_rest_ele_kWh/1000),0,TER_rest_ele_kWh/1000)</f>
        <v>7788.6625184761606</v>
      </c>
      <c r="C32" s="39">
        <f>IF(ISERROR(B32*3.6/1000000/'E Balans VL '!Z8*100),0,B32*3.6/1000000/'E Balans VL '!Z8*100)</f>
        <v>6.422350350000075E-2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1</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30141.155884793126</v>
      </c>
      <c r="C5" s="17">
        <f>IF(ISERROR('Eigen informatie GS &amp; warmtenet'!B59),0,'Eigen informatie GS &amp; warmtenet'!B59)</f>
        <v>0</v>
      </c>
      <c r="D5" s="30">
        <f>SUM(D6:D15)</f>
        <v>59388.834176817581</v>
      </c>
      <c r="E5" s="17">
        <f>SUM(E6:E15)</f>
        <v>354.58473042869355</v>
      </c>
      <c r="F5" s="17">
        <f>SUM(F6:F15)</f>
        <v>5958.5751545561707</v>
      </c>
      <c r="G5" s="18"/>
      <c r="H5" s="17"/>
      <c r="I5" s="17"/>
      <c r="J5" s="17">
        <f>SUM(J6:J15)</f>
        <v>135.5559718381536</v>
      </c>
      <c r="K5" s="17"/>
      <c r="L5" s="17"/>
      <c r="M5" s="17"/>
      <c r="N5" s="17">
        <f>SUM(N6:N15)</f>
        <v>472.93637064952929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948.53640483646006</v>
      </c>
      <c r="C8" s="33"/>
      <c r="D8" s="37">
        <f>IF( ISERROR(IND_metaal_Gas_kWH/1000),0,IND_metaal_Gas_kWH/1000)*0.902</f>
        <v>31180.596026601492</v>
      </c>
      <c r="E8" s="33">
        <f>C30*'E Balans VL '!I18/100/3.6*1000000</f>
        <v>6.6651560317213034</v>
      </c>
      <c r="F8" s="33">
        <f>C30*'E Balans VL '!L18/100/3.6*1000000+C30*'E Balans VL '!N18/100/3.6*1000000</f>
        <v>104.14374776684741</v>
      </c>
      <c r="G8" s="34"/>
      <c r="H8" s="33"/>
      <c r="I8" s="33"/>
      <c r="J8" s="40">
        <f>C30*'E Balans VL '!D18/100/3.6*1000000+C30*'E Balans VL '!E18/100/3.6*1000000</f>
        <v>19.570350499338986</v>
      </c>
      <c r="K8" s="33"/>
      <c r="L8" s="33"/>
      <c r="M8" s="33"/>
      <c r="N8" s="33">
        <f>C30*'E Balans VL '!Y18/100/3.6*1000000</f>
        <v>3.5551827588456537</v>
      </c>
      <c r="O8" s="33"/>
      <c r="P8" s="33"/>
      <c r="R8" s="32"/>
    </row>
    <row r="9" spans="1:18">
      <c r="A9" s="6" t="s">
        <v>33</v>
      </c>
      <c r="B9" s="37">
        <f t="shared" si="0"/>
        <v>1223.5161737912799</v>
      </c>
      <c r="C9" s="33"/>
      <c r="D9" s="37">
        <f>IF( ISERROR(IND_andere_gas_kWh/1000),0,IND_andere_gas_kWh/1000)*0.902</f>
        <v>1146.7968108744315</v>
      </c>
      <c r="E9" s="33">
        <f>C31*'E Balans VL '!I19/100/3.6*1000000</f>
        <v>20.550452993993222</v>
      </c>
      <c r="F9" s="33">
        <f>C31*'E Balans VL '!L19/100/3.6*1000000+C31*'E Balans VL '!N19/100/3.6*1000000</f>
        <v>956.47525839206901</v>
      </c>
      <c r="G9" s="34"/>
      <c r="H9" s="33"/>
      <c r="I9" s="33"/>
      <c r="J9" s="40">
        <f>C31*'E Balans VL '!D19/100/3.6*1000000+C31*'E Balans VL '!E19/100/3.6*1000000</f>
        <v>0.11035035842775924</v>
      </c>
      <c r="K9" s="33"/>
      <c r="L9" s="33"/>
      <c r="M9" s="33"/>
      <c r="N9" s="33">
        <f>C31*'E Balans VL '!Y19/100/3.6*1000000</f>
        <v>90.682178066806955</v>
      </c>
      <c r="O9" s="33"/>
      <c r="P9" s="33"/>
      <c r="R9" s="32"/>
    </row>
    <row r="10" spans="1:18">
      <c r="A10" s="6" t="s">
        <v>41</v>
      </c>
      <c r="B10" s="37">
        <f t="shared" si="0"/>
        <v>19054.377716664298</v>
      </c>
      <c r="C10" s="33"/>
      <c r="D10" s="37">
        <f>IF( ISERROR(IND_voed_gas_kWh/1000),0,IND_voed_gas_kWh/1000)*0.902</f>
        <v>20602.484187759699</v>
      </c>
      <c r="E10" s="33">
        <f>C32*'E Balans VL '!I20/100/3.6*1000000</f>
        <v>173.84422424056558</v>
      </c>
      <c r="F10" s="33">
        <f>C32*'E Balans VL '!L20/100/3.6*1000000+C32*'E Balans VL '!N20/100/3.6*1000000</f>
        <v>3074.0671117546108</v>
      </c>
      <c r="G10" s="34"/>
      <c r="H10" s="33"/>
      <c r="I10" s="33"/>
      <c r="J10" s="40">
        <f>C32*'E Balans VL '!D20/100/3.6*1000000+C32*'E Balans VL '!E20/100/3.6*1000000</f>
        <v>78.47842009196259</v>
      </c>
      <c r="K10" s="33"/>
      <c r="L10" s="33"/>
      <c r="M10" s="33"/>
      <c r="N10" s="33">
        <f>C32*'E Balans VL '!Y20/100/3.6*1000000</f>
        <v>278.75052119628208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3360.7534148004502</v>
      </c>
      <c r="C13" s="33"/>
      <c r="D13" s="37">
        <f>IF( ISERROR(IND_papier_gas_kWh/1000),0,IND_papier_gas_kWh/1000)*0.902</f>
        <v>3785.9497193932402</v>
      </c>
      <c r="E13" s="33">
        <f>C35*'E Balans VL '!I23/100/3.6*1000000</f>
        <v>103.40161178814533</v>
      </c>
      <c r="F13" s="33">
        <f>C35*'E Balans VL '!L23/100/3.6*1000000+C35*'E Balans VL '!N23/100/3.6*1000000</f>
        <v>713.6054013546742</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5553.9721747006397</v>
      </c>
      <c r="C15" s="33"/>
      <c r="D15" s="37">
        <f>IF( ISERROR(IND_rest_gas_kWh/1000),0,IND_rest_gas_kWh/1000)*0.902</f>
        <v>2673.007432188725</v>
      </c>
      <c r="E15" s="33">
        <f>C37*'E Balans VL '!I15/100/3.6*1000000</f>
        <v>50.123285374268114</v>
      </c>
      <c r="F15" s="33">
        <f>C37*'E Balans VL '!L15/100/3.6*1000000+C37*'E Balans VL '!N15/100/3.6*1000000</f>
        <v>1110.2836352879699</v>
      </c>
      <c r="G15" s="34"/>
      <c r="H15" s="33"/>
      <c r="I15" s="33"/>
      <c r="J15" s="40">
        <f>C37*'E Balans VL '!D15/100/3.6*1000000+C37*'E Balans VL '!E15/100/3.6*1000000</f>
        <v>37.396850888424275</v>
      </c>
      <c r="K15" s="33"/>
      <c r="L15" s="33"/>
      <c r="M15" s="33"/>
      <c r="N15" s="33">
        <f>C37*'E Balans VL '!Y15/100/3.6*1000000</f>
        <v>99.948488627594628</v>
      </c>
      <c r="O15" s="33"/>
      <c r="P15" s="33"/>
      <c r="R15" s="32"/>
    </row>
    <row r="16" spans="1:18">
      <c r="A16" s="16" t="s">
        <v>497</v>
      </c>
      <c r="B16" s="248">
        <f>'lokale energieproductie'!N89+'lokale energieproductie'!N58</f>
        <v>18891</v>
      </c>
      <c r="C16" s="248">
        <f>'lokale energieproductie'!O89+'lokale energieproductie'!O58</f>
        <v>26987.142857142859</v>
      </c>
      <c r="D16" s="311">
        <f>('lokale energieproductie'!P58+'lokale energieproductie'!P89)*(-1)</f>
        <v>-53974.285714285717</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49032.15588479313</v>
      </c>
      <c r="C18" s="21">
        <f>C5+C16</f>
        <v>26987.142857142859</v>
      </c>
      <c r="D18" s="21">
        <f>MAX((D5+D16),0)</f>
        <v>5414.5484625318641</v>
      </c>
      <c r="E18" s="21">
        <f>MAX((E5+E16),0)</f>
        <v>354.58473042869355</v>
      </c>
      <c r="F18" s="21">
        <f>MAX((F5+F16),0)</f>
        <v>5958.5751545561707</v>
      </c>
      <c r="G18" s="21"/>
      <c r="H18" s="21"/>
      <c r="I18" s="21"/>
      <c r="J18" s="21">
        <f>MAX((J5+J16),0)</f>
        <v>135.5559718381536</v>
      </c>
      <c r="K18" s="21"/>
      <c r="L18" s="21">
        <f>MAX((L5+L16),0)</f>
        <v>0</v>
      </c>
      <c r="M18" s="21"/>
      <c r="N18" s="21">
        <f>MAX((N5+N16),0)</f>
        <v>472.93637064952929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0.21989843581486626</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10782.0943836967</v>
      </c>
      <c r="C22" s="23">
        <f ca="1">C18*C20</f>
        <v>6413.4151260504223</v>
      </c>
      <c r="D22" s="23">
        <f>D18*D20</f>
        <v>1093.7387894314365</v>
      </c>
      <c r="E22" s="23">
        <f>E18*E20</f>
        <v>80.490733807313433</v>
      </c>
      <c r="F22" s="23">
        <f>F18*F20</f>
        <v>1590.9395662664976</v>
      </c>
      <c r="G22" s="23"/>
      <c r="H22" s="23"/>
      <c r="I22" s="23"/>
      <c r="J22" s="23">
        <f>J18*J20</f>
        <v>47.98681403070637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948.53640483646006</v>
      </c>
      <c r="C30" s="39">
        <f>IF(ISERROR(B30*3.6/1000000/'E Balans VL '!Z18*100),0,B30*3.6/1000000/'E Balans VL '!Z18*100)</f>
        <v>6.3144647694829956E-2</v>
      </c>
      <c r="D30" s="238" t="s">
        <v>720</v>
      </c>
    </row>
    <row r="31" spans="1:18">
      <c r="A31" s="6" t="s">
        <v>33</v>
      </c>
      <c r="B31" s="37">
        <f>IF( ISERROR(IND_ander_ele_kWh/1000),0,IND_ander_ele_kWh/1000)</f>
        <v>1223.5161737912799</v>
      </c>
      <c r="C31" s="39">
        <f>IF(ISERROR(B31*3.6/1000000/'E Balans VL '!Z19*100),0,B31*3.6/1000000/'E Balans VL '!Z19*100)</f>
        <v>5.42336232545984E-2</v>
      </c>
      <c r="D31" s="238" t="s">
        <v>720</v>
      </c>
    </row>
    <row r="32" spans="1:18">
      <c r="A32" s="172" t="s">
        <v>41</v>
      </c>
      <c r="B32" s="37">
        <f>IF( ISERROR(IND_voed_ele_kWh/1000),0,IND_voed_ele_kWh/1000)</f>
        <v>19054.377716664298</v>
      </c>
      <c r="C32" s="39">
        <f>IF(ISERROR(B32*3.6/1000000/'E Balans VL '!Z20*100),0,B32*3.6/1000000/'E Balans VL '!Z20*100)</f>
        <v>0.63647087567187854</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3360.7534148004502</v>
      </c>
      <c r="C35" s="39">
        <f>IF(ISERROR(B35*3.6/1000000/'E Balans VL '!Z22*100),0,B35*3.6/1000000/'E Balans VL '!Z22*100)</f>
        <v>0.65362962340084574</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5553.9721747006397</v>
      </c>
      <c r="C37" s="39">
        <f>IF(ISERROR(B37*3.6/1000000/'E Balans VL '!Z15*100),0,B37*3.6/1000000/'E Balans VL '!Z15*100)</f>
        <v>4.1312504785124438E-2</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477.19620793991402</v>
      </c>
      <c r="C5" s="17">
        <f>'Eigen informatie GS &amp; warmtenet'!B60</f>
        <v>0</v>
      </c>
      <c r="D5" s="30">
        <f>IF(ISERROR(SUM(LB_lb_gas_kWh,LB_rest_gas_kWh,onbekend_gas_kWh)/1000),0,SUM(LB_lb_gas_kWh,LB_rest_gas_kWh,onbekend_gas_kWh)/1000)*0.902</f>
        <v>10008.516850922546</v>
      </c>
      <c r="E5" s="17">
        <f>B17*'E Balans VL '!I25/3.6*1000000/100</f>
        <v>4.9973019983128921</v>
      </c>
      <c r="F5" s="17">
        <f>B17*('E Balans VL '!L25/3.6*1000000+'E Balans VL '!N25/3.6*1000000)/100</f>
        <v>2450.9557051960628</v>
      </c>
      <c r="G5" s="18"/>
      <c r="H5" s="17"/>
      <c r="I5" s="17"/>
      <c r="J5" s="17">
        <f>('E Balans VL '!D25+'E Balans VL '!E25)/3.6*1000000*landbouw!B17/100</f>
        <v>42.617898551613372</v>
      </c>
      <c r="K5" s="17"/>
      <c r="L5" s="17">
        <f>L6*(-1)</f>
        <v>0</v>
      </c>
      <c r="M5" s="17"/>
      <c r="N5" s="17">
        <f>N6*(-1)</f>
        <v>0</v>
      </c>
      <c r="O5" s="17"/>
      <c r="P5" s="17"/>
      <c r="R5" s="32"/>
    </row>
    <row r="6" spans="1:18">
      <c r="A6" s="16" t="s">
        <v>497</v>
      </c>
      <c r="B6" s="17" t="s">
        <v>212</v>
      </c>
      <c r="C6" s="17">
        <f>'lokale energieproductie'!O91+'lokale energieproductie'!O60</f>
        <v>7375.7142857142862</v>
      </c>
      <c r="D6" s="311">
        <f>('lokale energieproductie'!P60+'lokale energieproductie'!P91)*(-1)</f>
        <v>-14751.428571428572</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477.19620793991402</v>
      </c>
      <c r="C8" s="21">
        <f>C5+C6</f>
        <v>7375.7142857142862</v>
      </c>
      <c r="D8" s="21">
        <f>MAX((D5+D6),0)</f>
        <v>0</v>
      </c>
      <c r="E8" s="21">
        <f>MAX((E5+E6),0)</f>
        <v>4.9973019983128921</v>
      </c>
      <c r="F8" s="21">
        <f>MAX((F5+F6),0)</f>
        <v>2450.9557051960628</v>
      </c>
      <c r="G8" s="21"/>
      <c r="H8" s="21"/>
      <c r="I8" s="21"/>
      <c r="J8" s="21">
        <f>MAX((J5+J6),0)</f>
        <v>42.617898551613372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0.21989843581486626</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104.93469970277276</v>
      </c>
      <c r="C12" s="23">
        <f ca="1">C8*C10</f>
        <v>1752.8168067226895</v>
      </c>
      <c r="D12" s="23">
        <f>D8*D10</f>
        <v>0</v>
      </c>
      <c r="E12" s="23">
        <f>E8*E10</f>
        <v>1.1343875536170265</v>
      </c>
      <c r="F12" s="23">
        <f>F8*F10</f>
        <v>654.40517328734882</v>
      </c>
      <c r="G12" s="23"/>
      <c r="H12" s="23"/>
      <c r="I12" s="23"/>
      <c r="J12" s="23">
        <f>J8*J10</f>
        <v>15.086736087271133</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7.3449707991053284E-2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5.1327743653406834</v>
      </c>
      <c r="C26" s="248">
        <f>B26*'GWP N2O_CH4'!B5</f>
        <v>107.78826167215435</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0.33519673103191372</v>
      </c>
      <c r="C27" s="248">
        <f>B27*'GWP N2O_CH4'!B5</f>
        <v>7.0391313516701883</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8.015102485104808E-2</v>
      </c>
      <c r="C28" s="248">
        <f>B28*'GWP N2O_CH4'!B4</f>
        <v>24.846817703824904</v>
      </c>
      <c r="D28" s="50"/>
    </row>
    <row r="29" spans="1:4">
      <c r="A29" s="41" t="s">
        <v>278</v>
      </c>
      <c r="B29" s="248">
        <f>B34*'ha_N2O bodem landbouw'!B4</f>
        <v>2.93304233125368</v>
      </c>
      <c r="C29" s="248">
        <f>B29*'GWP N2O_CH4'!B4</f>
        <v>909.24312268864082</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4.8472376692815976E-4</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6.2224700224609291E-6</v>
      </c>
      <c r="C5" s="446" t="s">
        <v>212</v>
      </c>
      <c r="D5" s="431">
        <f>SUM(D6:D11)</f>
        <v>2.8803737759312953E-5</v>
      </c>
      <c r="E5" s="431">
        <f>SUM(E6:E11)</f>
        <v>3.5288950210109887E-3</v>
      </c>
      <c r="F5" s="444" t="s">
        <v>212</v>
      </c>
      <c r="G5" s="431">
        <f>SUM(G6:G11)</f>
        <v>0.77647085848100117</v>
      </c>
      <c r="H5" s="431">
        <f>SUM(H6:H11)</f>
        <v>0.10070863943574272</v>
      </c>
      <c r="I5" s="446" t="s">
        <v>212</v>
      </c>
      <c r="J5" s="446" t="s">
        <v>212</v>
      </c>
      <c r="K5" s="446" t="s">
        <v>212</v>
      </c>
      <c r="L5" s="446" t="s">
        <v>212</v>
      </c>
      <c r="M5" s="431">
        <f>SUM(M6:M11)</f>
        <v>3.8189082771345827E-2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1.0997667350074037E-6</v>
      </c>
      <c r="C6" s="432"/>
      <c r="D6" s="432">
        <f>vkm_2011_GW_PW*SUMIFS(TableVerdeelsleutelVkm[CNG],TableVerdeelsleutelVkm[Voertuigtype],"Lichte voertuigen")*SUMIFS(TableECFTransport[EnergieConsumptieFactor (PJ per km)],TableECFTransport[Index],CONCATENATE($A6,"_CNG_CNG"))</f>
        <v>4.7409665578727859E-6</v>
      </c>
      <c r="E6" s="434">
        <f>vkm_2011_GW_PW*SUMIFS(TableVerdeelsleutelVkm[LPG],TableVerdeelsleutelVkm[Voertuigtype],"Lichte voertuigen")*SUMIFS(TableECFTransport[EnergieConsumptieFactor (PJ per km)],TableECFTransport[Index],CONCATENATE($A6,"_LPG_LPG"))</f>
        <v>4.9326848038640778E-4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6.0673377247072752E-2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1.5974042893539726E-2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3.3590574123757251E-3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3.4014275145593242E-2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1.166302358959711E-5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1.4693529545897626E-3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3.6198663351583162E-7</v>
      </c>
      <c r="C8" s="432"/>
      <c r="D8" s="434">
        <f>vkm_2011_NGW_PW*SUMIFS(TableVerdeelsleutelVkm[CNG],TableVerdeelsleutelVkm[Voertuigtype],"Lichte voertuigen")*SUMIFS(TableECFTransport[EnergieConsumptieFactor (PJ per km)],TableECFTransport[Index],CONCATENATE($A8,"_CNG_CNG"))</f>
        <v>2.7995432545194447E-6</v>
      </c>
      <c r="E8" s="434">
        <f>vkm_2011_NGW_PW*SUMIFS(TableVerdeelsleutelVkm[LPG],TableVerdeelsleutelVkm[Voertuigtype],"Lichte voertuigen")*SUMIFS(TableECFTransport[EnergieConsumptieFactor (PJ per km)],TableECFTransport[Index],CONCATENATE($A8,"_LPG_LPG"))</f>
        <v>2.6595595082665364E-4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3.1027831634879266E-2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9.0041371366348603E-3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1.756430976049725E-3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1.6347181357057067E-2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4.8693958681758315E-6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7.0613356211229406E-4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4.7607166539376936E-6</v>
      </c>
      <c r="C10" s="432"/>
      <c r="D10" s="434">
        <f>vkm_2011_SW_PW*SUMIFS(TableVerdeelsleutelVkm[CNG],TableVerdeelsleutelVkm[Voertuigtype],"Lichte voertuigen")*SUMIFS(TableECFTransport[EnergieConsumptieFactor (PJ per km)],TableECFTransport[Index],CONCATENATE($A10,"_CNG_CNG"))</f>
        <v>2.1263227946920721E-5</v>
      </c>
      <c r="E10" s="434">
        <f>vkm_2011_SW_PW*SUMIFS(TableVerdeelsleutelVkm[LPG],TableVerdeelsleutelVkm[Voertuigtype],"Lichte voertuigen")*SUMIFS(TableECFTransport[EnergieConsumptieFactor (PJ per km)],TableECFTransport[Index],CONCATENATE($A10,"_LPG_LPG"))</f>
        <v>2.7696705897979272E-3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0.31319822904986766</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7.559641373843623E-2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1.7022098065162406E-2</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0.32120996404653118</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1.1751324767412853E-4</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1.3876009801055914E-2</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1.7284638951280358</v>
      </c>
      <c r="C14" s="21"/>
      <c r="D14" s="21">
        <f t="shared" ref="D14:M14" si="0">((D5)*10^9/3600)+D12</f>
        <v>8.0010382664758204</v>
      </c>
      <c r="E14" s="21">
        <f t="shared" si="0"/>
        <v>980.24861694749688</v>
      </c>
      <c r="F14" s="21"/>
      <c r="G14" s="21">
        <f t="shared" si="0"/>
        <v>215686.34957805587</v>
      </c>
      <c r="H14" s="21">
        <f t="shared" si="0"/>
        <v>27974.622065484091</v>
      </c>
      <c r="I14" s="21"/>
      <c r="J14" s="21"/>
      <c r="K14" s="21"/>
      <c r="L14" s="21"/>
      <c r="M14" s="21">
        <f t="shared" si="0"/>
        <v>10608.078547596062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0.21989843581486626</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0.38008650690112611</v>
      </c>
      <c r="C18" s="23"/>
      <c r="D18" s="23">
        <f t="shared" ref="D18:M18" si="1">D14*D16</f>
        <v>1.6162097298281157</v>
      </c>
      <c r="E18" s="23">
        <f t="shared" si="1"/>
        <v>222.51643604708181</v>
      </c>
      <c r="F18" s="23"/>
      <c r="G18" s="23">
        <f t="shared" si="1"/>
        <v>57588.255337340925</v>
      </c>
      <c r="H18" s="23">
        <f t="shared" si="1"/>
        <v>6965.6808943055385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9.1275468453417292E-3</v>
      </c>
      <c r="H50" s="322">
        <f t="shared" si="2"/>
        <v>0</v>
      </c>
      <c r="I50" s="322">
        <f t="shared" si="2"/>
        <v>0</v>
      </c>
      <c r="J50" s="322">
        <f t="shared" si="2"/>
        <v>0</v>
      </c>
      <c r="K50" s="322">
        <f t="shared" si="2"/>
        <v>0</v>
      </c>
      <c r="L50" s="322">
        <f t="shared" si="2"/>
        <v>0</v>
      </c>
      <c r="M50" s="322">
        <f t="shared" si="2"/>
        <v>3.8906766760353598E-4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9.1275468453417292E-3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3.8906766760353598E-4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2535.4296792615914</v>
      </c>
      <c r="H54" s="21">
        <f t="shared" si="3"/>
        <v>0</v>
      </c>
      <c r="I54" s="21">
        <f t="shared" si="3"/>
        <v>0</v>
      </c>
      <c r="J54" s="21">
        <f t="shared" si="3"/>
        <v>0</v>
      </c>
      <c r="K54" s="21">
        <f t="shared" si="3"/>
        <v>0</v>
      </c>
      <c r="L54" s="21">
        <f t="shared" si="3"/>
        <v>0</v>
      </c>
      <c r="M54" s="21">
        <f t="shared" si="3"/>
        <v>108.07435211209332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0.21989843581486626</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676.95972436284501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2335.5212278432873</v>
      </c>
      <c r="C6" s="1124"/>
      <c r="D6" s="1127"/>
      <c r="E6" s="1127"/>
      <c r="F6" s="1130"/>
      <c r="G6" s="1133"/>
      <c r="H6" s="1121"/>
      <c r="I6" s="1127"/>
      <c r="J6" s="1127"/>
      <c r="K6" s="1127"/>
      <c r="L6" s="1157"/>
      <c r="M6" s="559"/>
      <c r="N6" s="1169"/>
      <c r="O6" s="1170"/>
      <c r="Q6" s="557"/>
      <c r="R6" s="1154"/>
      <c r="S6" s="1154"/>
    </row>
    <row r="7" spans="1:19" s="547" customFormat="1">
      <c r="A7" s="560" t="s">
        <v>253</v>
      </c>
      <c r="B7" s="561">
        <f>N57</f>
        <v>24054</v>
      </c>
      <c r="C7" s="562">
        <f>B100</f>
        <v>28298.823529411766</v>
      </c>
      <c r="D7" s="563"/>
      <c r="E7" s="563">
        <f>E100</f>
        <v>0</v>
      </c>
      <c r="F7" s="564"/>
      <c r="G7" s="565"/>
      <c r="H7" s="563">
        <f>I100</f>
        <v>0</v>
      </c>
      <c r="I7" s="563">
        <f>G100+F100</f>
        <v>0</v>
      </c>
      <c r="J7" s="563">
        <f>H100+D100+C100</f>
        <v>0</v>
      </c>
      <c r="K7" s="563"/>
      <c r="L7" s="566"/>
      <c r="M7" s="567">
        <f>C7*$C$11+D7*$D$11+E7*$E$11+F7*$F$11+G7*$G$11+H7*$H$11+I7*$I$11+J7*$J$11</f>
        <v>5716.3623529411771</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26389.521227843288</v>
      </c>
      <c r="C9" s="578">
        <f t="shared" ref="C9:L9" si="0">SUM(C7:C8)</f>
        <v>28298.823529411766</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5716.3623529411771</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34362.857142857145</v>
      </c>
      <c r="C16" s="594">
        <f>B101</f>
        <v>40426.890756302528</v>
      </c>
      <c r="D16" s="595"/>
      <c r="E16" s="595">
        <f>E101</f>
        <v>0</v>
      </c>
      <c r="F16" s="596"/>
      <c r="G16" s="597"/>
      <c r="H16" s="594">
        <f>I101</f>
        <v>0</v>
      </c>
      <c r="I16" s="595">
        <f>G101+F101</f>
        <v>0</v>
      </c>
      <c r="J16" s="595">
        <f>H101+D101+C101</f>
        <v>0</v>
      </c>
      <c r="K16" s="595"/>
      <c r="L16" s="598"/>
      <c r="M16" s="599">
        <f>C16*$C$21+E16*$E$21+H16*$H$21+I16*$I$21+J16*$J$21+D16*$D$21+F16*$F$21+G16*$G$21+K16*$K$21+L16*$L$21</f>
        <v>8166.2319327731111</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34362.857142857145</v>
      </c>
      <c r="C19" s="577">
        <f>SUM(C16:C18)</f>
        <v>40426.890756302528</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8166.2319327731111</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25.5">
      <c r="A27" s="608"/>
      <c r="B27" s="839">
        <v>11052</v>
      </c>
      <c r="C27" s="839">
        <v>2160</v>
      </c>
      <c r="D27" s="656" t="s">
        <v>894</v>
      </c>
      <c r="E27" s="655" t="s">
        <v>895</v>
      </c>
      <c r="F27" s="655" t="s">
        <v>896</v>
      </c>
      <c r="G27" s="655" t="s">
        <v>897</v>
      </c>
      <c r="H27" s="655" t="s">
        <v>898</v>
      </c>
      <c r="I27" s="655" t="s">
        <v>895</v>
      </c>
      <c r="J27" s="838">
        <v>39750</v>
      </c>
      <c r="K27" s="838">
        <v>39750</v>
      </c>
      <c r="L27" s="655" t="s">
        <v>899</v>
      </c>
      <c r="M27" s="655">
        <v>290</v>
      </c>
      <c r="N27" s="655">
        <v>1305</v>
      </c>
      <c r="O27" s="655">
        <v>1864.2857142857142</v>
      </c>
      <c r="P27" s="655">
        <v>3728.5714285714289</v>
      </c>
      <c r="Q27" s="655">
        <v>0</v>
      </c>
      <c r="R27" s="655">
        <v>0</v>
      </c>
      <c r="S27" s="655">
        <v>0</v>
      </c>
      <c r="T27" s="655">
        <v>0</v>
      </c>
      <c r="U27" s="655">
        <v>0</v>
      </c>
      <c r="V27" s="655">
        <v>0</v>
      </c>
      <c r="W27" s="655">
        <v>0</v>
      </c>
      <c r="X27" s="655">
        <v>10</v>
      </c>
      <c r="Y27" s="655" t="s">
        <v>112</v>
      </c>
      <c r="Z27" s="657" t="s">
        <v>112</v>
      </c>
    </row>
    <row r="28" spans="1:26" s="609" customFormat="1" ht="25.5">
      <c r="A28" s="608"/>
      <c r="B28" s="839">
        <v>11052</v>
      </c>
      <c r="C28" s="839">
        <v>2160</v>
      </c>
      <c r="D28" s="656" t="s">
        <v>900</v>
      </c>
      <c r="E28" s="655" t="s">
        <v>901</v>
      </c>
      <c r="F28" s="655" t="s">
        <v>902</v>
      </c>
      <c r="G28" s="655" t="s">
        <v>897</v>
      </c>
      <c r="H28" s="655" t="s">
        <v>898</v>
      </c>
      <c r="I28" s="655" t="s">
        <v>901</v>
      </c>
      <c r="J28" s="838">
        <v>40590</v>
      </c>
      <c r="K28" s="838">
        <v>40655</v>
      </c>
      <c r="L28" s="655" t="s">
        <v>903</v>
      </c>
      <c r="M28" s="655">
        <v>1286</v>
      </c>
      <c r="N28" s="655">
        <v>3858</v>
      </c>
      <c r="O28" s="655">
        <v>5511.4285714285716</v>
      </c>
      <c r="P28" s="655">
        <v>11022.857142857143</v>
      </c>
      <c r="Q28" s="655">
        <v>0</v>
      </c>
      <c r="R28" s="655">
        <v>0</v>
      </c>
      <c r="S28" s="655">
        <v>0</v>
      </c>
      <c r="T28" s="655">
        <v>0</v>
      </c>
      <c r="U28" s="655">
        <v>0</v>
      </c>
      <c r="V28" s="655">
        <v>0</v>
      </c>
      <c r="W28" s="655">
        <v>0</v>
      </c>
      <c r="X28" s="655">
        <v>10</v>
      </c>
      <c r="Y28" s="655" t="s">
        <v>112</v>
      </c>
      <c r="Z28" s="657" t="s">
        <v>112</v>
      </c>
    </row>
    <row r="29" spans="1:26" s="609" customFormat="1" ht="38.25">
      <c r="A29" s="608"/>
      <c r="B29" s="839">
        <v>11052</v>
      </c>
      <c r="C29" s="839">
        <v>2160</v>
      </c>
      <c r="D29" s="656" t="s">
        <v>904</v>
      </c>
      <c r="E29" s="655" t="s">
        <v>905</v>
      </c>
      <c r="F29" s="655" t="s">
        <v>906</v>
      </c>
      <c r="G29" s="655" t="s">
        <v>897</v>
      </c>
      <c r="H29" s="655" t="s">
        <v>898</v>
      </c>
      <c r="I29" s="655" t="s">
        <v>905</v>
      </c>
      <c r="J29" s="838">
        <v>40246</v>
      </c>
      <c r="K29" s="838">
        <v>39468</v>
      </c>
      <c r="L29" s="655" t="s">
        <v>903</v>
      </c>
      <c r="M29" s="655">
        <v>4198</v>
      </c>
      <c r="N29" s="655">
        <v>18891</v>
      </c>
      <c r="O29" s="655">
        <v>26987.142857142859</v>
      </c>
      <c r="P29" s="655">
        <v>53974.285714285717</v>
      </c>
      <c r="Q29" s="655">
        <v>0</v>
      </c>
      <c r="R29" s="655">
        <v>0</v>
      </c>
      <c r="S29" s="655">
        <v>0</v>
      </c>
      <c r="T29" s="655">
        <v>0</v>
      </c>
      <c r="U29" s="655">
        <v>0</v>
      </c>
      <c r="V29" s="655">
        <v>0</v>
      </c>
      <c r="W29" s="655">
        <v>0</v>
      </c>
      <c r="X29" s="655">
        <v>800</v>
      </c>
      <c r="Y29" s="655" t="s">
        <v>36</v>
      </c>
      <c r="Z29" s="657" t="s">
        <v>392</v>
      </c>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5774</v>
      </c>
      <c r="N57" s="613">
        <f>SUM(N27:N56)</f>
        <v>24054</v>
      </c>
      <c r="O57" s="613">
        <f t="shared" ref="O57:W57" si="2">SUM(O27:O56)</f>
        <v>34362.857142857145</v>
      </c>
      <c r="P57" s="613">
        <f t="shared" si="2"/>
        <v>68725.71428571429</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4198</v>
      </c>
      <c r="N58" s="613">
        <f t="shared" ref="N58:W58" si="3">SUMIF($Z$27:$Z$56,"industrie",N27:N56)</f>
        <v>18891</v>
      </c>
      <c r="O58" s="613">
        <f t="shared" si="3"/>
        <v>26987.142857142859</v>
      </c>
      <c r="P58" s="613">
        <f t="shared" si="3"/>
        <v>53974.285714285717</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1576</v>
      </c>
      <c r="N60" s="618">
        <f t="shared" ref="N60:W60" si="4">SUMIF($Z$27:$Z$56,"landbouw",N27:N56)</f>
        <v>5163</v>
      </c>
      <c r="O60" s="618">
        <f t="shared" si="4"/>
        <v>7375.7142857142862</v>
      </c>
      <c r="P60" s="618">
        <f t="shared" si="4"/>
        <v>14751.428571428572</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0.58823529411764708</v>
      </c>
      <c r="C97" s="638">
        <f>IF(ISERROR(N57/(O57+N57)),0,N57/(N57+O57))</f>
        <v>0.41176470588235292</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28298.823529411766</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40426.890756302528</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32285.756062566081</v>
      </c>
      <c r="D10" s="702">
        <f ca="1">tertiair!C16</f>
        <v>0</v>
      </c>
      <c r="E10" s="702">
        <f ca="1">tertiair!D16</f>
        <v>34534.062864319152</v>
      </c>
      <c r="F10" s="702">
        <f>tertiair!E16</f>
        <v>463.55155235896308</v>
      </c>
      <c r="G10" s="702">
        <f ca="1">tertiair!F16</f>
        <v>5566.5277918160227</v>
      </c>
      <c r="H10" s="702">
        <f>tertiair!G16</f>
        <v>0</v>
      </c>
      <c r="I10" s="702">
        <f>tertiair!H16</f>
        <v>0</v>
      </c>
      <c r="J10" s="702">
        <f>tertiair!I16</f>
        <v>0</v>
      </c>
      <c r="K10" s="702">
        <f>tertiair!J16</f>
        <v>0</v>
      </c>
      <c r="L10" s="702">
        <f>tertiair!K16</f>
        <v>0</v>
      </c>
      <c r="M10" s="702">
        <f ca="1">tertiair!L16</f>
        <v>0</v>
      </c>
      <c r="N10" s="702">
        <f>tertiair!M16</f>
        <v>0</v>
      </c>
      <c r="O10" s="702">
        <f ca="1">tertiair!N16</f>
        <v>930.2172906558186</v>
      </c>
      <c r="P10" s="702">
        <f>tertiair!O16</f>
        <v>0</v>
      </c>
      <c r="Q10" s="703">
        <f>tertiair!P16</f>
        <v>19.066666666666666</v>
      </c>
      <c r="R10" s="705">
        <f ca="1">SUM(C10:Q10)</f>
        <v>73799.182228382691</v>
      </c>
      <c r="S10" s="67"/>
    </row>
    <row r="11" spans="1:19" s="457" customFormat="1">
      <c r="A11" s="858" t="s">
        <v>226</v>
      </c>
      <c r="B11" s="863"/>
      <c r="C11" s="702">
        <f>huishoudens!B8</f>
        <v>23255.451730337849</v>
      </c>
      <c r="D11" s="702">
        <f>huishoudens!C8</f>
        <v>0</v>
      </c>
      <c r="E11" s="702">
        <f>huishoudens!D8</f>
        <v>62657.106257987281</v>
      </c>
      <c r="F11" s="702">
        <f>huishoudens!E8</f>
        <v>1454.1949275838683</v>
      </c>
      <c r="G11" s="702">
        <f>huishoudens!F8</f>
        <v>0</v>
      </c>
      <c r="H11" s="702">
        <f>huishoudens!G8</f>
        <v>0</v>
      </c>
      <c r="I11" s="702">
        <f>huishoudens!H8</f>
        <v>0</v>
      </c>
      <c r="J11" s="702">
        <f>huishoudens!I8</f>
        <v>0</v>
      </c>
      <c r="K11" s="702">
        <f>huishoudens!J8</f>
        <v>0</v>
      </c>
      <c r="L11" s="702">
        <f>huishoudens!K8</f>
        <v>0</v>
      </c>
      <c r="M11" s="702">
        <f>huishoudens!L8</f>
        <v>0</v>
      </c>
      <c r="N11" s="702">
        <f>huishoudens!M8</f>
        <v>0</v>
      </c>
      <c r="O11" s="702">
        <f>huishoudens!N8</f>
        <v>6048.2589911010791</v>
      </c>
      <c r="P11" s="702">
        <f>huishoudens!O8</f>
        <v>90.673333333333346</v>
      </c>
      <c r="Q11" s="703">
        <f>huishoudens!P8</f>
        <v>114.4</v>
      </c>
      <c r="R11" s="705">
        <f>SUM(C11:Q11)</f>
        <v>93620.085240343411</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49032.15588479313</v>
      </c>
      <c r="D13" s="702">
        <f>industrie!C18</f>
        <v>26987.142857142859</v>
      </c>
      <c r="E13" s="702">
        <f>industrie!D18</f>
        <v>5414.5484625318641</v>
      </c>
      <c r="F13" s="702">
        <f>industrie!E18</f>
        <v>354.58473042869355</v>
      </c>
      <c r="G13" s="702">
        <f>industrie!F18</f>
        <v>5958.5751545561707</v>
      </c>
      <c r="H13" s="702">
        <f>industrie!G18</f>
        <v>0</v>
      </c>
      <c r="I13" s="702">
        <f>industrie!H18</f>
        <v>0</v>
      </c>
      <c r="J13" s="702">
        <f>industrie!I18</f>
        <v>0</v>
      </c>
      <c r="K13" s="702">
        <f>industrie!J18</f>
        <v>135.5559718381536</v>
      </c>
      <c r="L13" s="702">
        <f>industrie!K18</f>
        <v>0</v>
      </c>
      <c r="M13" s="702">
        <f>industrie!L18</f>
        <v>0</v>
      </c>
      <c r="N13" s="702">
        <f>industrie!M18</f>
        <v>0</v>
      </c>
      <c r="O13" s="702">
        <f>industrie!N18</f>
        <v>472.93637064952929</v>
      </c>
      <c r="P13" s="702">
        <f>industrie!O18</f>
        <v>0</v>
      </c>
      <c r="Q13" s="703">
        <f>industrie!P18</f>
        <v>0</v>
      </c>
      <c r="R13" s="705">
        <f>SUM(C13:Q13)</f>
        <v>88355.499431940392</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104573.36367769705</v>
      </c>
      <c r="D15" s="707">
        <f t="shared" ref="D15:Q15" ca="1" si="0">SUM(D9:D14)</f>
        <v>26987.142857142859</v>
      </c>
      <c r="E15" s="707">
        <f t="shared" ca="1" si="0"/>
        <v>102605.71758483829</v>
      </c>
      <c r="F15" s="707">
        <f t="shared" si="0"/>
        <v>2272.3312103715252</v>
      </c>
      <c r="G15" s="707">
        <f t="shared" ca="1" si="0"/>
        <v>11525.102946372193</v>
      </c>
      <c r="H15" s="707">
        <f t="shared" si="0"/>
        <v>0</v>
      </c>
      <c r="I15" s="707">
        <f t="shared" si="0"/>
        <v>0</v>
      </c>
      <c r="J15" s="707">
        <f t="shared" si="0"/>
        <v>0</v>
      </c>
      <c r="K15" s="707">
        <f t="shared" si="0"/>
        <v>135.5559718381536</v>
      </c>
      <c r="L15" s="707">
        <f t="shared" si="0"/>
        <v>0</v>
      </c>
      <c r="M15" s="707">
        <f t="shared" ca="1" si="0"/>
        <v>0</v>
      </c>
      <c r="N15" s="707">
        <f t="shared" si="0"/>
        <v>0</v>
      </c>
      <c r="O15" s="707">
        <f t="shared" ca="1" si="0"/>
        <v>7451.4126524064277</v>
      </c>
      <c r="P15" s="707">
        <f t="shared" si="0"/>
        <v>90.673333333333346</v>
      </c>
      <c r="Q15" s="708">
        <f t="shared" si="0"/>
        <v>133.46666666666667</v>
      </c>
      <c r="R15" s="709">
        <f ca="1">SUM(R9:R14)</f>
        <v>255774.76690066647</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2535.4296792615914</v>
      </c>
      <c r="I18" s="702">
        <f>transport!H54</f>
        <v>0</v>
      </c>
      <c r="J18" s="702">
        <f>transport!I54</f>
        <v>0</v>
      </c>
      <c r="K18" s="702">
        <f>transport!J54</f>
        <v>0</v>
      </c>
      <c r="L18" s="702">
        <f>transport!K54</f>
        <v>0</v>
      </c>
      <c r="M18" s="702">
        <f>transport!L54</f>
        <v>0</v>
      </c>
      <c r="N18" s="702">
        <f>transport!M54</f>
        <v>108.07435211209332</v>
      </c>
      <c r="O18" s="702">
        <f>transport!N54</f>
        <v>0</v>
      </c>
      <c r="P18" s="702">
        <f>transport!O54</f>
        <v>0</v>
      </c>
      <c r="Q18" s="703">
        <f>transport!P54</f>
        <v>0</v>
      </c>
      <c r="R18" s="705">
        <f>SUM(C18:Q18)</f>
        <v>2643.5040313736849</v>
      </c>
      <c r="S18" s="67"/>
    </row>
    <row r="19" spans="1:19" s="457" customFormat="1" ht="15" thickBot="1">
      <c r="A19" s="858" t="s">
        <v>308</v>
      </c>
      <c r="B19" s="863"/>
      <c r="C19" s="711">
        <f>transport!B14</f>
        <v>1.7284638951280358</v>
      </c>
      <c r="D19" s="711">
        <f>transport!C14</f>
        <v>0</v>
      </c>
      <c r="E19" s="711">
        <f>transport!D14</f>
        <v>8.0010382664758204</v>
      </c>
      <c r="F19" s="711">
        <f>transport!E14</f>
        <v>980.24861694749688</v>
      </c>
      <c r="G19" s="711">
        <f>transport!F14</f>
        <v>0</v>
      </c>
      <c r="H19" s="711">
        <f>transport!G14</f>
        <v>215686.34957805587</v>
      </c>
      <c r="I19" s="711">
        <f>transport!H14</f>
        <v>27974.622065484091</v>
      </c>
      <c r="J19" s="711">
        <f>transport!I14</f>
        <v>0</v>
      </c>
      <c r="K19" s="711">
        <f>transport!J14</f>
        <v>0</v>
      </c>
      <c r="L19" s="711">
        <f>transport!K14</f>
        <v>0</v>
      </c>
      <c r="M19" s="711">
        <f>transport!L14</f>
        <v>0</v>
      </c>
      <c r="N19" s="711">
        <f>transport!M14</f>
        <v>10608.078547596062</v>
      </c>
      <c r="O19" s="711">
        <f>transport!N14</f>
        <v>0</v>
      </c>
      <c r="P19" s="711">
        <f>transport!O14</f>
        <v>0</v>
      </c>
      <c r="Q19" s="712">
        <f>transport!P14</f>
        <v>0</v>
      </c>
      <c r="R19" s="713">
        <f>SUM(C19:Q19)</f>
        <v>255259.02831024511</v>
      </c>
      <c r="S19" s="67"/>
    </row>
    <row r="20" spans="1:19" s="457" customFormat="1" ht="15.75" thickBot="1">
      <c r="A20" s="714" t="s">
        <v>231</v>
      </c>
      <c r="B20" s="866"/>
      <c r="C20" s="861">
        <f>SUM(C17:C19)</f>
        <v>1.7284638951280358</v>
      </c>
      <c r="D20" s="715">
        <f t="shared" ref="D20:R20" si="1">SUM(D17:D19)</f>
        <v>0</v>
      </c>
      <c r="E20" s="715">
        <f t="shared" si="1"/>
        <v>8.0010382664758204</v>
      </c>
      <c r="F20" s="715">
        <f t="shared" si="1"/>
        <v>980.24861694749688</v>
      </c>
      <c r="G20" s="715">
        <f t="shared" si="1"/>
        <v>0</v>
      </c>
      <c r="H20" s="715">
        <f t="shared" si="1"/>
        <v>218221.77925731745</v>
      </c>
      <c r="I20" s="715">
        <f t="shared" si="1"/>
        <v>27974.622065484091</v>
      </c>
      <c r="J20" s="715">
        <f t="shared" si="1"/>
        <v>0</v>
      </c>
      <c r="K20" s="715">
        <f t="shared" si="1"/>
        <v>0</v>
      </c>
      <c r="L20" s="715">
        <f t="shared" si="1"/>
        <v>0</v>
      </c>
      <c r="M20" s="715">
        <f t="shared" si="1"/>
        <v>0</v>
      </c>
      <c r="N20" s="715">
        <f t="shared" si="1"/>
        <v>10716.152899708155</v>
      </c>
      <c r="O20" s="715">
        <f t="shared" si="1"/>
        <v>0</v>
      </c>
      <c r="P20" s="715">
        <f t="shared" si="1"/>
        <v>0</v>
      </c>
      <c r="Q20" s="716">
        <f t="shared" si="1"/>
        <v>0</v>
      </c>
      <c r="R20" s="717">
        <f t="shared" si="1"/>
        <v>257902.53234161879</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477.19620793991402</v>
      </c>
      <c r="D22" s="711">
        <f>+landbouw!C8</f>
        <v>7375.7142857142862</v>
      </c>
      <c r="E22" s="711">
        <f>+landbouw!D8</f>
        <v>0</v>
      </c>
      <c r="F22" s="711">
        <f>+landbouw!E8</f>
        <v>4.9973019983128921</v>
      </c>
      <c r="G22" s="711">
        <f>+landbouw!F8</f>
        <v>2450.9557051960628</v>
      </c>
      <c r="H22" s="711">
        <f>+landbouw!G8</f>
        <v>0</v>
      </c>
      <c r="I22" s="711">
        <f>+landbouw!H8</f>
        <v>0</v>
      </c>
      <c r="J22" s="711">
        <f>+landbouw!I8</f>
        <v>0</v>
      </c>
      <c r="K22" s="711">
        <f>+landbouw!J8</f>
        <v>42.617898551613372</v>
      </c>
      <c r="L22" s="711">
        <f>+landbouw!K8</f>
        <v>0</v>
      </c>
      <c r="M22" s="711">
        <f>+landbouw!L8</f>
        <v>0</v>
      </c>
      <c r="N22" s="711">
        <f>+landbouw!M8</f>
        <v>0</v>
      </c>
      <c r="O22" s="711">
        <f>+landbouw!N8</f>
        <v>0</v>
      </c>
      <c r="P22" s="711">
        <f>+landbouw!O8</f>
        <v>0</v>
      </c>
      <c r="Q22" s="712">
        <f>+landbouw!P8</f>
        <v>0</v>
      </c>
      <c r="R22" s="713">
        <f>SUM(C22:Q22)</f>
        <v>10351.481399400189</v>
      </c>
      <c r="S22" s="67"/>
    </row>
    <row r="23" spans="1:19" s="457" customFormat="1" ht="17.25" thickTop="1" thickBot="1">
      <c r="A23" s="718" t="s">
        <v>116</v>
      </c>
      <c r="B23" s="852"/>
      <c r="C23" s="719">
        <f ca="1">C20+C15+C22</f>
        <v>105052.28834953209</v>
      </c>
      <c r="D23" s="719">
        <f t="shared" ref="D23:Q23" ca="1" si="2">D20+D15+D22</f>
        <v>34362.857142857145</v>
      </c>
      <c r="E23" s="719">
        <f t="shared" ca="1" si="2"/>
        <v>102613.71862310477</v>
      </c>
      <c r="F23" s="719">
        <f t="shared" si="2"/>
        <v>3257.5771293173352</v>
      </c>
      <c r="G23" s="719">
        <f t="shared" ca="1" si="2"/>
        <v>13976.058651568255</v>
      </c>
      <c r="H23" s="719">
        <f t="shared" si="2"/>
        <v>218221.77925731745</v>
      </c>
      <c r="I23" s="719">
        <f t="shared" si="2"/>
        <v>27974.622065484091</v>
      </c>
      <c r="J23" s="719">
        <f t="shared" si="2"/>
        <v>0</v>
      </c>
      <c r="K23" s="719">
        <f t="shared" si="2"/>
        <v>178.17387038976696</v>
      </c>
      <c r="L23" s="719">
        <f t="shared" si="2"/>
        <v>0</v>
      </c>
      <c r="M23" s="719">
        <f t="shared" ca="1" si="2"/>
        <v>0</v>
      </c>
      <c r="N23" s="719">
        <f t="shared" si="2"/>
        <v>10716.152899708155</v>
      </c>
      <c r="O23" s="719">
        <f t="shared" ca="1" si="2"/>
        <v>7451.4126524064277</v>
      </c>
      <c r="P23" s="719">
        <f t="shared" si="2"/>
        <v>90.673333333333346</v>
      </c>
      <c r="Q23" s="720">
        <f t="shared" si="2"/>
        <v>133.46666666666667</v>
      </c>
      <c r="R23" s="721">
        <f ca="1">R20+R15+R22</f>
        <v>524028.78064168547</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7099.5872572586168</v>
      </c>
      <c r="D36" s="702">
        <f ca="1">tertiair!C20</f>
        <v>0</v>
      </c>
      <c r="E36" s="702">
        <f ca="1">tertiair!D20</f>
        <v>6975.8806985924693</v>
      </c>
      <c r="F36" s="702">
        <f>tertiair!E20</f>
        <v>105.22620238548463</v>
      </c>
      <c r="G36" s="702">
        <f ca="1">tertiair!F20</f>
        <v>1486.2629204148782</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15666.957078651451</v>
      </c>
    </row>
    <row r="37" spans="1:18">
      <c r="A37" s="873" t="s">
        <v>226</v>
      </c>
      <c r="B37" s="880"/>
      <c r="C37" s="702">
        <f ca="1">huishoudens!B12</f>
        <v>5113.8374596694184</v>
      </c>
      <c r="D37" s="702">
        <f ca="1">huishoudens!C12</f>
        <v>0</v>
      </c>
      <c r="E37" s="702">
        <f>huishoudens!D12</f>
        <v>12656.735464113432</v>
      </c>
      <c r="F37" s="702">
        <f>huishoudens!E12</f>
        <v>330.10224856153815</v>
      </c>
      <c r="G37" s="702">
        <f>huishoudens!F12</f>
        <v>0</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18100.675172344389</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10782.0943836967</v>
      </c>
      <c r="D39" s="702">
        <f ca="1">industrie!C22</f>
        <v>6413.4151260504223</v>
      </c>
      <c r="E39" s="702">
        <f>industrie!D22</f>
        <v>1093.7387894314365</v>
      </c>
      <c r="F39" s="702">
        <f>industrie!E22</f>
        <v>80.490733807313433</v>
      </c>
      <c r="G39" s="702">
        <f>industrie!F22</f>
        <v>1590.9395662664976</v>
      </c>
      <c r="H39" s="702">
        <f>industrie!G22</f>
        <v>0</v>
      </c>
      <c r="I39" s="702">
        <f>industrie!H22</f>
        <v>0</v>
      </c>
      <c r="J39" s="702">
        <f>industrie!I22</f>
        <v>0</v>
      </c>
      <c r="K39" s="702">
        <f>industrie!J22</f>
        <v>47.98681403070637</v>
      </c>
      <c r="L39" s="702">
        <f>industrie!K22</f>
        <v>0</v>
      </c>
      <c r="M39" s="702">
        <f>industrie!L22</f>
        <v>0</v>
      </c>
      <c r="N39" s="702">
        <f>industrie!M22</f>
        <v>0</v>
      </c>
      <c r="O39" s="702">
        <f>industrie!N22</f>
        <v>0</v>
      </c>
      <c r="P39" s="702">
        <f>industrie!O22</f>
        <v>0</v>
      </c>
      <c r="Q39" s="812">
        <f>industrie!P22</f>
        <v>0</v>
      </c>
      <c r="R39" s="906">
        <f ca="1">SUM(C39:Q39)</f>
        <v>20008.665413283077</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22995.519100624733</v>
      </c>
      <c r="D41" s="747">
        <f t="shared" ref="D41:R41" ca="1" si="4">SUM(D35:D40)</f>
        <v>6413.4151260504223</v>
      </c>
      <c r="E41" s="747">
        <f t="shared" ca="1" si="4"/>
        <v>20726.354952137339</v>
      </c>
      <c r="F41" s="747">
        <f t="shared" si="4"/>
        <v>515.81918475433622</v>
      </c>
      <c r="G41" s="747">
        <f t="shared" ca="1" si="4"/>
        <v>3077.2024866813758</v>
      </c>
      <c r="H41" s="747">
        <f t="shared" si="4"/>
        <v>0</v>
      </c>
      <c r="I41" s="747">
        <f t="shared" si="4"/>
        <v>0</v>
      </c>
      <c r="J41" s="747">
        <f t="shared" si="4"/>
        <v>0</v>
      </c>
      <c r="K41" s="747">
        <f t="shared" si="4"/>
        <v>47.98681403070637</v>
      </c>
      <c r="L41" s="747">
        <f t="shared" si="4"/>
        <v>0</v>
      </c>
      <c r="M41" s="747">
        <f t="shared" ca="1" si="4"/>
        <v>0</v>
      </c>
      <c r="N41" s="747">
        <f t="shared" si="4"/>
        <v>0</v>
      </c>
      <c r="O41" s="747">
        <f t="shared" ca="1" si="4"/>
        <v>0</v>
      </c>
      <c r="P41" s="747">
        <f t="shared" si="4"/>
        <v>0</v>
      </c>
      <c r="Q41" s="748">
        <f t="shared" si="4"/>
        <v>0</v>
      </c>
      <c r="R41" s="749">
        <f t="shared" ca="1" si="4"/>
        <v>53776.297664278914</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676.95972436284501</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676.95972436284501</v>
      </c>
    </row>
    <row r="45" spans="1:18" ht="15" thickBot="1">
      <c r="A45" s="876" t="s">
        <v>308</v>
      </c>
      <c r="B45" s="886"/>
      <c r="C45" s="711">
        <f ca="1">transport!B18</f>
        <v>0.38008650690112611</v>
      </c>
      <c r="D45" s="711">
        <f>transport!C18</f>
        <v>0</v>
      </c>
      <c r="E45" s="711">
        <f>transport!D18</f>
        <v>1.6162097298281157</v>
      </c>
      <c r="F45" s="711">
        <f>transport!E18</f>
        <v>222.51643604708181</v>
      </c>
      <c r="G45" s="711">
        <f>transport!F18</f>
        <v>0</v>
      </c>
      <c r="H45" s="711">
        <f>transport!G18</f>
        <v>57588.255337340925</v>
      </c>
      <c r="I45" s="711">
        <f>transport!H18</f>
        <v>6965.6808943055385</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64778.44896393027</v>
      </c>
    </row>
    <row r="46" spans="1:18" ht="15.75" thickBot="1">
      <c r="A46" s="874" t="s">
        <v>231</v>
      </c>
      <c r="B46" s="887"/>
      <c r="C46" s="747">
        <f t="shared" ref="C46:R46" ca="1" si="5">SUM(C43:C45)</f>
        <v>0.38008650690112611</v>
      </c>
      <c r="D46" s="747">
        <f t="shared" ca="1" si="5"/>
        <v>0</v>
      </c>
      <c r="E46" s="747">
        <f t="shared" si="5"/>
        <v>1.6162097298281157</v>
      </c>
      <c r="F46" s="747">
        <f t="shared" si="5"/>
        <v>222.51643604708181</v>
      </c>
      <c r="G46" s="747">
        <f t="shared" si="5"/>
        <v>0</v>
      </c>
      <c r="H46" s="747">
        <f t="shared" si="5"/>
        <v>58265.21506170377</v>
      </c>
      <c r="I46" s="747">
        <f t="shared" si="5"/>
        <v>6965.6808943055385</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65455.408688293115</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104.93469970277276</v>
      </c>
      <c r="D48" s="702">
        <f ca="1">+landbouw!C12</f>
        <v>1752.8168067226895</v>
      </c>
      <c r="E48" s="702">
        <f>+landbouw!D12</f>
        <v>0</v>
      </c>
      <c r="F48" s="702">
        <f>+landbouw!E12</f>
        <v>1.1343875536170265</v>
      </c>
      <c r="G48" s="702">
        <f>+landbouw!F12</f>
        <v>654.40517328734882</v>
      </c>
      <c r="H48" s="702">
        <f>+landbouw!G12</f>
        <v>0</v>
      </c>
      <c r="I48" s="702">
        <f>+landbouw!H12</f>
        <v>0</v>
      </c>
      <c r="J48" s="702">
        <f>+landbouw!I12</f>
        <v>0</v>
      </c>
      <c r="K48" s="702">
        <f>+landbouw!J12</f>
        <v>15.086736087271133</v>
      </c>
      <c r="L48" s="702">
        <f>+landbouw!K12</f>
        <v>0</v>
      </c>
      <c r="M48" s="702">
        <f>+landbouw!L12</f>
        <v>0</v>
      </c>
      <c r="N48" s="702">
        <f>+landbouw!M12</f>
        <v>0</v>
      </c>
      <c r="O48" s="702">
        <f>+landbouw!N12</f>
        <v>0</v>
      </c>
      <c r="P48" s="702">
        <f>+landbouw!O12</f>
        <v>0</v>
      </c>
      <c r="Q48" s="703">
        <f>+landbouw!P12</f>
        <v>0</v>
      </c>
      <c r="R48" s="745">
        <f ca="1">SUM(C48:Q48)</f>
        <v>2528.3778033536996</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23100.833886834407</v>
      </c>
      <c r="D53" s="757">
        <f t="shared" ref="D53:Q53" ca="1" si="6">D41+D46+D48</f>
        <v>8166.231932773112</v>
      </c>
      <c r="E53" s="757">
        <f t="shared" ca="1" si="6"/>
        <v>20727.971161867168</v>
      </c>
      <c r="F53" s="757">
        <f t="shared" si="6"/>
        <v>739.47000835503502</v>
      </c>
      <c r="G53" s="757">
        <f t="shared" ca="1" si="6"/>
        <v>3731.6076599687249</v>
      </c>
      <c r="H53" s="757">
        <f t="shared" si="6"/>
        <v>58265.21506170377</v>
      </c>
      <c r="I53" s="757">
        <f t="shared" si="6"/>
        <v>6965.6808943055385</v>
      </c>
      <c r="J53" s="757">
        <f t="shared" si="6"/>
        <v>0</v>
      </c>
      <c r="K53" s="757">
        <f t="shared" si="6"/>
        <v>63.073550117977504</v>
      </c>
      <c r="L53" s="757">
        <f t="shared" si="6"/>
        <v>0</v>
      </c>
      <c r="M53" s="757">
        <f t="shared" ca="1" si="6"/>
        <v>0</v>
      </c>
      <c r="N53" s="757">
        <f t="shared" si="6"/>
        <v>0</v>
      </c>
      <c r="O53" s="757">
        <f t="shared" ca="1" si="6"/>
        <v>0</v>
      </c>
      <c r="P53" s="757">
        <f>P41+P46+P48</f>
        <v>0</v>
      </c>
      <c r="Q53" s="758">
        <f t="shared" si="6"/>
        <v>0</v>
      </c>
      <c r="R53" s="759">
        <f ca="1">R41+R46+R48</f>
        <v>121760.08415592572</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0.21989843581486629</v>
      </c>
      <c r="D55" s="823">
        <f t="shared" ca="1" si="7"/>
        <v>0.23764705882352949</v>
      </c>
      <c r="E55" s="823">
        <f t="shared" ca="1" si="7"/>
        <v>0.20200000000000004</v>
      </c>
      <c r="F55" s="823">
        <f t="shared" si="7"/>
        <v>0.22699999999999998</v>
      </c>
      <c r="G55" s="823">
        <f t="shared" ca="1" si="7"/>
        <v>0.26700000000000007</v>
      </c>
      <c r="H55" s="823">
        <f t="shared" si="7"/>
        <v>0.26700000000000007</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2335.5212278432873</v>
      </c>
      <c r="C66" s="779">
        <f>'lokale energieproductie'!B6</f>
        <v>2335.5212278432873</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24054</v>
      </c>
      <c r="C67" s="778">
        <f>B67*IFERROR(SUM(J67:L67)/SUM(D67:M67),0)</f>
        <v>0</v>
      </c>
      <c r="D67" s="810">
        <f>'lokale energieproductie'!C7</f>
        <v>28298.823529411766</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5716.3623529411771</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26389.521227843288</v>
      </c>
      <c r="C69" s="787">
        <f>SUM(C64:C68)</f>
        <v>2335.5212278432873</v>
      </c>
      <c r="D69" s="788">
        <f t="shared" ref="D69:M69" si="8">SUM(D67:D68)</f>
        <v>28298.823529411766</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5716.3623529411771</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34362.857142857145</v>
      </c>
      <c r="C78" s="801">
        <f>B78*IFERROR(SUM(I78:L78)/SUM(D78:M78),0)</f>
        <v>0</v>
      </c>
      <c r="D78" s="816">
        <f>'lokale energieproductie'!C16</f>
        <v>40426.890756302528</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8166.2319327731111</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34362.857142857145</v>
      </c>
      <c r="C81" s="787">
        <f>SUM(C78:C80)</f>
        <v>0</v>
      </c>
      <c r="D81" s="787">
        <f t="shared" ref="D81:P81" si="9">SUM(D78:D80)</f>
        <v>40426.890756302528</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8166.2319327731111</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23255.451730337849</v>
      </c>
      <c r="C4" s="461">
        <f>huishoudens!C8</f>
        <v>0</v>
      </c>
      <c r="D4" s="461">
        <f>huishoudens!D8</f>
        <v>62657.106257987281</v>
      </c>
      <c r="E4" s="461">
        <f>huishoudens!E8</f>
        <v>1454.1949275838683</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6048.2589911010791</v>
      </c>
      <c r="O4" s="461">
        <f>huishoudens!O8</f>
        <v>90.673333333333346</v>
      </c>
      <c r="P4" s="462">
        <f>huishoudens!P8</f>
        <v>114.4</v>
      </c>
      <c r="Q4" s="463">
        <f>SUM(B4:P4)</f>
        <v>93620.085240343411</v>
      </c>
    </row>
    <row r="5" spans="1:17">
      <c r="A5" s="460" t="s">
        <v>156</v>
      </c>
      <c r="B5" s="461">
        <f ca="1">tertiair!B16</f>
        <v>31395.865062566081</v>
      </c>
      <c r="C5" s="461">
        <f ca="1">tertiair!C16</f>
        <v>0</v>
      </c>
      <c r="D5" s="461">
        <f ca="1">tertiair!D16</f>
        <v>34534.062864319152</v>
      </c>
      <c r="E5" s="461">
        <f>tertiair!E16</f>
        <v>463.55155235896308</v>
      </c>
      <c r="F5" s="461">
        <f ca="1">tertiair!F16</f>
        <v>5566.5277918160227</v>
      </c>
      <c r="G5" s="461">
        <f>tertiair!G16</f>
        <v>0</v>
      </c>
      <c r="H5" s="461">
        <f>tertiair!H16</f>
        <v>0</v>
      </c>
      <c r="I5" s="461">
        <f>tertiair!I16</f>
        <v>0</v>
      </c>
      <c r="J5" s="461">
        <f>tertiair!J16</f>
        <v>0</v>
      </c>
      <c r="K5" s="461">
        <f>tertiair!K16</f>
        <v>0</v>
      </c>
      <c r="L5" s="461">
        <f ca="1">tertiair!L16</f>
        <v>0</v>
      </c>
      <c r="M5" s="461">
        <f>tertiair!M16</f>
        <v>0</v>
      </c>
      <c r="N5" s="461">
        <f ca="1">tertiair!N16</f>
        <v>930.2172906558186</v>
      </c>
      <c r="O5" s="461">
        <f>tertiair!O16</f>
        <v>0</v>
      </c>
      <c r="P5" s="462">
        <f>tertiair!P16</f>
        <v>19.066666666666666</v>
      </c>
      <c r="Q5" s="460">
        <f t="shared" ref="Q5:Q13" ca="1" si="0">SUM(B5:P5)</f>
        <v>72909.291228382688</v>
      </c>
    </row>
    <row r="6" spans="1:17">
      <c r="A6" s="460" t="s">
        <v>195</v>
      </c>
      <c r="B6" s="461">
        <f>'openbare verlichting'!B8</f>
        <v>889.89099999999996</v>
      </c>
      <c r="C6" s="461"/>
      <c r="D6" s="461"/>
      <c r="E6" s="461"/>
      <c r="F6" s="461"/>
      <c r="G6" s="461"/>
      <c r="H6" s="461"/>
      <c r="I6" s="461"/>
      <c r="J6" s="461"/>
      <c r="K6" s="461"/>
      <c r="L6" s="461"/>
      <c r="M6" s="461"/>
      <c r="N6" s="461"/>
      <c r="O6" s="461"/>
      <c r="P6" s="462"/>
      <c r="Q6" s="460">
        <f t="shared" si="0"/>
        <v>889.89099999999996</v>
      </c>
    </row>
    <row r="7" spans="1:17">
      <c r="A7" s="460" t="s">
        <v>112</v>
      </c>
      <c r="B7" s="461">
        <f>landbouw!B8</f>
        <v>477.19620793991402</v>
      </c>
      <c r="C7" s="461">
        <f>landbouw!C8</f>
        <v>7375.7142857142862</v>
      </c>
      <c r="D7" s="461">
        <f>landbouw!D8</f>
        <v>0</v>
      </c>
      <c r="E7" s="461">
        <f>landbouw!E8</f>
        <v>4.9973019983128921</v>
      </c>
      <c r="F7" s="461">
        <f>landbouw!F8</f>
        <v>2450.9557051960628</v>
      </c>
      <c r="G7" s="461">
        <f>landbouw!G8</f>
        <v>0</v>
      </c>
      <c r="H7" s="461">
        <f>landbouw!H8</f>
        <v>0</v>
      </c>
      <c r="I7" s="461">
        <f>landbouw!I8</f>
        <v>0</v>
      </c>
      <c r="J7" s="461">
        <f>landbouw!J8</f>
        <v>42.617898551613372</v>
      </c>
      <c r="K7" s="461">
        <f>landbouw!K8</f>
        <v>0</v>
      </c>
      <c r="L7" s="461">
        <f>landbouw!L8</f>
        <v>0</v>
      </c>
      <c r="M7" s="461">
        <f>landbouw!M8</f>
        <v>0</v>
      </c>
      <c r="N7" s="461">
        <f>landbouw!N8</f>
        <v>0</v>
      </c>
      <c r="O7" s="461">
        <f>landbouw!O8</f>
        <v>0</v>
      </c>
      <c r="P7" s="462">
        <f>landbouw!P8</f>
        <v>0</v>
      </c>
      <c r="Q7" s="460">
        <f t="shared" si="0"/>
        <v>10351.481399400189</v>
      </c>
    </row>
    <row r="8" spans="1:17">
      <c r="A8" s="460" t="s">
        <v>656</v>
      </c>
      <c r="B8" s="461">
        <f>industrie!B18</f>
        <v>49032.15588479313</v>
      </c>
      <c r="C8" s="461">
        <f>industrie!C18</f>
        <v>26987.142857142859</v>
      </c>
      <c r="D8" s="461">
        <f>industrie!D18</f>
        <v>5414.5484625318641</v>
      </c>
      <c r="E8" s="461">
        <f>industrie!E18</f>
        <v>354.58473042869355</v>
      </c>
      <c r="F8" s="461">
        <f>industrie!F18</f>
        <v>5958.5751545561707</v>
      </c>
      <c r="G8" s="461">
        <f>industrie!G18</f>
        <v>0</v>
      </c>
      <c r="H8" s="461">
        <f>industrie!H18</f>
        <v>0</v>
      </c>
      <c r="I8" s="461">
        <f>industrie!I18</f>
        <v>0</v>
      </c>
      <c r="J8" s="461">
        <f>industrie!J18</f>
        <v>135.5559718381536</v>
      </c>
      <c r="K8" s="461">
        <f>industrie!K18</f>
        <v>0</v>
      </c>
      <c r="L8" s="461">
        <f>industrie!L18</f>
        <v>0</v>
      </c>
      <c r="M8" s="461">
        <f>industrie!M18</f>
        <v>0</v>
      </c>
      <c r="N8" s="461">
        <f>industrie!N18</f>
        <v>472.93637064952929</v>
      </c>
      <c r="O8" s="461">
        <f>industrie!O18</f>
        <v>0</v>
      </c>
      <c r="P8" s="462">
        <f>industrie!P18</f>
        <v>0</v>
      </c>
      <c r="Q8" s="460">
        <f t="shared" si="0"/>
        <v>88355.499431940392</v>
      </c>
    </row>
    <row r="9" spans="1:17" s="466" customFormat="1">
      <c r="A9" s="464" t="s">
        <v>574</v>
      </c>
      <c r="B9" s="465">
        <f>transport!B14</f>
        <v>1.7284638951280358</v>
      </c>
      <c r="C9" s="465">
        <f>transport!C14</f>
        <v>0</v>
      </c>
      <c r="D9" s="465">
        <f>transport!D14</f>
        <v>8.0010382664758204</v>
      </c>
      <c r="E9" s="465">
        <f>transport!E14</f>
        <v>980.24861694749688</v>
      </c>
      <c r="F9" s="465">
        <f>transport!F14</f>
        <v>0</v>
      </c>
      <c r="G9" s="465">
        <f>transport!G14</f>
        <v>215686.34957805587</v>
      </c>
      <c r="H9" s="465">
        <f>transport!H14</f>
        <v>27974.622065484091</v>
      </c>
      <c r="I9" s="465">
        <f>transport!I14</f>
        <v>0</v>
      </c>
      <c r="J9" s="465">
        <f>transport!J14</f>
        <v>0</v>
      </c>
      <c r="K9" s="465">
        <f>transport!K14</f>
        <v>0</v>
      </c>
      <c r="L9" s="465">
        <f>transport!L14</f>
        <v>0</v>
      </c>
      <c r="M9" s="465">
        <f>transport!M14</f>
        <v>10608.078547596062</v>
      </c>
      <c r="N9" s="465">
        <f>transport!N14</f>
        <v>0</v>
      </c>
      <c r="O9" s="465">
        <f>transport!O14</f>
        <v>0</v>
      </c>
      <c r="P9" s="465">
        <f>transport!P14</f>
        <v>0</v>
      </c>
      <c r="Q9" s="464">
        <f>SUM(B9:P9)</f>
        <v>255259.02831024511</v>
      </c>
    </row>
    <row r="10" spans="1:17">
      <c r="A10" s="460" t="s">
        <v>564</v>
      </c>
      <c r="B10" s="461">
        <f>transport!B54</f>
        <v>0</v>
      </c>
      <c r="C10" s="461">
        <f>transport!C54</f>
        <v>0</v>
      </c>
      <c r="D10" s="461">
        <f>transport!D54</f>
        <v>0</v>
      </c>
      <c r="E10" s="461">
        <f>transport!E54</f>
        <v>0</v>
      </c>
      <c r="F10" s="461">
        <f>transport!F54</f>
        <v>0</v>
      </c>
      <c r="G10" s="461">
        <f>transport!G54</f>
        <v>2535.4296792615914</v>
      </c>
      <c r="H10" s="461">
        <f>transport!H54</f>
        <v>0</v>
      </c>
      <c r="I10" s="461">
        <f>transport!I54</f>
        <v>0</v>
      </c>
      <c r="J10" s="461">
        <f>transport!J54</f>
        <v>0</v>
      </c>
      <c r="K10" s="461">
        <f>transport!K54</f>
        <v>0</v>
      </c>
      <c r="L10" s="461">
        <f>transport!L54</f>
        <v>0</v>
      </c>
      <c r="M10" s="461">
        <f>transport!M54</f>
        <v>108.07435211209332</v>
      </c>
      <c r="N10" s="461">
        <f>transport!N54</f>
        <v>0</v>
      </c>
      <c r="O10" s="461">
        <f>transport!O54</f>
        <v>0</v>
      </c>
      <c r="P10" s="462">
        <f>transport!P54</f>
        <v>0</v>
      </c>
      <c r="Q10" s="460">
        <f t="shared" si="0"/>
        <v>2643.5040313736849</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105052.28834953211</v>
      </c>
      <c r="C14" s="471">
        <f t="shared" ref="C14:Q14" ca="1" si="1">SUM(C4:C13)</f>
        <v>34362.857142857145</v>
      </c>
      <c r="D14" s="471">
        <f t="shared" ca="1" si="1"/>
        <v>102613.71862310477</v>
      </c>
      <c r="E14" s="471">
        <f t="shared" si="1"/>
        <v>3257.5771293173348</v>
      </c>
      <c r="F14" s="471">
        <f t="shared" ca="1" si="1"/>
        <v>13976.058651568255</v>
      </c>
      <c r="G14" s="471">
        <f t="shared" si="1"/>
        <v>218221.77925731745</v>
      </c>
      <c r="H14" s="471">
        <f t="shared" si="1"/>
        <v>27974.622065484091</v>
      </c>
      <c r="I14" s="471">
        <f t="shared" si="1"/>
        <v>0</v>
      </c>
      <c r="J14" s="471">
        <f t="shared" si="1"/>
        <v>178.17387038976696</v>
      </c>
      <c r="K14" s="471">
        <f t="shared" si="1"/>
        <v>0</v>
      </c>
      <c r="L14" s="471">
        <f t="shared" ca="1" si="1"/>
        <v>0</v>
      </c>
      <c r="M14" s="471">
        <f t="shared" si="1"/>
        <v>10716.152899708155</v>
      </c>
      <c r="N14" s="471">
        <f t="shared" ca="1" si="1"/>
        <v>7451.4126524064277</v>
      </c>
      <c r="O14" s="471">
        <f t="shared" si="1"/>
        <v>90.673333333333346</v>
      </c>
      <c r="P14" s="472">
        <f t="shared" si="1"/>
        <v>133.46666666666667</v>
      </c>
      <c r="Q14" s="472">
        <f t="shared" ca="1" si="1"/>
        <v>524028.78064168553</v>
      </c>
    </row>
    <row r="16" spans="1:17">
      <c r="A16" s="474" t="s">
        <v>569</v>
      </c>
      <c r="B16" s="828">
        <f ca="1">huishoudens!B10</f>
        <v>0.21989843581486626</v>
      </c>
      <c r="C16" s="828">
        <f ca="1">huishoudens!C10</f>
        <v>0.23764705882352946</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5113.8374596694184</v>
      </c>
      <c r="C21" s="461">
        <f t="shared" ref="C21:C30" ca="1" si="3">C4*$C$16</f>
        <v>0</v>
      </c>
      <c r="D21" s="461">
        <f t="shared" ref="D21:D30" si="4">D4*$D$16</f>
        <v>12656.735464113432</v>
      </c>
      <c r="E21" s="461">
        <f t="shared" ref="E21:E30" si="5">E4*$E$16</f>
        <v>330.10224856153815</v>
      </c>
      <c r="F21" s="461">
        <f t="shared" ref="F21:F30" si="6">F4*$F$16</f>
        <v>0</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18100.675172344389</v>
      </c>
    </row>
    <row r="22" spans="1:17">
      <c r="A22" s="460" t="s">
        <v>156</v>
      </c>
      <c r="B22" s="461">
        <f t="shared" ca="1" si="2"/>
        <v>6903.9016183128897</v>
      </c>
      <c r="C22" s="461">
        <f t="shared" ca="1" si="3"/>
        <v>0</v>
      </c>
      <c r="D22" s="461">
        <f t="shared" ca="1" si="4"/>
        <v>6975.8806985924693</v>
      </c>
      <c r="E22" s="461">
        <f t="shared" si="5"/>
        <v>105.22620238548463</v>
      </c>
      <c r="F22" s="461">
        <f t="shared" ca="1" si="6"/>
        <v>1486.2629204148782</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15471.271439705723</v>
      </c>
    </row>
    <row r="23" spans="1:17">
      <c r="A23" s="460" t="s">
        <v>195</v>
      </c>
      <c r="B23" s="461">
        <f t="shared" ca="1" si="2"/>
        <v>195.68563894572713</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195.68563894572713</v>
      </c>
    </row>
    <row r="24" spans="1:17">
      <c r="A24" s="460" t="s">
        <v>112</v>
      </c>
      <c r="B24" s="461">
        <f t="shared" ca="1" si="2"/>
        <v>104.93469970277276</v>
      </c>
      <c r="C24" s="461">
        <f t="shared" ca="1" si="3"/>
        <v>1752.8168067226895</v>
      </c>
      <c r="D24" s="461">
        <f t="shared" si="4"/>
        <v>0</v>
      </c>
      <c r="E24" s="461">
        <f t="shared" si="5"/>
        <v>1.1343875536170265</v>
      </c>
      <c r="F24" s="461">
        <f t="shared" si="6"/>
        <v>654.40517328734882</v>
      </c>
      <c r="G24" s="461">
        <f t="shared" si="7"/>
        <v>0</v>
      </c>
      <c r="H24" s="461">
        <f t="shared" si="8"/>
        <v>0</v>
      </c>
      <c r="I24" s="461">
        <f t="shared" si="9"/>
        <v>0</v>
      </c>
      <c r="J24" s="461">
        <f t="shared" si="10"/>
        <v>15.086736087271133</v>
      </c>
      <c r="K24" s="461">
        <f t="shared" si="11"/>
        <v>0</v>
      </c>
      <c r="L24" s="461">
        <f t="shared" si="12"/>
        <v>0</v>
      </c>
      <c r="M24" s="461">
        <f t="shared" si="13"/>
        <v>0</v>
      </c>
      <c r="N24" s="461">
        <f t="shared" si="14"/>
        <v>0</v>
      </c>
      <c r="O24" s="461">
        <f t="shared" si="15"/>
        <v>0</v>
      </c>
      <c r="P24" s="462">
        <f t="shared" si="16"/>
        <v>0</v>
      </c>
      <c r="Q24" s="460">
        <f t="shared" ca="1" si="17"/>
        <v>2528.3778033536996</v>
      </c>
    </row>
    <row r="25" spans="1:17">
      <c r="A25" s="460" t="s">
        <v>656</v>
      </c>
      <c r="B25" s="461">
        <f t="shared" ca="1" si="2"/>
        <v>10782.0943836967</v>
      </c>
      <c r="C25" s="461">
        <f t="shared" ca="1" si="3"/>
        <v>6413.4151260504223</v>
      </c>
      <c r="D25" s="461">
        <f t="shared" si="4"/>
        <v>1093.7387894314365</v>
      </c>
      <c r="E25" s="461">
        <f t="shared" si="5"/>
        <v>80.490733807313433</v>
      </c>
      <c r="F25" s="461">
        <f t="shared" si="6"/>
        <v>1590.9395662664976</v>
      </c>
      <c r="G25" s="461">
        <f t="shared" si="7"/>
        <v>0</v>
      </c>
      <c r="H25" s="461">
        <f t="shared" si="8"/>
        <v>0</v>
      </c>
      <c r="I25" s="461">
        <f t="shared" si="9"/>
        <v>0</v>
      </c>
      <c r="J25" s="461">
        <f t="shared" si="10"/>
        <v>47.98681403070637</v>
      </c>
      <c r="K25" s="461">
        <f t="shared" si="11"/>
        <v>0</v>
      </c>
      <c r="L25" s="461">
        <f t="shared" si="12"/>
        <v>0</v>
      </c>
      <c r="M25" s="461">
        <f t="shared" si="13"/>
        <v>0</v>
      </c>
      <c r="N25" s="461">
        <f t="shared" si="14"/>
        <v>0</v>
      </c>
      <c r="O25" s="461">
        <f t="shared" si="15"/>
        <v>0</v>
      </c>
      <c r="P25" s="462">
        <f t="shared" si="16"/>
        <v>0</v>
      </c>
      <c r="Q25" s="460">
        <f t="shared" ca="1" si="17"/>
        <v>20008.665413283077</v>
      </c>
    </row>
    <row r="26" spans="1:17" s="466" customFormat="1">
      <c r="A26" s="464" t="s">
        <v>574</v>
      </c>
      <c r="B26" s="822">
        <f t="shared" ca="1" si="2"/>
        <v>0.38008650690112611</v>
      </c>
      <c r="C26" s="465">
        <f t="shared" ca="1" si="3"/>
        <v>0</v>
      </c>
      <c r="D26" s="465">
        <f t="shared" si="4"/>
        <v>1.6162097298281157</v>
      </c>
      <c r="E26" s="465">
        <f t="shared" si="5"/>
        <v>222.51643604708181</v>
      </c>
      <c r="F26" s="465">
        <f t="shared" si="6"/>
        <v>0</v>
      </c>
      <c r="G26" s="465">
        <f t="shared" si="7"/>
        <v>57588.255337340925</v>
      </c>
      <c r="H26" s="465">
        <f t="shared" si="8"/>
        <v>6965.6808943055385</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64778.44896393027</v>
      </c>
    </row>
    <row r="27" spans="1:17">
      <c r="A27" s="460" t="s">
        <v>564</v>
      </c>
      <c r="B27" s="461">
        <f t="shared" ca="1" si="2"/>
        <v>0</v>
      </c>
      <c r="C27" s="461">
        <f t="shared" ca="1" si="3"/>
        <v>0</v>
      </c>
      <c r="D27" s="461">
        <f t="shared" si="4"/>
        <v>0</v>
      </c>
      <c r="E27" s="461">
        <f t="shared" si="5"/>
        <v>0</v>
      </c>
      <c r="F27" s="461">
        <f t="shared" si="6"/>
        <v>0</v>
      </c>
      <c r="G27" s="461">
        <f t="shared" si="7"/>
        <v>676.95972436284501</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676.95972436284501</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23100.833886834411</v>
      </c>
      <c r="C31" s="471">
        <f t="shared" ca="1" si="18"/>
        <v>8166.231932773112</v>
      </c>
      <c r="D31" s="471">
        <f t="shared" ca="1" si="18"/>
        <v>20727.971161867168</v>
      </c>
      <c r="E31" s="471">
        <f t="shared" si="18"/>
        <v>739.47000835503502</v>
      </c>
      <c r="F31" s="471">
        <f t="shared" ca="1" si="18"/>
        <v>3731.6076599687249</v>
      </c>
      <c r="G31" s="471">
        <f t="shared" si="18"/>
        <v>58265.21506170377</v>
      </c>
      <c r="H31" s="471">
        <f t="shared" si="18"/>
        <v>6965.6808943055385</v>
      </c>
      <c r="I31" s="471">
        <f t="shared" si="18"/>
        <v>0</v>
      </c>
      <c r="J31" s="471">
        <f t="shared" si="18"/>
        <v>63.073550117977504</v>
      </c>
      <c r="K31" s="471">
        <f t="shared" si="18"/>
        <v>0</v>
      </c>
      <c r="L31" s="471">
        <f t="shared" ca="1" si="18"/>
        <v>0</v>
      </c>
      <c r="M31" s="471">
        <f t="shared" si="18"/>
        <v>0</v>
      </c>
      <c r="N31" s="471">
        <f t="shared" ca="1" si="18"/>
        <v>0</v>
      </c>
      <c r="O31" s="471">
        <f t="shared" si="18"/>
        <v>0</v>
      </c>
      <c r="P31" s="472">
        <f t="shared" si="18"/>
        <v>0</v>
      </c>
      <c r="Q31" s="472">
        <f t="shared" ca="1" si="18"/>
        <v>121760.08415592572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0.21989843581486626</v>
      </c>
      <c r="C17" s="511">
        <f ca="1">'EF ele_warmte'!B22</f>
        <v>0.23764705882352946</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0.21989843581486626</v>
      </c>
      <c r="C17" s="511">
        <f ca="1">'EF ele_warmte'!B22</f>
        <v>0.23764705882352946</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0.21989843581486626</v>
      </c>
      <c r="C29" s="512">
        <f ca="1">'EF ele_warmte'!B22</f>
        <v>0.23764705882352946</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2018-06-27T08:59:20Z</dcterms:modified>
</cp:coreProperties>
</file>