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J8" i="18"/>
  <c r="F13" i="15"/>
  <c r="D6" i="17"/>
  <c r="L68" i="14"/>
  <c r="O80"/>
  <c r="H68"/>
  <c r="D8" i="17"/>
  <c r="E22" i="14" s="1"/>
  <c r="C97" i="18"/>
  <c r="I100" s="1"/>
  <c r="H7" s="1"/>
  <c r="I67" i="14" s="1"/>
  <c r="F16" i="16"/>
  <c r="D13" i="15"/>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C9" s="1"/>
  <c r="E9" i="14"/>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B35" i="13"/>
  <c r="B47" s="1"/>
  <c r="J12" i="17"/>
  <c r="K48" i="14" s="1"/>
  <c r="D67"/>
  <c r="H19" i="18"/>
  <c r="H9"/>
  <c r="L21" i="48"/>
  <c r="D7"/>
  <c r="D24" s="1"/>
  <c r="M28"/>
  <c r="C100" i="18"/>
  <c r="I16"/>
  <c r="L8" i="17"/>
  <c r="L7" i="48" s="1"/>
  <c r="L24" s="1"/>
  <c r="L5" i="17"/>
  <c r="E19" i="18"/>
  <c r="F81" i="14"/>
  <c r="D16" i="15"/>
  <c r="D12" i="17"/>
  <c r="E48" i="14" s="1"/>
  <c r="D100" i="18"/>
  <c r="G100"/>
  <c r="G31" i="20"/>
  <c r="H43" i="14" s="1"/>
  <c r="E100" i="18"/>
  <c r="E7" s="1"/>
  <c r="H100"/>
  <c r="J7" s="1"/>
  <c r="O78" i="14"/>
  <c r="D81"/>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69" i="14"/>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F67" i="14" l="1"/>
  <c r="E9" i="18"/>
  <c r="O22" i="14"/>
  <c r="N12" i="17"/>
  <c r="O48" i="14" s="1"/>
  <c r="N7" i="48"/>
  <c r="N24" s="1"/>
  <c r="J78" i="14"/>
  <c r="I19" i="18"/>
  <c r="M22" i="14"/>
  <c r="R22" s="1"/>
  <c r="L12" i="17"/>
  <c r="M48" i="14" s="1"/>
  <c r="C14" i="48"/>
  <c r="E19" i="14"/>
  <c r="E20" s="1"/>
  <c r="O81"/>
  <c r="B17" i="6"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M14" s="1"/>
  <c r="F69" i="14"/>
  <c r="O67"/>
  <c r="C78"/>
  <c r="C81" s="1"/>
  <c r="J81"/>
  <c r="E5" i="48"/>
  <c r="E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M26" i="48"/>
  <c r="M31" s="1"/>
  <c r="Q9"/>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<sst xmlns="http://schemas.openxmlformats.org/spreadsheetml/2006/main" count="2029" uniqueCount="894">
  <si>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</si>
  <si>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</si>
  <si>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</si>
  <si>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</si>
  <si>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</si>
  <si>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</si>
  <si>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</si>
  <si>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</si>
  <si>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</si>
  <si>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</si>
  <si>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</si>
  <si>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</si>
  <si>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</si>
  <si>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</si>
  <si>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</si>
  <si>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</si>
  <si>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</si>
  <si>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</si>
  <si>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</si>
  <si>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</si>
  <si>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</si>
  <si>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</si>
  <si>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</si>
  <si>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</si>
  <si>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</si>
  <si>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</si>
  <si>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</si>
  <si>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</si>
  <si>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</si>
  <si>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</si>
  <si>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</si>
  <si>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</si>
  <si>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</si>
  <si>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</si>
  <si>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</si>
  <si>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</si>
  <si>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</si>
  <si>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</si>
  <si>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</si>
  <si>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</si>
  <si>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</si>
  <si>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</si>
  <si>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</si>
  <si>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</si>
  <si>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</si>
  <si>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</si>
  <si>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</si>
  <si>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</si>
  <si>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</si>
  <si>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</si>
  <si>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</si>
  <si>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</si>
  <si>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</si>
  <si>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</si>
  <si>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</si>
  <si>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</si>
  <si>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</si>
  <si>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</si>
  <si>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</si>
  <si>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</si>
  <si>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</si>
  <si>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</si>
  <si>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</si>
  <si>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</si>
  <si>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</si>
  <si>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</si>
  <si>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</si>
  <si>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</si>
  <si>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</si>
  <si>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</si>
  <si>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</si>
  <si>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</si>
  <si>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</si>
  <si>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</si>
  <si>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</si>
  <si>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</si>
  <si>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</si>
  <si>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</si>
  <si>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</si>
  <si>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</si>
  <si>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</si>
  <si>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</si>
  <si>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</si>
  <si>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</si>
  <si>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</si>
  <si>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</si>
  <si>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</si>
  <si>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</si>
  <si>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</si>
  <si>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</si>
  <si>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</si>
  <si>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</si>
  <si>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</si>
  <si>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</si>
  <si>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</si>
  <si>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</si>
  <si>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</si>
  <si>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</si>
  <si>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</si>
  <si>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</si>
  <si>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</si>
  <si>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</si>
  <si>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</si>
  <si>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</si>
  <si>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</si>
  <si>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</si>
  <si>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</si>
  <si>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</si>
  <si>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</si>
  <si>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</si>
  <si>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</si>
  <si>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</si>
  <si>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</si>
  <si>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</si>
  <si>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</si>
  <si>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</si>
  <si>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</si>
  <si>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</si>
  <si>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</si>
  <si>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</si>
  <si>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</si>
  <si>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</si>
  <si>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</si>
  <si>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</si>
  <si>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</si>
  <si>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</si>
  <si>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</si>
  <si>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</si>
  <si>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</si>
  <si>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</si>
  <si>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</si>
  <si>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</si>
  <si>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</si>
  <si>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</si>
  <si>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</si>
  <si>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</si>
  <si>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</si>
  <si>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</si>
  <si>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</si>
  <si>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</si>
  <si>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</si>
  <si>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</si>
  <si>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</si>
  <si>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</si>
  <si>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</si>
  <si>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</si>
  <si>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</si>
  <si>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</si>
  <si>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</si>
  <si>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</si>
  <si>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</si>
  <si>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</si>
  <si>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</si>
  <si>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</si>
  <si>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</si>
  <si>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</si>
  <si>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</si>
  <si>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</si>
  <si>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</si>
  <si>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</si>
  <si>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</si>
  <si>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</si>
  <si>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</si>
  <si>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</si>
  <si>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</si>
  <si>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</si>
  <si>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</si>
  <si>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</si>
  <si>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</si>
  <si>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</si>
  <si>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</si>
  <si>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</si>
  <si>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</si>
  <si>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</si>
  <si>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</si>
  <si>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</si>
  <si>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</si>
  <si>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</si>
  <si>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</si>
  <si>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</si>
  <si>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</si>
  <si>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</si>
  <si>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</si>
  <si>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</si>
  <si>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</si>
  <si>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</si>
  <si>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</si>
  <si>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</si>
  <si>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</si>
  <si>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</si>
  <si>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</si>
  <si>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</si>
  <si>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</si>
  <si>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</si>
  <si>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</si>
  <si>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</si>
  <si>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</si>
  <si>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</si>
  <si>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</si>
  <si>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</si>
  <si>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</si>
  <si>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</si>
  <si>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</si>
  <si>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</si>
  <si>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</si>
  <si>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</si>
  <si>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</si>
  <si>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</si>
  <si>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</si>
  <si>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</si>
  <si>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</si>
  <si>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</si>
  <si>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</si>
  <si>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</si>
  <si>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</si>
  <si>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</si>
  <si>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</si>
  <si>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</si>
  <si>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</si>
  <si>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</si>
  <si>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</si>
  <si>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</si>
  <si>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</si>
  <si>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</si>
  <si>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</si>
  <si>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</si>
  <si>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</si>
  <si>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</si>
  <si>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</si>
  <si>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</si>
  <si>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</si>
  <si>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</si>
  <si>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</si>
  <si>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</si>
  <si>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</si>
  <si>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</si>
  <si>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</si>
  <si>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</si>
  <si>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</si>
  <si>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</si>
  <si>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</si>
  <si>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</si>
  <si>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</si>
  <si>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</si>
  <si>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</si>
  <si>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</si>
  <si>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</si>
  <si>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</si>
  <si>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</si>
  <si>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</si>
  <si>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</si>
  <si>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</si>
  <si>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</si>
  <si>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</si>
  <si>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</si>
  <si>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</si>
  <si>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</si>
  <si>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</si>
  <si>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</si>
  <si>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</si>
  <si>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</si>
  <si>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</si>
  <si>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</si>
  <si>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</si>
  <si>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</si>
  <si>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</si>
  <si>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</si>
  <si>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</si>
  <si>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</si>
  <si>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</si>
  <si>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</si>
  <si>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</si>
  <si>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</si>
  <si>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</si>
  <si>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</si>
  <si>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</si>
  <si>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</si>
  <si>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</si>
  <si>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</si>
  <si>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</si>
  <si>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</si>
  <si>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</si>
  <si>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</si>
  <si>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</si>
  <si>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</si>
  <si>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</si>
  <si>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</si>
  <si>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</si>
  <si>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</si>
  <si>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</si>
  <si>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</si>
  <si>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</si>
  <si>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</si>
  <si>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</si>
  <si>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</si>
  <si>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</si>
  <si>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</si>
  <si>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</si>
  <si>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</si>
  <si>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</si>
  <si>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</si>
  <si>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</si>
  <si>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</si>
  <si>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</si>
  <si>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</si>
  <si>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</si>
  <si>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</si>
  <si>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</si>
  <si>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</si>
  <si>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</si>
  <si>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</si>
  <si>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</si>
  <si>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</si>
  <si>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</si>
  <si>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</si>
  <si>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</si>
  <si>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</si>
  <si>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</si>
  <si>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</si>
  <si>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</si>
  <si>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</si>
  <si>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</si>
  <si>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</si>
  <si>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</si>
  <si>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</si>
  <si>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</si>
  <si>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</si>
  <si>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</si>
  <si>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</si>
  <si>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</si>
  <si>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</si>
  <si>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</si>
  <si>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</si>
  <si>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</si>
  <si>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</si>
  <si>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</si>
  <si>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</si>
  <si>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</si>
  <si>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</si>
  <si>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</si>
  <si>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</si>
  <si>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</si>
  <si>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</si>
  <si>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</si>
  <si>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</si>
  <si>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</si>
  <si>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</si>
  <si>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</si>
  <si>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</si>
  <si>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</si>
  <si>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</si>
  <si>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</si>
  <si>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</si>
  <si>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</si>
  <si>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</si>
  <si>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</si>
  <si>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</si>
  <si>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</si>
  <si>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</si>
  <si>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</si>
  <si>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</si>
  <si>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</si>
  <si>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</si>
  <si>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</si>
  <si>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</si>
  <si>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</si>
  <si>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</si>
  <si>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</si>
  <si>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</si>
  <si>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</si>
  <si>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</si>
  <si>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</si>
  <si>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</si>
  <si>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</si>
  <si>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</si>
  <si>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</si>
  <si>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</si>
  <si>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</si>
  <si>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</si>
  <si>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</si>
  <si>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</si>
  <si>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</si>
  <si>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</si>
  <si>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</si>
  <si>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</si>
  <si>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</si>
  <si>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</si>
  <si>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</si>
  <si>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</si>
  <si>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</si>
  <si>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</si>
  <si>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</si>
  <si>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</si>
  <si>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</si>
  <si>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</si>
  <si>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</si>
  <si>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</si>
  <si>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</si>
  <si>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</si>
  <si>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</si>
  <si>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</si>
  <si>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</si>
  <si>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</si>
  <si>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</si>
  <si>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</si>
  <si>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</si>
  <si>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</si>
  <si>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</si>
  <si>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</si>
  <si>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</si>
  <si>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</si>
  <si>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</si>
  <si>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</si>
  <si>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</si>
  <si>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</si>
  <si>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</si>
  <si>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</si>
  <si>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</si>
  <si>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</si>
  <si>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</si>
  <si>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</si>
  <si>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</si>
  <si>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</si>
  <si>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</si>
  <si>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</si>
  <si>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</si>
  <si>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</si>
  <si>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</si>
  <si>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</si>
  <si>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</si>
  <si>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</si>
  <si>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</si>
  <si>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</si>
  <si>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</si>
  <si>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</si>
  <si>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</si>
  <si>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</si>
  <si>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</si>
  <si>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</si>
  <si>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</si>
  <si>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</si>
  <si>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</si>
  <si>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</si>
  <si>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</si>
  <si>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</si>
  <si>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</si>
  <si>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</si>
  <si>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</si>
  <si>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</si>
  <si>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</si>
  <si>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</si>
  <si>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</si>
  <si>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</si>
  <si>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</si>
  <si>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</si>
  <si>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</si>
  <si>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</si>
  <si>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</si>
  <si>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</si>
  <si>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</si>
  <si>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</si>
  <si>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</si>
  <si>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</si>
  <si>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</si>
  <si>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</si>
  <si>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</si>
  <si>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</si>
  <si>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</si>
  <si>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</si>
  <si>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</si>
  <si>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</si>
  <si>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</si>
  <si>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</si>
  <si>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</si>
  <si>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</si>
  <si>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</si>
  <si>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</si>
  <si>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</si>
  <si>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</si>
  <si>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</si>
  <si>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</si>
  <si>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</si>
  <si>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</si>
  <si>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</si>
  <si>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</si>
  <si>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</si>
  <si>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</si>
  <si>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</si>
  <si>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</si>
  <si>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</si>
  <si>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</si>
  <si>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</si>
  <si>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</si>
  <si>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</si>
  <si>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</si>
  <si>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</si>
  <si>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</si>
  <si>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</si>
  <si>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</si>
  <si>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</si>
  <si>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</si>
  <si>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</si>
  <si>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</si>
  <si>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</si>
  <si>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</si>
  <si>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</si>
  <si>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</si>
  <si>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</si>
  <si>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</si>
  <si>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</si>
  <si>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</si>
  <si>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</si>
  <si>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</si>
  <si>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</si>
  <si>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</si>
  <si>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</si>
  <si>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</si>
  <si>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</si>
  <si>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</si>
  <si>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</si>
  <si>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</si>
  <si>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</si>
  <si>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</si>
  <si>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</si>
  <si>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</si>
  <si>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</si>
  <si>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</si>
  <si>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</si>
  <si>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</si>
  <si>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</si>
  <si>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</si>
  <si>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</si>
  <si>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</si>
  <si>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</si>
  <si>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</si>
  <si>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</si>
  <si>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</si>
  <si>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</si>
  <si>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</si>
  <si>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</si>
  <si>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</si>
  <si>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</si>
  <si>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</si>
  <si>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</si>
  <si>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</si>
  <si>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</si>
  <si>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</si>
  <si>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</si>
  <si>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</si>
  <si>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</si>
  <si>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</si>
  <si>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</si>
  <si>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</si>
  <si>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</si>
  <si>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</si>
  <si>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</si>
  <si>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</si>
  <si>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</si>
  <si>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</si>
  <si>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</si>
  <si>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</si>
  <si>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</si>
  <si>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</si>
  <si>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</si>
  <si>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</si>
  <si>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</si>
  <si>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</si>
  <si>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</si>
  <si>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</si>
  <si>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</si>
  <si>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</si>
  <si>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</si>
  <si>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</si>
  <si>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</si>
  <si>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</si>
  <si>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</si>
  <si>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</si>
  <si>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</si>
  <si>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</si>
  <si>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</si>
  <si>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</si>
  <si>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</si>
  <si>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</si>
  <si>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</si>
  <si>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</si>
  <si>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</si>
  <si>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</si>
  <si>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</si>
  <si>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</si>
  <si>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</si>
  <si>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</si>
  <si>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</si>
  <si>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</si>
  <si>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</si>
  <si>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</si>
  <si>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</si>
  <si>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</si>
  <si>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</si>
  <si>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</si>
  <si>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</si>
  <si>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</si>
  <si>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</si>
  <si>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</si>
  <si>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</si>
  <si>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</si>
  <si>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</si>
  <si>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</si>
  <si>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</si>
  <si>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</si>
  <si>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</si>
  <si>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</si>
  <si>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</si>
  <si>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</si>
  <si>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</si>
  <si>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</si>
  <si>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</si>
  <si>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</si>
  <si>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</si>
  <si>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</si>
  <si>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</si>
  <si>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</si>
  <si>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</si>
  <si>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</si>
  <si>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</si>
  <si>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</si>
  <si>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</si>
  <si>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</si>
  <si>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</si>
  <si>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</si>
  <si>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</si>
  <si>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</si>
  <si>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</si>
  <si>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</si>
  <si>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</si>
  <si>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</si>
  <si>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</si>
  <si>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</si>
  <si>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</si>
  <si>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</si>
  <si>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</si>
  <si>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</si>
  <si>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</si>
  <si>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</si>
  <si>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</si>
  <si>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</si>
  <si>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</si>
  <si>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</si>
  <si>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</si>
  <si>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</si>
  <si>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</si>
  <si>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</si>
  <si>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</si>
  <si>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</si>
  <si>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</si>
  <si>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</si>
  <si>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</si>
  <si>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</si>
  <si>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</si>
  <si>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</si>
  <si>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</si>
  <si>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</si>
  <si>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</si>
  <si>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</si>
  <si>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</si>
  <si>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</si>
  <si>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</si>
  <si>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</si>
  <si>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</si>
  <si>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</si>
  <si>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</si>
  <si>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</si>
  <si>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</si>
  <si>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</si>
  <si>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</si>
  <si>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</si>
  <si>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</si>
  <si>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</si>
  <si>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</si>
  <si>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</si>
  <si>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</si>
  <si>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</si>
  <si>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</si>
  <si>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</si>
  <si>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</si>
  <si>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</si>
  <si>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</si>
  <si>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</si>
  <si>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</si>
  <si>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</si>
  <si>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</si>
  <si>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</si>
  <si>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</si>
  <si>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</si>
  <si>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</si>
  <si>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</si>
  <si>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</si>
  <si>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</si>
  <si>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</si>
  <si>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</si>
  <si>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</si>
  <si>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</si>
  <si>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</si>
  <si>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</si>
  <si>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</si>
  <si>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</si>
  <si>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</si>
  <si>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</si>
  <si>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</si>
  <si>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</si>
  <si>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</si>
  <si>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</si>
  <si>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</si>
  <si>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</si>
  <si>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</si>
  <si>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</si>
  <si>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</si>
  <si>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</si>
  <si>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</si>
  <si>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</si>
  <si>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</si>
  <si>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</si>
  <si>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</si>
  <si>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</si>
  <si>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</si>
  <si>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</si>
  <si>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</si>
  <si>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</si>
  <si>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</si>
  <si>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</si>
  <si>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</si>
  <si>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</si>
  <si>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</si>
  <si>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</si>
  <si>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</si>
  <si>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</si>
  <si>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</si>
  <si>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</si>
  <si>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</si>
  <si>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</si>
  <si>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</si>
  <si>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</si>
  <si>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</si>
  <si>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</si>
  <si>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</si>
  <si>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</si>
  <si>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</si>
  <si>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</si>
  <si>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</si>
  <si>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</si>
  <si>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</si>
  <si>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</si>
  <si>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</si>
  <si>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</si>
  <si>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</si>
  <si>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</si>
  <si>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</si>
  <si>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</si>
  <si>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</si>
  <si>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</si>
  <si>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</si>
  <si>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</si>
  <si>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</si>
  <si>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</si>
  <si>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</si>
  <si>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</si>
  <si>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</si>
  <si>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</si>
  <si>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</si>
  <si>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</si>
  <si>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</si>
  <si>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</si>
  <si>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</si>
  <si>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</si>
  <si>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</si>
  <si>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</si>
  <si>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</si>
  <si>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</si>
  <si>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</si>
  <si>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</si>
  <si>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</si>
  <si>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</si>
  <si>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</si>
  <si>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</si>
  <si>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</si>
  <si>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</si>
  <si>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</si>
  <si>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</si>
  <si>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</si>
  <si>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</si>
  <si>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</si>
  <si>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</si>
  <si>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</si>
  <si>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</si>
  <si>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</si>
  <si>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</si>
  <si>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</si>
  <si>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</si>
  <si>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</si>
  <si>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</si>
  <si>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</si>
  <si>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</si>
  <si>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</si>
  <si>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</si>
  <si>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</si>
  <si>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</si>
  <si>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</si>
  <si>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</si>
  <si>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</si>
  <si>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</si>
  <si>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</si>
  <si>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</si>
  <si>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</si>
  <si>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</si>
  <si>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</si>
  <si>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</si>
  <si>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</si>
  <si>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</si>
  <si>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</si>
  <si>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</si>
  <si>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</si>
  <si>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</si>
  <si>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</si>
  <si>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</si>
  <si>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</si>
  <si>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</si>
  <si>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</si>
  <si>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</si>
  <si>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</si>
  <si>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</si>
  <si>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</si>
  <si>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</si>
  <si>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</si>
  <si>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</si>
  <si>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</si>
  <si>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</si>
  <si>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</si>
  <si>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</si>
  <si>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</si>
  <si>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</si>
  <si>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</si>
  <si>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</si>
  <si>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</si>
  <si>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</si>
  <si>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</si>
  <si>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</si>
  <si>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</si>
  <si>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</si>
  <si>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</si>
  <si>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</si>
  <si>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</si>
  <si>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</si>
  <si>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</si>
  <si>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</si>
  <si>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</si>
  <si>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</si>
  <si>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</si>
  <si>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</si>
  <si>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</si>
  <si>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</si>
  <si>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</si>
  <si>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</si>
  <si>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</si>
  <si>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</si>
  <si>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</si>
  <si>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</si>
  <si>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</si>
  <si>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</si>
  <si>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</si>
  <si>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</si>
  <si>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</si>
  <si>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</si>
  <si>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</si>
  <si>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</si>
  <si>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</si>
  <si>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</si>
  <si>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</si>
  <si>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</si>
  <si>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</si>
  <si>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</si>
  <si>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</si>
  <si>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</si>
  <si>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</si>
  <si>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</si>
  <si>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</si>
  <si>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</si>
  <si>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11050</t>
  </si>
  <si>
    <t>WIJNEGEM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</si>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</sst>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11050</v>
      </c>
      <c r="B6" s="396"/>
      <c r="C6" s="397"/>
    </row>
    <row r="7" spans="1:7" s="394" customFormat="1" ht="15.75" customHeight="1">
      <c r="A7" s="398" t="str">
        <f>txtMunicipality</f>
        <v>WIJNEGEM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40986.166346275328</v>
      </c>
      <c r="D10" s="702">
        <f ca="1">tertiair!C16</f>
        <v>0</v>
      </c>
      <c r="E10" s="702">
        <f ca="1">tertiair!D16</f>
        <v>23049.038745328278</v>
      </c>
      <c r="F10" s="702">
        <f>tertiair!E16</f>
        <v>869.10140965242647</v>
      </c>
      <c r="G10" s="702">
        <f ca="1">tertiair!F16</f>
        <v>6763.7360960091291</v>
      </c>
      <c r="H10" s="702">
        <f>tertiair!G16</f>
        <v>0</v>
      </c>
      <c r="I10" s="702">
        <f>tertiair!H16</f>
        <v>0</v>
      </c>
      <c r="J10" s="702">
        <f>tertiair!I16</f>
        <v>0</v>
      </c>
      <c r="K10" s="702">
        <f>tertiair!J16</f>
        <v>0</v>
      </c>
      <c r="L10" s="702">
        <f>tertiair!K16</f>
        <v>0</v>
      </c>
      <c r="M10" s="702">
        <f ca="1">tertiair!L16</f>
        <v>0</v>
      </c>
      <c r="N10" s="702">
        <f>tertiair!M16</f>
        <v>0</v>
      </c>
      <c r="O10" s="702">
        <f ca="1">tertiair!N16</f>
        <v>593.54472315860176</v>
      </c>
      <c r="P10" s="702">
        <f>tertiair!O16</f>
        <v>0</v>
      </c>
      <c r="Q10" s="703">
        <f>tertiair!P16</f>
        <v>0</v>
      </c>
      <c r="R10" s="705">
        <f ca="1">SUM(C10:Q10)</f>
        <v>72261.587320423758</v>
      </c>
      <c r="S10" s="67"/>
    </row>
    <row r="11" spans="1:19" s="457" customFormat="1">
      <c r="A11" s="858" t="s">
        <v>226</v>
      </c>
      <c r="B11" s="863"/>
      <c r="C11" s="702">
        <f>huishoudens!B8</f>
        <v>15963.520264816276</v>
      </c>
      <c r="D11" s="702">
        <f>huishoudens!C8</f>
        <v>0</v>
      </c>
      <c r="E11" s="702">
        <f>huishoudens!D8</f>
        <v>48399.698715691338</v>
      </c>
      <c r="F11" s="702">
        <f>huishoudens!E8</f>
        <v>488.13436460442961</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4493.8093459378506</v>
      </c>
      <c r="P11" s="702">
        <f>huishoudens!O8</f>
        <v>31.266666666666666</v>
      </c>
      <c r="Q11" s="703">
        <f>huishoudens!P8</f>
        <v>38.133333333333333</v>
      </c>
      <c r="R11" s="705">
        <f>SUM(C11:Q11)</f>
        <v>69414.562691049883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11079.701828677324</v>
      </c>
      <c r="D13" s="702">
        <f>industrie!C18</f>
        <v>0</v>
      </c>
      <c r="E13" s="702">
        <f>industrie!D18</f>
        <v>7635.862549909245</v>
      </c>
      <c r="F13" s="702">
        <f>industrie!E18</f>
        <v>133.19073681508513</v>
      </c>
      <c r="G13" s="702">
        <f>industrie!F18</f>
        <v>4161.1851665336962</v>
      </c>
      <c r="H13" s="702">
        <f>industrie!G18</f>
        <v>0</v>
      </c>
      <c r="I13" s="702">
        <f>industrie!H18</f>
        <v>0</v>
      </c>
      <c r="J13" s="702">
        <f>industrie!I18</f>
        <v>0</v>
      </c>
      <c r="K13" s="702">
        <f>industrie!J18</f>
        <v>52.110780992354222</v>
      </c>
      <c r="L13" s="702">
        <f>industrie!K18</f>
        <v>0</v>
      </c>
      <c r="M13" s="702">
        <f>industrie!L18</f>
        <v>0</v>
      </c>
      <c r="N13" s="702">
        <f>industrie!M18</f>
        <v>0</v>
      </c>
      <c r="O13" s="702">
        <f>industrie!N18</f>
        <v>379.50172432532963</v>
      </c>
      <c r="P13" s="702">
        <f>industrie!O18</f>
        <v>0</v>
      </c>
      <c r="Q13" s="703">
        <f>industrie!P18</f>
        <v>0</v>
      </c>
      <c r="R13" s="705">
        <f>SUM(C13:Q13)</f>
        <v>23441.552787253037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68029.388439768925</v>
      </c>
      <c r="D15" s="707">
        <f t="shared" ref="D15:Q15" ca="1" si="0">SUM(D9:D14)</f>
        <v>0</v>
      </c>
      <c r="E15" s="707">
        <f t="shared" ca="1" si="0"/>
        <v>79084.600010928858</v>
      </c>
      <c r="F15" s="707">
        <f t="shared" si="0"/>
        <v>1490.4265110719411</v>
      </c>
      <c r="G15" s="707">
        <f t="shared" ca="1" si="0"/>
        <v>10924.921262542826</v>
      </c>
      <c r="H15" s="707">
        <f t="shared" si="0"/>
        <v>0</v>
      </c>
      <c r="I15" s="707">
        <f t="shared" si="0"/>
        <v>0</v>
      </c>
      <c r="J15" s="707">
        <f t="shared" si="0"/>
        <v>0</v>
      </c>
      <c r="K15" s="707">
        <f t="shared" si="0"/>
        <v>52.110780992354222</v>
      </c>
      <c r="L15" s="707">
        <f t="shared" si="0"/>
        <v>0</v>
      </c>
      <c r="M15" s="707">
        <f t="shared" ca="1" si="0"/>
        <v>0</v>
      </c>
      <c r="N15" s="707">
        <f t="shared" si="0"/>
        <v>0</v>
      </c>
      <c r="O15" s="707">
        <f t="shared" ca="1" si="0"/>
        <v>5466.8557934217824</v>
      </c>
      <c r="P15" s="707">
        <f t="shared" si="0"/>
        <v>31.266666666666666</v>
      </c>
      <c r="Q15" s="708">
        <f t="shared" si="0"/>
        <v>38.133333333333333</v>
      </c>
      <c r="R15" s="709">
        <f ca="1">SUM(R9:R14)</f>
        <v>165117.70279872668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493.05470586332183</v>
      </c>
      <c r="D18" s="702">
        <f>transport!C54</f>
        <v>0</v>
      </c>
      <c r="E18" s="702">
        <f>transport!D54</f>
        <v>0</v>
      </c>
      <c r="F18" s="702">
        <f>transport!E54</f>
        <v>0</v>
      </c>
      <c r="G18" s="702">
        <f>transport!F54</f>
        <v>0</v>
      </c>
      <c r="H18" s="702">
        <f>transport!G54</f>
        <v>1348.1159967238193</v>
      </c>
      <c r="I18" s="702">
        <f>transport!H54</f>
        <v>0</v>
      </c>
      <c r="J18" s="702">
        <f>transport!I54</f>
        <v>0</v>
      </c>
      <c r="K18" s="702">
        <f>transport!J54</f>
        <v>0</v>
      </c>
      <c r="L18" s="702">
        <f>transport!K54</f>
        <v>0</v>
      </c>
      <c r="M18" s="702">
        <f>transport!L54</f>
        <v>0</v>
      </c>
      <c r="N18" s="702">
        <f>transport!M54</f>
        <v>57.464328081979318</v>
      </c>
      <c r="O18" s="702">
        <f>transport!N54</f>
        <v>0</v>
      </c>
      <c r="P18" s="702">
        <f>transport!O54</f>
        <v>0</v>
      </c>
      <c r="Q18" s="703">
        <f>transport!P54</f>
        <v>0</v>
      </c>
      <c r="R18" s="705">
        <f>SUM(C18:Q18)</f>
        <v>1898.6350306691204</v>
      </c>
      <c r="S18" s="67"/>
    </row>
    <row r="19" spans="1:19" s="457" customFormat="1" ht="15" thickBot="1">
      <c r="A19" s="858" t="s">
        <v>308</v>
      </c>
      <c r="B19" s="863"/>
      <c r="C19" s="711">
        <f>transport!B14</f>
        <v>0.50167247518609837</v>
      </c>
      <c r="D19" s="711">
        <f>transport!C14</f>
        <v>0</v>
      </c>
      <c r="E19" s="711">
        <f>transport!D14</f>
        <v>2.2813380109384274</v>
      </c>
      <c r="F19" s="711">
        <f>transport!E14</f>
        <v>234.93395051953135</v>
      </c>
      <c r="G19" s="711">
        <f>transport!F14</f>
        <v>0</v>
      </c>
      <c r="H19" s="711">
        <f>transport!G14</f>
        <v>44546.016431414639</v>
      </c>
      <c r="I19" s="711">
        <f>transport!H14</f>
        <v>7651.0018936947254</v>
      </c>
      <c r="J19" s="711">
        <f>transport!I14</f>
        <v>0</v>
      </c>
      <c r="K19" s="711">
        <f>transport!J14</f>
        <v>0</v>
      </c>
      <c r="L19" s="711">
        <f>transport!K14</f>
        <v>0</v>
      </c>
      <c r="M19" s="711">
        <f>transport!L14</f>
        <v>0</v>
      </c>
      <c r="N19" s="711">
        <f>transport!M14</f>
        <v>2277.5735893649903</v>
      </c>
      <c r="O19" s="711">
        <f>transport!N14</f>
        <v>0</v>
      </c>
      <c r="P19" s="711">
        <f>transport!O14</f>
        <v>0</v>
      </c>
      <c r="Q19" s="712">
        <f>transport!P14</f>
        <v>0</v>
      </c>
      <c r="R19" s="713">
        <f>SUM(C19:Q19)</f>
        <v>54712.308875480012</v>
      </c>
      <c r="S19" s="67"/>
    </row>
    <row r="20" spans="1:19" s="457" customFormat="1" ht="15.75" thickBot="1">
      <c r="A20" s="714" t="s">
        <v>231</v>
      </c>
      <c r="B20" s="866"/>
      <c r="C20" s="861">
        <f>SUM(C17:C19)</f>
        <v>493.55637833850795</v>
      </c>
      <c r="D20" s="715">
        <f t="shared" ref="D20:R20" si="1">SUM(D17:D19)</f>
        <v>0</v>
      </c>
      <c r="E20" s="715">
        <f t="shared" si="1"/>
        <v>2.2813380109384274</v>
      </c>
      <c r="F20" s="715">
        <f t="shared" si="1"/>
        <v>234.93395051953135</v>
      </c>
      <c r="G20" s="715">
        <f t="shared" si="1"/>
        <v>0</v>
      </c>
      <c r="H20" s="715">
        <f t="shared" si="1"/>
        <v>45894.132428138459</v>
      </c>
      <c r="I20" s="715">
        <f t="shared" si="1"/>
        <v>7651.0018936947254</v>
      </c>
      <c r="J20" s="715">
        <f t="shared" si="1"/>
        <v>0</v>
      </c>
      <c r="K20" s="715">
        <f t="shared" si="1"/>
        <v>0</v>
      </c>
      <c r="L20" s="715">
        <f t="shared" si="1"/>
        <v>0</v>
      </c>
      <c r="M20" s="715">
        <f t="shared" si="1"/>
        <v>0</v>
      </c>
      <c r="N20" s="715">
        <f t="shared" si="1"/>
        <v>2335.0379174469695</v>
      </c>
      <c r="O20" s="715">
        <f t="shared" si="1"/>
        <v>0</v>
      </c>
      <c r="P20" s="715">
        <f t="shared" si="1"/>
        <v>0</v>
      </c>
      <c r="Q20" s="716">
        <f t="shared" si="1"/>
        <v>0</v>
      </c>
      <c r="R20" s="717">
        <f t="shared" si="1"/>
        <v>56610.943906149136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58.6103794515248</v>
      </c>
      <c r="D22" s="711">
        <f>+landbouw!C8</f>
        <v>0</v>
      </c>
      <c r="E22" s="711">
        <f>+landbouw!D8</f>
        <v>2499.7359418352185</v>
      </c>
      <c r="F22" s="711">
        <f>+landbouw!E8</f>
        <v>0.61378058224607979</v>
      </c>
      <c r="G22" s="711">
        <f>+landbouw!F8</f>
        <v>301.03224105776764</v>
      </c>
      <c r="H22" s="711">
        <f>+landbouw!G8</f>
        <v>0</v>
      </c>
      <c r="I22" s="711">
        <f>+landbouw!H8</f>
        <v>0</v>
      </c>
      <c r="J22" s="711">
        <f>+landbouw!I8</f>
        <v>0</v>
      </c>
      <c r="K22" s="711">
        <f>+landbouw!J8</f>
        <v>5.234432218814205</v>
      </c>
      <c r="L22" s="711">
        <f>+landbouw!K8</f>
        <v>0</v>
      </c>
      <c r="M22" s="711">
        <f>+landbouw!L8</f>
        <v>0</v>
      </c>
      <c r="N22" s="711">
        <f>+landbouw!M8</f>
        <v>0</v>
      </c>
      <c r="O22" s="711">
        <f>+landbouw!N8</f>
        <v>0</v>
      </c>
      <c r="P22" s="711">
        <f>+landbouw!O8</f>
        <v>0</v>
      </c>
      <c r="Q22" s="712">
        <f>+landbouw!P8</f>
        <v>0</v>
      </c>
      <c r="R22" s="713">
        <f>SUM(C22:Q22)</f>
        <v>2865.2267751455711</v>
      </c>
      <c r="S22" s="67"/>
    </row>
    <row r="23" spans="1:19" s="457" customFormat="1" ht="17.25" thickTop="1" thickBot="1">
      <c r="A23" s="718" t="s">
        <v>116</v>
      </c>
      <c r="B23" s="852"/>
      <c r="C23" s="719">
        <f ca="1">C20+C15+C22</f>
        <v>68581.555197558962</v>
      </c>
      <c r="D23" s="719">
        <f t="shared" ref="D23:Q23" ca="1" si="2">D20+D15+D22</f>
        <v>0</v>
      </c>
      <c r="E23" s="719">
        <f t="shared" ca="1" si="2"/>
        <v>81586.617290775015</v>
      </c>
      <c r="F23" s="719">
        <f t="shared" si="2"/>
        <v>1725.9742421737187</v>
      </c>
      <c r="G23" s="719">
        <f t="shared" ca="1" si="2"/>
        <v>11225.953503600595</v>
      </c>
      <c r="H23" s="719">
        <f t="shared" si="2"/>
        <v>45894.132428138459</v>
      </c>
      <c r="I23" s="719">
        <f t="shared" si="2"/>
        <v>7651.0018936947254</v>
      </c>
      <c r="J23" s="719">
        <f t="shared" si="2"/>
        <v>0</v>
      </c>
      <c r="K23" s="719">
        <f t="shared" si="2"/>
        <v>57.345213211168428</v>
      </c>
      <c r="L23" s="719">
        <f t="shared" si="2"/>
        <v>0</v>
      </c>
      <c r="M23" s="719">
        <f t="shared" ca="1" si="2"/>
        <v>0</v>
      </c>
      <c r="N23" s="719">
        <f t="shared" si="2"/>
        <v>2335.0379174469695</v>
      </c>
      <c r="O23" s="719">
        <f t="shared" ca="1" si="2"/>
        <v>5466.8557934217824</v>
      </c>
      <c r="P23" s="719">
        <f t="shared" si="2"/>
        <v>31.266666666666666</v>
      </c>
      <c r="Q23" s="720">
        <f t="shared" si="2"/>
        <v>38.133333333333333</v>
      </c>
      <c r="R23" s="721">
        <f ca="1">R20+R15+R22</f>
        <v>224593.87348002137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8462.6267538735301</v>
      </c>
      <c r="D36" s="702">
        <f ca="1">tertiair!C20</f>
        <v>0</v>
      </c>
      <c r="E36" s="702">
        <f ca="1">tertiair!D20</f>
        <v>4655.9058265563126</v>
      </c>
      <c r="F36" s="702">
        <f>tertiair!E20</f>
        <v>197.2860199911008</v>
      </c>
      <c r="G36" s="702">
        <f ca="1">tertiair!F20</f>
        <v>1805.9175376344376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15121.736138055381</v>
      </c>
    </row>
    <row r="37" spans="1:18">
      <c r="A37" s="873" t="s">
        <v>226</v>
      </c>
      <c r="B37" s="880"/>
      <c r="C37" s="702">
        <f ca="1">huishoudens!B12</f>
        <v>3296.070984968158</v>
      </c>
      <c r="D37" s="702">
        <f ca="1">huishoudens!C12</f>
        <v>0</v>
      </c>
      <c r="E37" s="702">
        <f>huishoudens!D12</f>
        <v>9776.7391405696508</v>
      </c>
      <c r="F37" s="702">
        <f>huishoudens!E12</f>
        <v>110.80650076520553</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13183.616626303015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2287.683613249842</v>
      </c>
      <c r="D39" s="702">
        <f ca="1">industrie!C22</f>
        <v>0</v>
      </c>
      <c r="E39" s="702">
        <f>industrie!D22</f>
        <v>1542.4442350816676</v>
      </c>
      <c r="F39" s="702">
        <f>industrie!E22</f>
        <v>30.234297257024327</v>
      </c>
      <c r="G39" s="702">
        <f>industrie!F22</f>
        <v>1111.0364394644969</v>
      </c>
      <c r="H39" s="702">
        <f>industrie!G22</f>
        <v>0</v>
      </c>
      <c r="I39" s="702">
        <f>industrie!H22</f>
        <v>0</v>
      </c>
      <c r="J39" s="702">
        <f>industrie!I22</f>
        <v>0</v>
      </c>
      <c r="K39" s="702">
        <f>industrie!J22</f>
        <v>18.447216471293395</v>
      </c>
      <c r="L39" s="702">
        <f>industrie!K22</f>
        <v>0</v>
      </c>
      <c r="M39" s="702">
        <f>industrie!L22</f>
        <v>0</v>
      </c>
      <c r="N39" s="702">
        <f>industrie!M22</f>
        <v>0</v>
      </c>
      <c r="O39" s="702">
        <f>industrie!N22</f>
        <v>0</v>
      </c>
      <c r="P39" s="702">
        <f>industrie!O22</f>
        <v>0</v>
      </c>
      <c r="Q39" s="812">
        <f>industrie!P22</f>
        <v>0</v>
      </c>
      <c r="R39" s="906">
        <f ca="1">SUM(C39:Q39)</f>
        <v>4989.8458015243241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14046.381352091532</v>
      </c>
      <c r="D41" s="747">
        <f t="shared" ref="D41:R41" ca="1" si="4">SUM(D35:D40)</f>
        <v>0</v>
      </c>
      <c r="E41" s="747">
        <f t="shared" ca="1" si="4"/>
        <v>15975.089202207631</v>
      </c>
      <c r="F41" s="747">
        <f t="shared" si="4"/>
        <v>338.32681801333064</v>
      </c>
      <c r="G41" s="747">
        <f t="shared" ca="1" si="4"/>
        <v>2916.9539770989345</v>
      </c>
      <c r="H41" s="747">
        <f t="shared" si="4"/>
        <v>0</v>
      </c>
      <c r="I41" s="747">
        <f t="shared" si="4"/>
        <v>0</v>
      </c>
      <c r="J41" s="747">
        <f t="shared" si="4"/>
        <v>0</v>
      </c>
      <c r="K41" s="747">
        <f t="shared" si="4"/>
        <v>18.447216471293395</v>
      </c>
      <c r="L41" s="747">
        <f t="shared" si="4"/>
        <v>0</v>
      </c>
      <c r="M41" s="747">
        <f t="shared" ca="1" si="4"/>
        <v>0</v>
      </c>
      <c r="N41" s="747">
        <f t="shared" si="4"/>
        <v>0</v>
      </c>
      <c r="O41" s="747">
        <f t="shared" ca="1" si="4"/>
        <v>0</v>
      </c>
      <c r="P41" s="747">
        <f t="shared" si="4"/>
        <v>0</v>
      </c>
      <c r="Q41" s="748">
        <f t="shared" si="4"/>
        <v>0</v>
      </c>
      <c r="R41" s="749">
        <f t="shared" ca="1" si="4"/>
        <v>33295.198565882718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101.80356732342635</v>
      </c>
      <c r="D44" s="702">
        <f ca="1">transport!C58</f>
        <v>0</v>
      </c>
      <c r="E44" s="702">
        <f>transport!D58</f>
        <v>0</v>
      </c>
      <c r="F44" s="702">
        <f>transport!E58</f>
        <v>0</v>
      </c>
      <c r="G44" s="702">
        <f>transport!F58</f>
        <v>0</v>
      </c>
      <c r="H44" s="702">
        <f>transport!G58</f>
        <v>359.94697112525978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461.75053844868614</v>
      </c>
    </row>
    <row r="45" spans="1:18" ht="15" thickBot="1">
      <c r="A45" s="876" t="s">
        <v>308</v>
      </c>
      <c r="B45" s="886"/>
      <c r="C45" s="711">
        <f ca="1">transport!B18</f>
        <v>0.10358292293852567</v>
      </c>
      <c r="D45" s="711">
        <f>transport!C18</f>
        <v>0</v>
      </c>
      <c r="E45" s="711">
        <f>transport!D18</f>
        <v>0.46083027820956235</v>
      </c>
      <c r="F45" s="711">
        <f>transport!E18</f>
        <v>53.330006767933618</v>
      </c>
      <c r="G45" s="711">
        <f>transport!F18</f>
        <v>0</v>
      </c>
      <c r="H45" s="711">
        <f>transport!G18</f>
        <v>11893.786387187709</v>
      </c>
      <c r="I45" s="711">
        <f>transport!H18</f>
        <v>1905.0994715299867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13852.780278686776</v>
      </c>
    </row>
    <row r="46" spans="1:18" ht="15.75" thickBot="1">
      <c r="A46" s="874" t="s">
        <v>231</v>
      </c>
      <c r="B46" s="887"/>
      <c r="C46" s="747">
        <f t="shared" ref="C46:R46" ca="1" si="5">SUM(C43:C45)</f>
        <v>101.90715024636488</v>
      </c>
      <c r="D46" s="747">
        <f t="shared" ca="1" si="5"/>
        <v>0</v>
      </c>
      <c r="E46" s="747">
        <f t="shared" si="5"/>
        <v>0.46083027820956235</v>
      </c>
      <c r="F46" s="747">
        <f t="shared" si="5"/>
        <v>53.330006767933618</v>
      </c>
      <c r="G46" s="747">
        <f t="shared" si="5"/>
        <v>0</v>
      </c>
      <c r="H46" s="747">
        <f t="shared" si="5"/>
        <v>12253.733358312969</v>
      </c>
      <c r="I46" s="747">
        <f t="shared" si="5"/>
        <v>1905.0994715299867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14314.530817135463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12.101589619548003</v>
      </c>
      <c r="D48" s="702">
        <f ca="1">+landbouw!C12</f>
        <v>0</v>
      </c>
      <c r="E48" s="702">
        <f>+landbouw!D12</f>
        <v>504.94666025071416</v>
      </c>
      <c r="F48" s="702">
        <f>+landbouw!E12</f>
        <v>0.13932819216986012</v>
      </c>
      <c r="G48" s="702">
        <f>+landbouw!F12</f>
        <v>80.375608362423961</v>
      </c>
      <c r="H48" s="702">
        <f>+landbouw!G12</f>
        <v>0</v>
      </c>
      <c r="I48" s="702">
        <f>+landbouw!H12</f>
        <v>0</v>
      </c>
      <c r="J48" s="702">
        <f>+landbouw!I12</f>
        <v>0</v>
      </c>
      <c r="K48" s="702">
        <f>+landbouw!J12</f>
        <v>1.8529890054602285</v>
      </c>
      <c r="L48" s="702">
        <f>+landbouw!K12</f>
        <v>0</v>
      </c>
      <c r="M48" s="702">
        <f>+landbouw!L12</f>
        <v>0</v>
      </c>
      <c r="N48" s="702">
        <f>+landbouw!M12</f>
        <v>0</v>
      </c>
      <c r="O48" s="702">
        <f>+landbouw!N12</f>
        <v>0</v>
      </c>
      <c r="P48" s="702">
        <f>+landbouw!O12</f>
        <v>0</v>
      </c>
      <c r="Q48" s="703">
        <f>+landbouw!P12</f>
        <v>0</v>
      </c>
      <c r="R48" s="745">
        <f ca="1">SUM(C48:Q48)</f>
        <v>599.41617543031612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14160.390091957444</v>
      </c>
      <c r="D53" s="757">
        <f t="shared" ref="D53:Q53" ca="1" si="6">D41+D46+D48</f>
        <v>0</v>
      </c>
      <c r="E53" s="757">
        <f t="shared" ca="1" si="6"/>
        <v>16480.496692736553</v>
      </c>
      <c r="F53" s="757">
        <f t="shared" si="6"/>
        <v>391.79615297343412</v>
      </c>
      <c r="G53" s="757">
        <f t="shared" ca="1" si="6"/>
        <v>2997.3295854613584</v>
      </c>
      <c r="H53" s="757">
        <f t="shared" si="6"/>
        <v>12253.733358312969</v>
      </c>
      <c r="I53" s="757">
        <f t="shared" si="6"/>
        <v>1905.0994715299867</v>
      </c>
      <c r="J53" s="757">
        <f t="shared" si="6"/>
        <v>0</v>
      </c>
      <c r="K53" s="757">
        <f t="shared" si="6"/>
        <v>20.300205476753622</v>
      </c>
      <c r="L53" s="757">
        <f t="shared" si="6"/>
        <v>0</v>
      </c>
      <c r="M53" s="757">
        <f t="shared" ca="1" si="6"/>
        <v>0</v>
      </c>
      <c r="N53" s="757">
        <f t="shared" si="6"/>
        <v>0</v>
      </c>
      <c r="O53" s="757">
        <f t="shared" ca="1" si="6"/>
        <v>0</v>
      </c>
      <c r="P53" s="757">
        <f>P41+P46+P48</f>
        <v>0</v>
      </c>
      <c r="Q53" s="758">
        <f t="shared" si="6"/>
        <v>0</v>
      </c>
      <c r="R53" s="759">
        <f ca="1">R41+R46+R48</f>
        <v>48209.145558448494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0.20647519659136365</v>
      </c>
      <c r="D55" s="823">
        <f t="shared" ca="1" si="7"/>
        <v>0</v>
      </c>
      <c r="E55" s="823">
        <f t="shared" ca="1" si="7"/>
        <v>0.20200000000000001</v>
      </c>
      <c r="F55" s="823">
        <f t="shared" si="7"/>
        <v>0.22699999999999998</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709</v>
      </c>
      <c r="C65" s="779">
        <f>'lokale energieproductie'!B5</f>
        <v>709</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3798.3918855343309</v>
      </c>
      <c r="C66" s="779">
        <f>'lokale energieproductie'!B6</f>
        <v>3798.3918855343309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4507.3918855343309</v>
      </c>
      <c r="C69" s="787">
        <f>SUM(C64:C68)</f>
        <v>4507.3918855343309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15963.520264816276</v>
      </c>
      <c r="C4" s="461">
        <f>huishoudens!C8</f>
        <v>0</v>
      </c>
      <c r="D4" s="461">
        <f>huishoudens!D8</f>
        <v>48399.698715691338</v>
      </c>
      <c r="E4" s="461">
        <f>huishoudens!E8</f>
        <v>488.13436460442961</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4493.8093459378506</v>
      </c>
      <c r="O4" s="461">
        <f>huishoudens!O8</f>
        <v>31.266666666666666</v>
      </c>
      <c r="P4" s="462">
        <f>huishoudens!P8</f>
        <v>38.133333333333333</v>
      </c>
      <c r="Q4" s="463">
        <f>SUM(B4:P4)</f>
        <v>69414.562691049883</v>
      </c>
    </row>
    <row r="5" spans="1:17">
      <c r="A5" s="460" t="s">
        <v>156</v>
      </c>
      <c r="B5" s="461">
        <f ca="1">tertiair!B16</f>
        <v>40427.266346275326</v>
      </c>
      <c r="C5" s="461">
        <f ca="1">tertiair!C16</f>
        <v>0</v>
      </c>
      <c r="D5" s="461">
        <f ca="1">tertiair!D16</f>
        <v>23049.038745328278</v>
      </c>
      <c r="E5" s="461">
        <f>tertiair!E16</f>
        <v>869.10140965242647</v>
      </c>
      <c r="F5" s="461">
        <f ca="1">tertiair!F16</f>
        <v>6763.7360960091291</v>
      </c>
      <c r="G5" s="461">
        <f>tertiair!G16</f>
        <v>0</v>
      </c>
      <c r="H5" s="461">
        <f>tertiair!H16</f>
        <v>0</v>
      </c>
      <c r="I5" s="461">
        <f>tertiair!I16</f>
        <v>0</v>
      </c>
      <c r="J5" s="461">
        <f>tertiair!J16</f>
        <v>0</v>
      </c>
      <c r="K5" s="461">
        <f>tertiair!K16</f>
        <v>0</v>
      </c>
      <c r="L5" s="461">
        <f ca="1">tertiair!L16</f>
        <v>0</v>
      </c>
      <c r="M5" s="461">
        <f>tertiair!M16</f>
        <v>0</v>
      </c>
      <c r="N5" s="461">
        <f ca="1">tertiair!N16</f>
        <v>593.54472315860176</v>
      </c>
      <c r="O5" s="461">
        <f>tertiair!O16</f>
        <v>0</v>
      </c>
      <c r="P5" s="462">
        <f>tertiair!P16</f>
        <v>0</v>
      </c>
      <c r="Q5" s="460">
        <f t="shared" ref="Q5:Q13" ca="1" si="0">SUM(B5:P5)</f>
        <v>71702.687320423749</v>
      </c>
    </row>
    <row r="6" spans="1:17">
      <c r="A6" s="460" t="s">
        <v>195</v>
      </c>
      <c r="B6" s="461">
        <f>'openbare verlichting'!B8</f>
        <v>558.9</v>
      </c>
      <c r="C6" s="461"/>
      <c r="D6" s="461"/>
      <c r="E6" s="461"/>
      <c r="F6" s="461"/>
      <c r="G6" s="461"/>
      <c r="H6" s="461"/>
      <c r="I6" s="461"/>
      <c r="J6" s="461"/>
      <c r="K6" s="461"/>
      <c r="L6" s="461"/>
      <c r="M6" s="461"/>
      <c r="N6" s="461"/>
      <c r="O6" s="461"/>
      <c r="P6" s="462"/>
      <c r="Q6" s="460">
        <f t="shared" si="0"/>
        <v>558.9</v>
      </c>
    </row>
    <row r="7" spans="1:17">
      <c r="A7" s="460" t="s">
        <v>112</v>
      </c>
      <c r="B7" s="461">
        <f>landbouw!B8</f>
        <v>58.6103794515248</v>
      </c>
      <c r="C7" s="461">
        <f>landbouw!C8</f>
        <v>0</v>
      </c>
      <c r="D7" s="461">
        <f>landbouw!D8</f>
        <v>2499.7359418352185</v>
      </c>
      <c r="E7" s="461">
        <f>landbouw!E8</f>
        <v>0.61378058224607979</v>
      </c>
      <c r="F7" s="461">
        <f>landbouw!F8</f>
        <v>301.03224105776764</v>
      </c>
      <c r="G7" s="461">
        <f>landbouw!G8</f>
        <v>0</v>
      </c>
      <c r="H7" s="461">
        <f>landbouw!H8</f>
        <v>0</v>
      </c>
      <c r="I7" s="461">
        <f>landbouw!I8</f>
        <v>0</v>
      </c>
      <c r="J7" s="461">
        <f>landbouw!J8</f>
        <v>5.234432218814205</v>
      </c>
      <c r="K7" s="461">
        <f>landbouw!K8</f>
        <v>0</v>
      </c>
      <c r="L7" s="461">
        <f>landbouw!L8</f>
        <v>0</v>
      </c>
      <c r="M7" s="461">
        <f>landbouw!M8</f>
        <v>0</v>
      </c>
      <c r="N7" s="461">
        <f>landbouw!N8</f>
        <v>0</v>
      </c>
      <c r="O7" s="461">
        <f>landbouw!O8</f>
        <v>0</v>
      </c>
      <c r="P7" s="462">
        <f>landbouw!P8</f>
        <v>0</v>
      </c>
      <c r="Q7" s="460">
        <f t="shared" si="0"/>
        <v>2865.2267751455711</v>
      </c>
    </row>
    <row r="8" spans="1:17">
      <c r="A8" s="460" t="s">
        <v>656</v>
      </c>
      <c r="B8" s="461">
        <f>industrie!B18</f>
        <v>11079.701828677324</v>
      </c>
      <c r="C8" s="461">
        <f>industrie!C18</f>
        <v>0</v>
      </c>
      <c r="D8" s="461">
        <f>industrie!D18</f>
        <v>7635.862549909245</v>
      </c>
      <c r="E8" s="461">
        <f>industrie!E18</f>
        <v>133.19073681508513</v>
      </c>
      <c r="F8" s="461">
        <f>industrie!F18</f>
        <v>4161.1851665336962</v>
      </c>
      <c r="G8" s="461">
        <f>industrie!G18</f>
        <v>0</v>
      </c>
      <c r="H8" s="461">
        <f>industrie!H18</f>
        <v>0</v>
      </c>
      <c r="I8" s="461">
        <f>industrie!I18</f>
        <v>0</v>
      </c>
      <c r="J8" s="461">
        <f>industrie!J18</f>
        <v>52.110780992354222</v>
      </c>
      <c r="K8" s="461">
        <f>industrie!K18</f>
        <v>0</v>
      </c>
      <c r="L8" s="461">
        <f>industrie!L18</f>
        <v>0</v>
      </c>
      <c r="M8" s="461">
        <f>industrie!M18</f>
        <v>0</v>
      </c>
      <c r="N8" s="461">
        <f>industrie!N18</f>
        <v>379.50172432532963</v>
      </c>
      <c r="O8" s="461">
        <f>industrie!O18</f>
        <v>0</v>
      </c>
      <c r="P8" s="462">
        <f>industrie!P18</f>
        <v>0</v>
      </c>
      <c r="Q8" s="460">
        <f t="shared" si="0"/>
        <v>23441.552787253037</v>
      </c>
    </row>
    <row r="9" spans="1:17" s="466" customFormat="1">
      <c r="A9" s="464" t="s">
        <v>574</v>
      </c>
      <c r="B9" s="465">
        <f>transport!B14</f>
        <v>0.50167247518609837</v>
      </c>
      <c r="C9" s="465">
        <f>transport!C14</f>
        <v>0</v>
      </c>
      <c r="D9" s="465">
        <f>transport!D14</f>
        <v>2.2813380109384274</v>
      </c>
      <c r="E9" s="465">
        <f>transport!E14</f>
        <v>234.93395051953135</v>
      </c>
      <c r="F9" s="465">
        <f>transport!F14</f>
        <v>0</v>
      </c>
      <c r="G9" s="465">
        <f>transport!G14</f>
        <v>44546.016431414639</v>
      </c>
      <c r="H9" s="465">
        <f>transport!H14</f>
        <v>7651.0018936947254</v>
      </c>
      <c r="I9" s="465">
        <f>transport!I14</f>
        <v>0</v>
      </c>
      <c r="J9" s="465">
        <f>transport!J14</f>
        <v>0</v>
      </c>
      <c r="K9" s="465">
        <f>transport!K14</f>
        <v>0</v>
      </c>
      <c r="L9" s="465">
        <f>transport!L14</f>
        <v>0</v>
      </c>
      <c r="M9" s="465">
        <f>transport!M14</f>
        <v>2277.5735893649903</v>
      </c>
      <c r="N9" s="465">
        <f>transport!N14</f>
        <v>0</v>
      </c>
      <c r="O9" s="465">
        <f>transport!O14</f>
        <v>0</v>
      </c>
      <c r="P9" s="465">
        <f>transport!P14</f>
        <v>0</v>
      </c>
      <c r="Q9" s="464">
        <f>SUM(B9:P9)</f>
        <v>54712.308875480012</v>
      </c>
    </row>
    <row r="10" spans="1:17">
      <c r="A10" s="460" t="s">
        <v>564</v>
      </c>
      <c r="B10" s="461">
        <f>transport!B54</f>
        <v>493.05470586332183</v>
      </c>
      <c r="C10" s="461">
        <f>transport!C54</f>
        <v>0</v>
      </c>
      <c r="D10" s="461">
        <f>transport!D54</f>
        <v>0</v>
      </c>
      <c r="E10" s="461">
        <f>transport!E54</f>
        <v>0</v>
      </c>
      <c r="F10" s="461">
        <f>transport!F54</f>
        <v>0</v>
      </c>
      <c r="G10" s="461">
        <f>transport!G54</f>
        <v>1348.1159967238193</v>
      </c>
      <c r="H10" s="461">
        <f>transport!H54</f>
        <v>0</v>
      </c>
      <c r="I10" s="461">
        <f>transport!I54</f>
        <v>0</v>
      </c>
      <c r="J10" s="461">
        <f>transport!J54</f>
        <v>0</v>
      </c>
      <c r="K10" s="461">
        <f>transport!K54</f>
        <v>0</v>
      </c>
      <c r="L10" s="461">
        <f>transport!L54</f>
        <v>0</v>
      </c>
      <c r="M10" s="461">
        <f>transport!M54</f>
        <v>57.464328081979318</v>
      </c>
      <c r="N10" s="461">
        <f>transport!N54</f>
        <v>0</v>
      </c>
      <c r="O10" s="461">
        <f>transport!O54</f>
        <v>0</v>
      </c>
      <c r="P10" s="462">
        <f>transport!P54</f>
        <v>0</v>
      </c>
      <c r="Q10" s="460">
        <f t="shared" si="0"/>
        <v>1898.6350306691204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68581.555197558962</v>
      </c>
      <c r="C14" s="471">
        <f t="shared" ref="C14:Q14" ca="1" si="1">SUM(C4:C13)</f>
        <v>0</v>
      </c>
      <c r="D14" s="471">
        <f t="shared" ca="1" si="1"/>
        <v>81586.617290775015</v>
      </c>
      <c r="E14" s="471">
        <f t="shared" si="1"/>
        <v>1725.9742421737187</v>
      </c>
      <c r="F14" s="471">
        <f t="shared" ca="1" si="1"/>
        <v>11225.953503600593</v>
      </c>
      <c r="G14" s="471">
        <f t="shared" si="1"/>
        <v>45894.132428138459</v>
      </c>
      <c r="H14" s="471">
        <f t="shared" si="1"/>
        <v>7651.0018936947254</v>
      </c>
      <c r="I14" s="471">
        <f t="shared" si="1"/>
        <v>0</v>
      </c>
      <c r="J14" s="471">
        <f t="shared" si="1"/>
        <v>57.345213211168428</v>
      </c>
      <c r="K14" s="471">
        <f t="shared" si="1"/>
        <v>0</v>
      </c>
      <c r="L14" s="471">
        <f t="shared" ca="1" si="1"/>
        <v>0</v>
      </c>
      <c r="M14" s="471">
        <f t="shared" si="1"/>
        <v>2335.0379174469695</v>
      </c>
      <c r="N14" s="471">
        <f t="shared" ca="1" si="1"/>
        <v>5466.8557934217824</v>
      </c>
      <c r="O14" s="471">
        <f t="shared" si="1"/>
        <v>31.266666666666666</v>
      </c>
      <c r="P14" s="472">
        <f t="shared" si="1"/>
        <v>38.133333333333333</v>
      </c>
      <c r="Q14" s="472">
        <f t="shared" ca="1" si="1"/>
        <v>224593.8734800214</v>
      </c>
    </row>
    <row r="16" spans="1:17">
      <c r="A16" s="474" t="s">
        <v>569</v>
      </c>
      <c r="B16" s="828">
        <f ca="1">huishoudens!B10</f>
        <v>0.20647519659136365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3296.070984968158</v>
      </c>
      <c r="C21" s="461">
        <f t="shared" ref="C21:C30" ca="1" si="3">C4*$C$16</f>
        <v>0</v>
      </c>
      <c r="D21" s="461">
        <f t="shared" ref="D21:D30" si="4">D4*$D$16</f>
        <v>9776.7391405696508</v>
      </c>
      <c r="E21" s="461">
        <f t="shared" ref="E21:E30" si="5">E4*$E$16</f>
        <v>110.80650076520553</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13183.616626303015</v>
      </c>
    </row>
    <row r="22" spans="1:17">
      <c r="A22" s="460" t="s">
        <v>156</v>
      </c>
      <c r="B22" s="461">
        <f t="shared" ca="1" si="2"/>
        <v>8347.2277664986177</v>
      </c>
      <c r="C22" s="461">
        <f t="shared" ca="1" si="3"/>
        <v>0</v>
      </c>
      <c r="D22" s="461">
        <f t="shared" ca="1" si="4"/>
        <v>4655.9058265563126</v>
      </c>
      <c r="E22" s="461">
        <f t="shared" si="5"/>
        <v>197.2860199911008</v>
      </c>
      <c r="F22" s="461">
        <f t="shared" ca="1" si="6"/>
        <v>1805.9175376344376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15006.337150680469</v>
      </c>
    </row>
    <row r="23" spans="1:17">
      <c r="A23" s="460" t="s">
        <v>195</v>
      </c>
      <c r="B23" s="461">
        <f t="shared" ca="1" si="2"/>
        <v>115.39898737491315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115.39898737491315</v>
      </c>
    </row>
    <row r="24" spans="1:17">
      <c r="A24" s="460" t="s">
        <v>112</v>
      </c>
      <c r="B24" s="461">
        <f t="shared" ca="1" si="2"/>
        <v>12.101589619548003</v>
      </c>
      <c r="C24" s="461">
        <f t="shared" ca="1" si="3"/>
        <v>0</v>
      </c>
      <c r="D24" s="461">
        <f t="shared" si="4"/>
        <v>504.94666025071416</v>
      </c>
      <c r="E24" s="461">
        <f t="shared" si="5"/>
        <v>0.13932819216986012</v>
      </c>
      <c r="F24" s="461">
        <f t="shared" si="6"/>
        <v>80.375608362423961</v>
      </c>
      <c r="G24" s="461">
        <f t="shared" si="7"/>
        <v>0</v>
      </c>
      <c r="H24" s="461">
        <f t="shared" si="8"/>
        <v>0</v>
      </c>
      <c r="I24" s="461">
        <f t="shared" si="9"/>
        <v>0</v>
      </c>
      <c r="J24" s="461">
        <f t="shared" si="10"/>
        <v>1.8529890054602285</v>
      </c>
      <c r="K24" s="461">
        <f t="shared" si="11"/>
        <v>0</v>
      </c>
      <c r="L24" s="461">
        <f t="shared" si="12"/>
        <v>0</v>
      </c>
      <c r="M24" s="461">
        <f t="shared" si="13"/>
        <v>0</v>
      </c>
      <c r="N24" s="461">
        <f t="shared" si="14"/>
        <v>0</v>
      </c>
      <c r="O24" s="461">
        <f t="shared" si="15"/>
        <v>0</v>
      </c>
      <c r="P24" s="462">
        <f t="shared" si="16"/>
        <v>0</v>
      </c>
      <c r="Q24" s="460">
        <f t="shared" ca="1" si="17"/>
        <v>599.41617543031612</v>
      </c>
    </row>
    <row r="25" spans="1:17">
      <c r="A25" s="460" t="s">
        <v>656</v>
      </c>
      <c r="B25" s="461">
        <f t="shared" ca="1" si="2"/>
        <v>2287.683613249842</v>
      </c>
      <c r="C25" s="461">
        <f t="shared" ca="1" si="3"/>
        <v>0</v>
      </c>
      <c r="D25" s="461">
        <f t="shared" si="4"/>
        <v>1542.4442350816676</v>
      </c>
      <c r="E25" s="461">
        <f t="shared" si="5"/>
        <v>30.234297257024327</v>
      </c>
      <c r="F25" s="461">
        <f t="shared" si="6"/>
        <v>1111.0364394644969</v>
      </c>
      <c r="G25" s="461">
        <f t="shared" si="7"/>
        <v>0</v>
      </c>
      <c r="H25" s="461">
        <f t="shared" si="8"/>
        <v>0</v>
      </c>
      <c r="I25" s="461">
        <f t="shared" si="9"/>
        <v>0</v>
      </c>
      <c r="J25" s="461">
        <f t="shared" si="10"/>
        <v>18.447216471293395</v>
      </c>
      <c r="K25" s="461">
        <f t="shared" si="11"/>
        <v>0</v>
      </c>
      <c r="L25" s="461">
        <f t="shared" si="12"/>
        <v>0</v>
      </c>
      <c r="M25" s="461">
        <f t="shared" si="13"/>
        <v>0</v>
      </c>
      <c r="N25" s="461">
        <f t="shared" si="14"/>
        <v>0</v>
      </c>
      <c r="O25" s="461">
        <f t="shared" si="15"/>
        <v>0</v>
      </c>
      <c r="P25" s="462">
        <f t="shared" si="16"/>
        <v>0</v>
      </c>
      <c r="Q25" s="460">
        <f t="shared" ca="1" si="17"/>
        <v>4989.8458015243241</v>
      </c>
    </row>
    <row r="26" spans="1:17" s="466" customFormat="1">
      <c r="A26" s="464" t="s">
        <v>574</v>
      </c>
      <c r="B26" s="822">
        <f t="shared" ca="1" si="2"/>
        <v>0.10358292293852567</v>
      </c>
      <c r="C26" s="465">
        <f t="shared" ca="1" si="3"/>
        <v>0</v>
      </c>
      <c r="D26" s="465">
        <f t="shared" si="4"/>
        <v>0.46083027820956235</v>
      </c>
      <c r="E26" s="465">
        <f t="shared" si="5"/>
        <v>53.330006767933618</v>
      </c>
      <c r="F26" s="465">
        <f t="shared" si="6"/>
        <v>0</v>
      </c>
      <c r="G26" s="465">
        <f t="shared" si="7"/>
        <v>11893.786387187709</v>
      </c>
      <c r="H26" s="465">
        <f t="shared" si="8"/>
        <v>1905.0994715299867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13852.780278686776</v>
      </c>
    </row>
    <row r="27" spans="1:17">
      <c r="A27" s="460" t="s">
        <v>564</v>
      </c>
      <c r="B27" s="461">
        <f t="shared" ca="1" si="2"/>
        <v>101.80356732342635</v>
      </c>
      <c r="C27" s="461">
        <f t="shared" ca="1" si="3"/>
        <v>0</v>
      </c>
      <c r="D27" s="461">
        <f t="shared" si="4"/>
        <v>0</v>
      </c>
      <c r="E27" s="461">
        <f t="shared" si="5"/>
        <v>0</v>
      </c>
      <c r="F27" s="461">
        <f t="shared" si="6"/>
        <v>0</v>
      </c>
      <c r="G27" s="461">
        <f t="shared" si="7"/>
        <v>359.94697112525978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461.75053844868614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14160.390091957443</v>
      </c>
      <c r="C31" s="471">
        <f t="shared" ca="1" si="18"/>
        <v>0</v>
      </c>
      <c r="D31" s="471">
        <f t="shared" ca="1" si="18"/>
        <v>16480.496692736557</v>
      </c>
      <c r="E31" s="471">
        <f t="shared" si="18"/>
        <v>391.79615297343412</v>
      </c>
      <c r="F31" s="471">
        <f t="shared" ca="1" si="18"/>
        <v>2997.3295854613584</v>
      </c>
      <c r="G31" s="471">
        <f t="shared" si="18"/>
        <v>12253.733358312969</v>
      </c>
      <c r="H31" s="471">
        <f t="shared" si="18"/>
        <v>1905.0994715299867</v>
      </c>
      <c r="I31" s="471">
        <f t="shared" si="18"/>
        <v>0</v>
      </c>
      <c r="J31" s="471">
        <f t="shared" si="18"/>
        <v>20.300205476753622</v>
      </c>
      <c r="K31" s="471">
        <f t="shared" si="18"/>
        <v>0</v>
      </c>
      <c r="L31" s="471">
        <f t="shared" ca="1" si="18"/>
        <v>0</v>
      </c>
      <c r="M31" s="471">
        <f t="shared" si="18"/>
        <v>0</v>
      </c>
      <c r="N31" s="471">
        <f t="shared" ca="1" si="18"/>
        <v>0</v>
      </c>
      <c r="O31" s="471">
        <f t="shared" si="18"/>
        <v>0</v>
      </c>
      <c r="P31" s="472">
        <f t="shared" si="18"/>
        <v>0</v>
      </c>
      <c r="Q31" s="472">
        <f t="shared" ca="1" si="18"/>
        <v>48209.145558448501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0.20647519659136365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0.20647519659136365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0.20647519659136365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3754</v>
      </c>
      <c r="C9" s="336">
        <v>3910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114</v>
      </c>
    </row>
    <row r="15" spans="1:6">
      <c r="A15" s="1194" t="s">
        <v>185</v>
      </c>
      <c r="B15" s="333">
        <v>0</v>
      </c>
    </row>
    <row r="16" spans="1:6">
      <c r="A16" s="1194" t="s">
        <v>6</v>
      </c>
      <c r="B16" s="333">
        <v>0</v>
      </c>
    </row>
    <row r="17" spans="1:6">
      <c r="A17" s="1194" t="s">
        <v>7</v>
      </c>
      <c r="B17" s="333">
        <v>12</v>
      </c>
    </row>
    <row r="18" spans="1:6">
      <c r="A18" s="1194" t="s">
        <v>8</v>
      </c>
      <c r="B18" s="333">
        <v>10</v>
      </c>
    </row>
    <row r="19" spans="1:6">
      <c r="A19" s="1194" t="s">
        <v>9</v>
      </c>
      <c r="B19" s="333">
        <v>8</v>
      </c>
    </row>
    <row r="20" spans="1:6">
      <c r="A20" s="1194" t="s">
        <v>10</v>
      </c>
      <c r="B20" s="333">
        <v>3</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8</v>
      </c>
    </row>
    <row r="30" spans="1:6">
      <c r="A30" s="1190" t="s">
        <v>889</v>
      </c>
      <c r="B30" s="1190">
        <v>14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3135</v>
      </c>
      <c r="D39" s="333">
        <v>53658202.567285299</v>
      </c>
      <c r="E39" s="333">
        <v>3713</v>
      </c>
      <c r="F39" s="333">
        <v>15434667.482873799</v>
      </c>
    </row>
    <row r="40" spans="1:6">
      <c r="A40" s="1194" t="s">
        <v>30</v>
      </c>
      <c r="B40" s="1194" t="s">
        <v>29</v>
      </c>
      <c r="C40" s="333">
        <v>0</v>
      </c>
      <c r="D40" s="333">
        <v>0</v>
      </c>
      <c r="E40" s="333">
        <v>0</v>
      </c>
      <c r="F40" s="333">
        <v>0</v>
      </c>
    </row>
    <row r="41" spans="1:6">
      <c r="A41" s="1194" t="s">
        <v>32</v>
      </c>
      <c r="B41" s="1194" t="s">
        <v>33</v>
      </c>
      <c r="C41" s="333">
        <v>35</v>
      </c>
      <c r="D41" s="333">
        <v>2154935.5294699199</v>
      </c>
      <c r="E41" s="333">
        <v>77</v>
      </c>
      <c r="F41" s="333">
        <v>3409646.7127343998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347047.99561658798</v>
      </c>
      <c r="E44" s="333">
        <v>3</v>
      </c>
      <c r="F44" s="333">
        <v>260185.03573593599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329961.28319529298</v>
      </c>
    </row>
    <row r="48" spans="1:6">
      <c r="A48" s="1194" t="s">
        <v>32</v>
      </c>
      <c r="B48" s="1194" t="s">
        <v>29</v>
      </c>
      <c r="C48" s="333">
        <v>24</v>
      </c>
      <c r="D48" s="333">
        <v>5707724.7440714799</v>
      </c>
      <c r="E48" s="333">
        <v>30</v>
      </c>
      <c r="F48" s="333">
        <v>6607029.16301155</v>
      </c>
    </row>
    <row r="49" spans="1:6">
      <c r="A49" s="1194" t="s">
        <v>32</v>
      </c>
      <c r="B49" s="1194" t="s">
        <v>40</v>
      </c>
      <c r="C49" s="333">
        <v>0</v>
      </c>
      <c r="D49" s="333">
        <v>0</v>
      </c>
      <c r="E49" s="333">
        <v>0</v>
      </c>
      <c r="F49" s="333">
        <v>0</v>
      </c>
    </row>
    <row r="50" spans="1:6">
      <c r="A50" s="1194" t="s">
        <v>32</v>
      </c>
      <c r="B50" s="1194" t="s">
        <v>41</v>
      </c>
      <c r="C50" s="333">
        <v>5</v>
      </c>
      <c r="D50" s="333">
        <v>255771.27619594301</v>
      </c>
      <c r="E50" s="333">
        <v>8</v>
      </c>
      <c r="F50" s="333">
        <v>472879.63400014502</v>
      </c>
    </row>
    <row r="51" spans="1:6">
      <c r="A51" s="1194" t="s">
        <v>42</v>
      </c>
      <c r="B51" s="1194" t="s">
        <v>43</v>
      </c>
      <c r="C51" s="333">
        <v>0</v>
      </c>
      <c r="D51" s="333">
        <v>0</v>
      </c>
      <c r="E51" s="333">
        <v>4</v>
      </c>
      <c r="F51" s="333">
        <v>19378.751055791799</v>
      </c>
    </row>
    <row r="52" spans="1:6">
      <c r="A52" s="1194" t="s">
        <v>42</v>
      </c>
      <c r="B52" s="1194" t="s">
        <v>29</v>
      </c>
      <c r="C52" s="333">
        <v>4</v>
      </c>
      <c r="D52" s="333">
        <v>100079.334042086</v>
      </c>
      <c r="E52" s="333">
        <v>2</v>
      </c>
      <c r="F52" s="333">
        <v>39231.628395733002</v>
      </c>
    </row>
    <row r="53" spans="1:6">
      <c r="A53" s="1194" t="s">
        <v>44</v>
      </c>
      <c r="B53" s="1194" t="s">
        <v>45</v>
      </c>
      <c r="C53" s="333">
        <v>119</v>
      </c>
      <c r="D53" s="333">
        <v>2671246.5438240101</v>
      </c>
      <c r="E53" s="333">
        <v>179</v>
      </c>
      <c r="F53" s="333">
        <v>1393871.3737740901</v>
      </c>
    </row>
    <row r="54" spans="1:6">
      <c r="A54" s="1194" t="s">
        <v>46</v>
      </c>
      <c r="B54" s="1194" t="s">
        <v>47</v>
      </c>
      <c r="C54" s="333">
        <v>0</v>
      </c>
      <c r="D54" s="333">
        <v>0</v>
      </c>
      <c r="E54" s="333">
        <v>1</v>
      </c>
      <c r="F54" s="333">
        <v>558900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22</v>
      </c>
      <c r="D57" s="333">
        <v>3563653.4063982498</v>
      </c>
      <c r="E57" s="333">
        <v>66</v>
      </c>
      <c r="F57" s="333">
        <v>1456805.9145662801</v>
      </c>
    </row>
    <row r="58" spans="1:6">
      <c r="A58" s="1194" t="s">
        <v>49</v>
      </c>
      <c r="B58" s="1194" t="s">
        <v>51</v>
      </c>
      <c r="C58" s="333">
        <v>16</v>
      </c>
      <c r="D58" s="333">
        <v>1902458.1054609499</v>
      </c>
      <c r="E58" s="333">
        <v>18</v>
      </c>
      <c r="F58" s="333">
        <v>420276.45916883199</v>
      </c>
    </row>
    <row r="59" spans="1:6">
      <c r="A59" s="1194" t="s">
        <v>49</v>
      </c>
      <c r="B59" s="1194" t="s">
        <v>52</v>
      </c>
      <c r="C59" s="333">
        <v>65</v>
      </c>
      <c r="D59" s="333">
        <v>4743137.8141970597</v>
      </c>
      <c r="E59" s="333">
        <v>309</v>
      </c>
      <c r="F59" s="333">
        <v>17157451.928672198</v>
      </c>
    </row>
    <row r="60" spans="1:6">
      <c r="A60" s="1194" t="s">
        <v>49</v>
      </c>
      <c r="B60" s="1194" t="s">
        <v>53</v>
      </c>
      <c r="C60" s="333">
        <v>41</v>
      </c>
      <c r="D60" s="333">
        <v>3389397.0048204302</v>
      </c>
      <c r="E60" s="333">
        <v>69</v>
      </c>
      <c r="F60" s="333">
        <v>4736973.9191415999</v>
      </c>
    </row>
    <row r="61" spans="1:6">
      <c r="A61" s="1194" t="s">
        <v>49</v>
      </c>
      <c r="B61" s="1194" t="s">
        <v>54</v>
      </c>
      <c r="C61" s="333">
        <v>76</v>
      </c>
      <c r="D61" s="333">
        <v>4344117.1368838204</v>
      </c>
      <c r="E61" s="333">
        <v>175</v>
      </c>
      <c r="F61" s="333">
        <v>10928580.8096305</v>
      </c>
    </row>
    <row r="62" spans="1:6">
      <c r="A62" s="1194" t="s">
        <v>49</v>
      </c>
      <c r="B62" s="1194" t="s">
        <v>55</v>
      </c>
      <c r="C62" s="333">
        <v>7</v>
      </c>
      <c r="D62" s="333">
        <v>1316912.4742879299</v>
      </c>
      <c r="E62" s="333">
        <v>3</v>
      </c>
      <c r="F62" s="333">
        <v>30981.150295059</v>
      </c>
    </row>
    <row r="63" spans="1:6">
      <c r="A63" s="1194" t="s">
        <v>49</v>
      </c>
      <c r="B63" s="1194" t="s">
        <v>29</v>
      </c>
      <c r="C63" s="333">
        <v>85</v>
      </c>
      <c r="D63" s="333">
        <v>6293582.0904662795</v>
      </c>
      <c r="E63" s="333">
        <v>109</v>
      </c>
      <c r="F63" s="333">
        <v>5696196.1648008497</v>
      </c>
    </row>
    <row r="64" spans="1:6">
      <c r="A64" s="1194" t="s">
        <v>56</v>
      </c>
      <c r="B64" s="1194" t="s">
        <v>57</v>
      </c>
      <c r="C64" s="333">
        <v>0</v>
      </c>
      <c r="D64" s="333">
        <v>0</v>
      </c>
      <c r="E64" s="333">
        <v>0</v>
      </c>
      <c r="F64" s="333">
        <v>0</v>
      </c>
    </row>
    <row r="65" spans="1:6">
      <c r="A65" s="1194" t="s">
        <v>56</v>
      </c>
      <c r="B65" s="1194" t="s">
        <v>29</v>
      </c>
      <c r="C65" s="333">
        <v>3</v>
      </c>
      <c r="D65" s="333">
        <v>79404.974306569697</v>
      </c>
      <c r="E65" s="333">
        <v>3</v>
      </c>
      <c r="F65" s="333">
        <v>15651.492044537999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220046.46744551699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58491621</v>
      </c>
      <c r="E73" s="333">
        <v>56556309.078826807</v>
      </c>
      <c r="F73" s="333">
        <v>65834396</v>
      </c>
    </row>
    <row r="74" spans="1:6">
      <c r="A74" s="1194" t="s">
        <v>64</v>
      </c>
      <c r="B74" s="1194" t="s">
        <v>775</v>
      </c>
      <c r="C74" s="1205" t="s">
        <v>776</v>
      </c>
      <c r="D74" s="333">
        <v>5841022.3428440122</v>
      </c>
      <c r="E74" s="333">
        <v>5888659.0561196161</v>
      </c>
      <c r="F74" s="333">
        <v>6611038.0408230387</v>
      </c>
    </row>
    <row r="75" spans="1:6">
      <c r="A75" s="1194" t="s">
        <v>65</v>
      </c>
      <c r="B75" s="1194" t="s">
        <v>773</v>
      </c>
      <c r="C75" s="1205" t="s">
        <v>777</v>
      </c>
      <c r="D75" s="333">
        <v>4342885</v>
      </c>
      <c r="E75" s="333">
        <v>4584694.6259161448</v>
      </c>
      <c r="F75" s="333">
        <v>5220375</v>
      </c>
    </row>
    <row r="76" spans="1:6">
      <c r="A76" s="1194" t="s">
        <v>65</v>
      </c>
      <c r="B76" s="1194" t="s">
        <v>775</v>
      </c>
      <c r="C76" s="1205" t="s">
        <v>778</v>
      </c>
      <c r="D76" s="333">
        <v>176399.34284401243</v>
      </c>
      <c r="E76" s="333">
        <v>227866.58232415802</v>
      </c>
      <c r="F76" s="333">
        <v>269396.04082303902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369617.31431197515</v>
      </c>
      <c r="C83" s="333">
        <v>340725.23260386923</v>
      </c>
      <c r="D83" s="333">
        <v>344629.91835392197</v>
      </c>
    </row>
    <row r="84" spans="1:6">
      <c r="A84" s="1190" t="s">
        <v>338</v>
      </c>
      <c r="B84" s="336">
        <v>139873.67542221895</v>
      </c>
      <c r="C84" s="336">
        <v>162208.82478884156</v>
      </c>
      <c r="D84" s="336">
        <v>155270.12363431419</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709</v>
      </c>
    </row>
    <row r="90" spans="1:6">
      <c r="A90" s="1194" t="s">
        <v>562</v>
      </c>
      <c r="B90" s="949">
        <v>0</v>
      </c>
    </row>
    <row r="91" spans="1:6">
      <c r="A91" s="1194" t="s">
        <v>68</v>
      </c>
      <c r="B91" s="333">
        <v>528.85278194247599</v>
      </c>
    </row>
    <row r="92" spans="1:6">
      <c r="A92" s="1190" t="s">
        <v>69</v>
      </c>
      <c r="B92" s="336">
        <v>3269.5391035918551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2433</v>
      </c>
    </row>
    <row r="98" spans="1:6">
      <c r="A98" s="1194" t="s">
        <v>72</v>
      </c>
      <c r="B98" s="333">
        <v>7</v>
      </c>
    </row>
    <row r="99" spans="1:6">
      <c r="A99" s="1194" t="s">
        <v>73</v>
      </c>
      <c r="B99" s="333">
        <v>11</v>
      </c>
    </row>
    <row r="100" spans="1:6">
      <c r="A100" s="1194" t="s">
        <v>74</v>
      </c>
      <c r="B100" s="333">
        <v>240</v>
      </c>
    </row>
    <row r="101" spans="1:6">
      <c r="A101" s="1194" t="s">
        <v>75</v>
      </c>
      <c r="B101" s="333">
        <v>35</v>
      </c>
    </row>
    <row r="102" spans="1:6">
      <c r="A102" s="1194" t="s">
        <v>76</v>
      </c>
      <c r="B102" s="333">
        <v>54</v>
      </c>
    </row>
    <row r="103" spans="1:6">
      <c r="A103" s="1194" t="s">
        <v>77</v>
      </c>
      <c r="B103" s="333">
        <v>51</v>
      </c>
    </row>
    <row r="104" spans="1:6">
      <c r="A104" s="1194" t="s">
        <v>78</v>
      </c>
      <c r="B104" s="333">
        <v>534</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18</v>
      </c>
    </row>
    <row r="130" spans="1:6">
      <c r="A130" s="1194" t="s">
        <v>296</v>
      </c>
      <c r="B130" s="333">
        <v>0</v>
      </c>
    </row>
    <row r="131" spans="1:6">
      <c r="A131" s="1194" t="s">
        <v>297</v>
      </c>
      <c r="B131" s="333">
        <v>0</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68581.555197558962</v>
      </c>
      <c r="C3" s="43" t="s">
        <v>171</v>
      </c>
      <c r="D3" s="43"/>
      <c r="E3" s="156"/>
      <c r="F3" s="43"/>
      <c r="G3" s="43"/>
      <c r="H3" s="43"/>
      <c r="I3" s="43"/>
      <c r="J3" s="43"/>
      <c r="K3" s="96"/>
    </row>
    <row r="4" spans="1:11">
      <c r="A4" s="364" t="s">
        <v>172</v>
      </c>
      <c r="B4" s="49">
        <f>IF(ISERROR('SEAP template'!B69),0,'SEAP template'!B69)</f>
        <v>4507.3918855343309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0.20647519659136365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558.9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558.9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0.20647519659136365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115.39898737491315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15434.6674828738</v>
      </c>
      <c r="C5" s="17">
        <f>IF(ISERROR('Eigen informatie GS &amp; warmtenet'!B57),0,'Eigen informatie GS &amp; warmtenet'!B57)</f>
        <v>0</v>
      </c>
      <c r="D5" s="30">
        <f>(SUM(HH_hh_gas_kWh,HH_rest_gas_kWh)/1000)*0.902</f>
        <v>48399.698715691338</v>
      </c>
      <c r="E5" s="17">
        <f>B46*B57</f>
        <v>488.13436460442961</v>
      </c>
      <c r="F5" s="17">
        <f>B51*B62</f>
        <v>0</v>
      </c>
      <c r="G5" s="18"/>
      <c r="H5" s="17"/>
      <c r="I5" s="17"/>
      <c r="J5" s="17">
        <f>B50*B61+C50*C61</f>
        <v>0</v>
      </c>
      <c r="K5" s="17"/>
      <c r="L5" s="17"/>
      <c r="M5" s="17"/>
      <c r="N5" s="17">
        <f>B48*B59+C48*C59</f>
        <v>4493.8093459378506</v>
      </c>
      <c r="O5" s="17">
        <f>B69*B70*B71</f>
        <v>31.266666666666666</v>
      </c>
      <c r="P5" s="17">
        <f>B77*B78*B79/1000-B77*B78*B79/1000/B80</f>
        <v>38.133333333333333</v>
      </c>
    </row>
    <row r="6" spans="1:16">
      <c r="A6" s="16" t="s">
        <v>633</v>
      </c>
      <c r="B6" s="830">
        <f>kWh_PV_kleiner_dan_10kW</f>
        <v>528.85278194247599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15963.520264816276</v>
      </c>
      <c r="C8" s="21">
        <f>C5</f>
        <v>0</v>
      </c>
      <c r="D8" s="21">
        <f>D5</f>
        <v>48399.698715691338</v>
      </c>
      <c r="E8" s="21">
        <f>E5</f>
        <v>488.13436460442961</v>
      </c>
      <c r="F8" s="21">
        <f>F5</f>
        <v>0</v>
      </c>
      <c r="G8" s="21"/>
      <c r="H8" s="21"/>
      <c r="I8" s="21"/>
      <c r="J8" s="21">
        <f>J5</f>
        <v>0</v>
      </c>
      <c r="K8" s="21"/>
      <c r="L8" s="21">
        <f>L5</f>
        <v>0</v>
      </c>
      <c r="M8" s="21">
        <f>M5</f>
        <v>0</v>
      </c>
      <c r="N8" s="21">
        <f>N5</f>
        <v>4493.8093459378506</v>
      </c>
      <c r="O8" s="21">
        <f>O5</f>
        <v>31.266666666666666</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0.20647519659136365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3296.070984968158</v>
      </c>
      <c r="C12" s="23">
        <f ca="1">C10*C8</f>
        <v>0</v>
      </c>
      <c r="D12" s="23">
        <f>D8*D10</f>
        <v>9776.7391405696508</v>
      </c>
      <c r="E12" s="23">
        <f>E10*E8</f>
        <v>110.80650076520553</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2433</v>
      </c>
      <c r="C18" s="167" t="s">
        <v>111</v>
      </c>
      <c r="D18" s="229"/>
      <c r="E18" s="15"/>
    </row>
    <row r="19" spans="1:7">
      <c r="A19" s="172" t="s">
        <v>72</v>
      </c>
      <c r="B19" s="37">
        <f>aantalw2001_ander</f>
        <v>7</v>
      </c>
      <c r="C19" s="167" t="s">
        <v>111</v>
      </c>
      <c r="D19" s="230"/>
      <c r="E19" s="15"/>
    </row>
    <row r="20" spans="1:7">
      <c r="A20" s="172" t="s">
        <v>73</v>
      </c>
      <c r="B20" s="37">
        <f>aantalw2001_propaan</f>
        <v>11</v>
      </c>
      <c r="C20" s="168">
        <f>IF(ISERROR(B20/SUM($B$20,$B$21,$B$22)*100),0,B20/SUM($B$20,$B$21,$B$22)*100)</f>
        <v>3.8461538461538463</v>
      </c>
      <c r="D20" s="230"/>
      <c r="E20" s="15"/>
    </row>
    <row r="21" spans="1:7">
      <c r="A21" s="172" t="s">
        <v>74</v>
      </c>
      <c r="B21" s="37">
        <f>aantalw2001_elektriciteit</f>
        <v>240</v>
      </c>
      <c r="C21" s="168">
        <f>IF(ISERROR(B21/SUM($B$20,$B$21,$B$22)*100),0,B21/SUM($B$20,$B$21,$B$22)*100)</f>
        <v>83.91608391608392</v>
      </c>
      <c r="D21" s="230"/>
      <c r="E21" s="15"/>
    </row>
    <row r="22" spans="1:7">
      <c r="A22" s="172" t="s">
        <v>75</v>
      </c>
      <c r="B22" s="37">
        <f>aantalw2001_hout</f>
        <v>35</v>
      </c>
      <c r="C22" s="168">
        <f>IF(ISERROR(B22/SUM($B$20,$B$21,$B$22)*100),0,B22/SUM($B$20,$B$21,$B$22)*100)</f>
        <v>12.237762237762238</v>
      </c>
      <c r="D22" s="230"/>
      <c r="E22" s="15"/>
    </row>
    <row r="23" spans="1:7">
      <c r="A23" s="172" t="s">
        <v>76</v>
      </c>
      <c r="B23" s="37">
        <f>aantalw2001_niet_gespec</f>
        <v>54</v>
      </c>
      <c r="C23" s="167" t="s">
        <v>111</v>
      </c>
      <c r="D23" s="229"/>
      <c r="E23" s="15"/>
    </row>
    <row r="24" spans="1:7">
      <c r="A24" s="172" t="s">
        <v>77</v>
      </c>
      <c r="B24" s="37">
        <f>aantalw2001_steenkool</f>
        <v>51</v>
      </c>
      <c r="C24" s="167" t="s">
        <v>111</v>
      </c>
      <c r="D24" s="230"/>
      <c r="E24" s="15"/>
    </row>
    <row r="25" spans="1:7">
      <c r="A25" s="172" t="s">
        <v>78</v>
      </c>
      <c r="B25" s="37">
        <f>aantalw2001_stookolie</f>
        <v>534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3754</v>
      </c>
      <c r="C28" s="36"/>
      <c r="D28" s="229"/>
    </row>
    <row r="29" spans="1:7" s="15" customFormat="1">
      <c r="A29" s="231" t="s">
        <v>714</v>
      </c>
      <c r="B29" s="37">
        <f>SUM(HH_hh_gas_aantal,HH_rest_gas_aantal)</f>
        <v>3135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3135</v>
      </c>
      <c r="C32" s="168">
        <f>IF(ISERROR(B32/SUM($B$32,$B$34,$B$35,$B$36,$B$38,$B$39)*100),0,B32/SUM($B$32,$B$34,$B$35,$B$36,$B$38,$B$39)*100)</f>
        <v>83.555437100213211</v>
      </c>
      <c r="D32" s="234"/>
      <c r="G32" s="15"/>
    </row>
    <row r="33" spans="1:7">
      <c r="A33" s="172" t="s">
        <v>72</v>
      </c>
      <c r="B33" s="34" t="s">
        <v>111</v>
      </c>
      <c r="C33" s="168"/>
      <c r="D33" s="234"/>
      <c r="G33" s="15"/>
    </row>
    <row r="34" spans="1:7">
      <c r="A34" s="172" t="s">
        <v>73</v>
      </c>
      <c r="B34" s="33">
        <f>IF((($B$28-$B$32-$B$39-$B$77-$B$38)*C20/100)&lt;0,0,($B$28-$B$32-$B$39-$B$77-$B$38)*C20/100)</f>
        <v>23.730769230769234</v>
      </c>
      <c r="C34" s="168">
        <f>IF(ISERROR(B34/SUM($B$32,$B$34,$B$35,$B$36,$B$38,$B$39)*100),0,B34/SUM($B$32,$B$34,$B$35,$B$36,$B$38,$B$39)*100)</f>
        <v>0.63248318845333773</v>
      </c>
      <c r="D34" s="234"/>
      <c r="G34" s="15"/>
    </row>
    <row r="35" spans="1:7">
      <c r="A35" s="172" t="s">
        <v>74</v>
      </c>
      <c r="B35" s="33">
        <f>IF((($B$28-$B$32-$B$39-$B$77-$B$38)*C21/100)&lt;0,0,($B$28-$B$32-$B$39-$B$77-$B$38)*C21/100)</f>
        <v>517.76223776223776</v>
      </c>
      <c r="C35" s="168">
        <f>IF(ISERROR(B35/SUM($B$32,$B$34,$B$35,$B$36,$B$38,$B$39)*100),0,B35/SUM($B$32,$B$34,$B$35,$B$36,$B$38,$B$39)*100)</f>
        <v>13.799633202618278</v>
      </c>
      <c r="D35" s="234"/>
      <c r="G35" s="15"/>
    </row>
    <row r="36" spans="1:7">
      <c r="A36" s="172" t="s">
        <v>75</v>
      </c>
      <c r="B36" s="33">
        <f>IF((($B$28-$B$32-$B$39-$B$77-$B$38)*C22/100)&lt;0,0,($B$28-$B$32-$B$39-$B$77-$B$38)*C22/100)</f>
        <v>75.506993006993014</v>
      </c>
      <c r="C36" s="168">
        <f>IF(ISERROR(B36/SUM($B$32,$B$34,$B$35,$B$36,$B$38,$B$39)*100),0,B36/SUM($B$32,$B$34,$B$35,$B$36,$B$38,$B$39)*100)</f>
        <v>2.0124465087151657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3135</v>
      </c>
      <c r="C44" s="34" t="s">
        <v>111</v>
      </c>
      <c r="D44" s="175"/>
    </row>
    <row r="45" spans="1:7">
      <c r="A45" s="172" t="s">
        <v>72</v>
      </c>
      <c r="B45" s="33" t="str">
        <f t="shared" si="0"/>
        <v>-</v>
      </c>
      <c r="C45" s="34" t="s">
        <v>111</v>
      </c>
      <c r="D45" s="175"/>
    </row>
    <row r="46" spans="1:7">
      <c r="A46" s="172" t="s">
        <v>73</v>
      </c>
      <c r="B46" s="33">
        <f t="shared" si="0"/>
        <v>23.730769230769234</v>
      </c>
      <c r="C46" s="34" t="s">
        <v>111</v>
      </c>
      <c r="D46" s="175"/>
    </row>
    <row r="47" spans="1:7">
      <c r="A47" s="172" t="s">
        <v>74</v>
      </c>
      <c r="B47" s="33">
        <f t="shared" si="0"/>
        <v>517.76223776223776</v>
      </c>
      <c r="C47" s="34" t="s">
        <v>111</v>
      </c>
      <c r="D47" s="175"/>
    </row>
    <row r="48" spans="1:7">
      <c r="A48" s="172" t="s">
        <v>75</v>
      </c>
      <c r="B48" s="33">
        <f t="shared" si="0"/>
        <v>75.506993006993014</v>
      </c>
      <c r="C48" s="33">
        <f>B48*10</f>
        <v>755.06993006993014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40427.266346275326</v>
      </c>
      <c r="C5" s="17">
        <f>IF(ISERROR('Eigen informatie GS &amp; warmtenet'!B58),0,'Eigen informatie GS &amp; warmtenet'!B58)</f>
        <v>0</v>
      </c>
      <c r="D5" s="30">
        <f>SUM(D6:D12)</f>
        <v>23049.038745328278</v>
      </c>
      <c r="E5" s="17">
        <f>SUM(E6:E12)</f>
        <v>869.10140965242647</v>
      </c>
      <c r="F5" s="17">
        <f>SUM(F6:F12)</f>
        <v>6763.7360960091291</v>
      </c>
      <c r="G5" s="18"/>
      <c r="H5" s="17"/>
      <c r="I5" s="17"/>
      <c r="J5" s="17">
        <f>SUM(J6:J12)</f>
        <v>0</v>
      </c>
      <c r="K5" s="17"/>
      <c r="L5" s="17"/>
      <c r="M5" s="17"/>
      <c r="N5" s="17">
        <f>SUM(N6:N12)</f>
        <v>593.54472315860176</v>
      </c>
      <c r="O5" s="17">
        <f>B38*B39*B40</f>
        <v>0</v>
      </c>
      <c r="P5" s="17">
        <f>B46*B47*B48/1000-B46*B47*B48/1000/B49</f>
        <v>0</v>
      </c>
      <c r="R5" s="32"/>
    </row>
    <row r="6" spans="1:18">
      <c r="A6" s="32" t="s">
        <v>54</v>
      </c>
      <c r="B6" s="37">
        <f>B26</f>
        <v>10928.580809630501</v>
      </c>
      <c r="C6" s="33"/>
      <c r="D6" s="37">
        <f>IF(ISERROR(TER_kantoor_gas_kWh/1000),0,TER_kantoor_gas_kWh/1000)*0.902</f>
        <v>3918.3936574692061</v>
      </c>
      <c r="E6" s="33">
        <f>$C$26*'E Balans VL '!I12/100/3.6*1000000</f>
        <v>382.54331860505539</v>
      </c>
      <c r="F6" s="33">
        <f>$C$26*('E Balans VL '!L12+'E Balans VL '!N12)/100/3.6*1000000</f>
        <v>1657.0074850707608</v>
      </c>
      <c r="G6" s="34"/>
      <c r="H6" s="33"/>
      <c r="I6" s="33"/>
      <c r="J6" s="33">
        <f>$C$26*('E Balans VL '!D12+'E Balans VL '!E12)/100/3.6*1000000</f>
        <v>0</v>
      </c>
      <c r="K6" s="33"/>
      <c r="L6" s="33"/>
      <c r="M6" s="33"/>
      <c r="N6" s="33">
        <f>$C$26*'E Balans VL '!Y12/100/3.6*1000000</f>
        <v>84.474509106788162</v>
      </c>
      <c r="O6" s="33"/>
      <c r="P6" s="33"/>
      <c r="R6" s="32"/>
    </row>
    <row r="7" spans="1:18">
      <c r="A7" s="32" t="s">
        <v>53</v>
      </c>
      <c r="B7" s="37">
        <f t="shared" ref="B7:B12" si="0">B27</f>
        <v>4736.9739191416002</v>
      </c>
      <c r="C7" s="33"/>
      <c r="D7" s="37">
        <f>IF(ISERROR(TER_horeca_gas_kWh/1000),0,TER_horeca_gas_kWh/1000)*0.902</f>
        <v>3057.236098348028</v>
      </c>
      <c r="E7" s="33">
        <f>$C$27*'E Balans VL '!I9/100/3.6*1000000</f>
        <v>267.22831545292001</v>
      </c>
      <c r="F7" s="33">
        <f>$C$27*('E Balans VL '!L9+'E Balans VL '!N9)/100/3.6*1000000</f>
        <v>825.20707146471682</v>
      </c>
      <c r="G7" s="34"/>
      <c r="H7" s="33"/>
      <c r="I7" s="33"/>
      <c r="J7" s="33">
        <f>$C$27*('E Balans VL '!D9+'E Balans VL '!E9)/100/3.6*1000000</f>
        <v>0</v>
      </c>
      <c r="K7" s="33"/>
      <c r="L7" s="33"/>
      <c r="M7" s="33"/>
      <c r="N7" s="33">
        <f>$C$27*'E Balans VL '!Y9/100/3.6*1000000</f>
        <v>0</v>
      </c>
      <c r="O7" s="33"/>
      <c r="P7" s="33"/>
      <c r="R7" s="32"/>
    </row>
    <row r="8" spans="1:18">
      <c r="A8" s="6" t="s">
        <v>52</v>
      </c>
      <c r="B8" s="37">
        <f t="shared" si="0"/>
        <v>17157.451928672199</v>
      </c>
      <c r="C8" s="33"/>
      <c r="D8" s="37">
        <f>IF(ISERROR(TER_handel_gas_kWh/1000),0,TER_handel_gas_kWh/1000)*0.902</f>
        <v>4278.3103084057484</v>
      </c>
      <c r="E8" s="33">
        <f>$C$28*'E Balans VL '!I13/100/3.6*1000000</f>
        <v>88.084615029968973</v>
      </c>
      <c r="F8" s="33">
        <f>$C$28*('E Balans VL '!L13+'E Balans VL '!N13)/100/3.6*1000000</f>
        <v>2645.4139775542408</v>
      </c>
      <c r="G8" s="34"/>
      <c r="H8" s="33"/>
      <c r="I8" s="33"/>
      <c r="J8" s="33">
        <f>$C$28*('E Balans VL '!D13+'E Balans VL '!E13)/100/3.6*1000000</f>
        <v>0</v>
      </c>
      <c r="K8" s="33"/>
      <c r="L8" s="33"/>
      <c r="M8" s="33"/>
      <c r="N8" s="33">
        <f>$C$28*'E Balans VL '!Y13/100/3.6*1000000</f>
        <v>8.0247497019314977</v>
      </c>
      <c r="O8" s="33"/>
      <c r="P8" s="33"/>
      <c r="R8" s="32"/>
    </row>
    <row r="9" spans="1:18">
      <c r="A9" s="32" t="s">
        <v>51</v>
      </c>
      <c r="B9" s="37">
        <f t="shared" si="0"/>
        <v>420.27645916883199</v>
      </c>
      <c r="C9" s="33"/>
      <c r="D9" s="37">
        <f>IF(ISERROR(TER_gezond_gas_kWh/1000),0,TER_gezond_gas_kWh/1000)*0.902</f>
        <v>1716.0172111257771</v>
      </c>
      <c r="E9" s="33">
        <f>$C$29*'E Balans VL '!I10/100/3.6*1000000</f>
        <v>0.17420159922381076</v>
      </c>
      <c r="F9" s="33">
        <f>$C$29*('E Balans VL '!L10+'E Balans VL '!N10)/100/3.6*1000000</f>
        <v>103.50806432482624</v>
      </c>
      <c r="G9" s="34"/>
      <c r="H9" s="33"/>
      <c r="I9" s="33"/>
      <c r="J9" s="33">
        <f>$C$29*('E Balans VL '!D10+'E Balans VL '!E10)/100/3.6*1000000</f>
        <v>0</v>
      </c>
      <c r="K9" s="33"/>
      <c r="L9" s="33"/>
      <c r="M9" s="33"/>
      <c r="N9" s="33">
        <f>$C$29*'E Balans VL '!Y10/100/3.6*1000000</f>
        <v>3.6322288440392358</v>
      </c>
      <c r="O9" s="33"/>
      <c r="P9" s="33"/>
      <c r="R9" s="32"/>
    </row>
    <row r="10" spans="1:18">
      <c r="A10" s="32" t="s">
        <v>50</v>
      </c>
      <c r="B10" s="37">
        <f t="shared" si="0"/>
        <v>1456.8059145662801</v>
      </c>
      <c r="C10" s="33"/>
      <c r="D10" s="37">
        <f>IF(ISERROR(TER_ander_gas_kWh/1000),0,TER_ander_gas_kWh/1000)*0.902</f>
        <v>3214.4153725712213</v>
      </c>
      <c r="E10" s="33">
        <f>$C$30*'E Balans VL '!I14/100/3.6*1000000</f>
        <v>8.8807247985276199</v>
      </c>
      <c r="F10" s="33">
        <f>$C$30*('E Balans VL '!L14+'E Balans VL '!N14)/100/3.6*1000000</f>
        <v>386.21920392884562</v>
      </c>
      <c r="G10" s="34"/>
      <c r="H10" s="33"/>
      <c r="I10" s="33"/>
      <c r="J10" s="33">
        <f>$C$30*('E Balans VL '!D14+'E Balans VL '!E14)/100/3.6*1000000</f>
        <v>0</v>
      </c>
      <c r="K10" s="33"/>
      <c r="L10" s="33"/>
      <c r="M10" s="33"/>
      <c r="N10" s="33">
        <f>$C$30*'E Balans VL '!Y14/100/3.6*1000000</f>
        <v>335.76228404872006</v>
      </c>
      <c r="O10" s="33"/>
      <c r="P10" s="33"/>
      <c r="R10" s="32"/>
    </row>
    <row r="11" spans="1:18">
      <c r="A11" s="32" t="s">
        <v>55</v>
      </c>
      <c r="B11" s="37">
        <f t="shared" si="0"/>
        <v>30.981150295058999</v>
      </c>
      <c r="C11" s="33"/>
      <c r="D11" s="37">
        <f>IF(ISERROR(TER_onderwijs_gas_kWh/1000),0,TER_onderwijs_gas_kWh/1000)*0.902</f>
        <v>1187.8550518077127</v>
      </c>
      <c r="E11" s="33">
        <f>$C$31*'E Balans VL '!I11/100/3.6*1000000</f>
        <v>2.3609249730373271E-2</v>
      </c>
      <c r="F11" s="33">
        <f>$C$31*('E Balans VL '!L11+'E Balans VL '!N11)/100/3.6*1000000</f>
        <v>22.419658191184201</v>
      </c>
      <c r="G11" s="34"/>
      <c r="H11" s="33"/>
      <c r="I11" s="33"/>
      <c r="J11" s="33">
        <f>$C$31*('E Balans VL '!D11+'E Balans VL '!E11)/100/3.6*1000000</f>
        <v>0</v>
      </c>
      <c r="K11" s="33"/>
      <c r="L11" s="33"/>
      <c r="M11" s="33"/>
      <c r="N11" s="33">
        <f>$C$31*'E Balans VL '!Y11/100/3.6*1000000</f>
        <v>9.1308854279537388E-2</v>
      </c>
      <c r="O11" s="33"/>
      <c r="P11" s="33"/>
      <c r="R11" s="32"/>
    </row>
    <row r="12" spans="1:18">
      <c r="A12" s="32" t="s">
        <v>261</v>
      </c>
      <c r="B12" s="37">
        <f t="shared" si="0"/>
        <v>5696.1961648008501</v>
      </c>
      <c r="C12" s="33"/>
      <c r="D12" s="37">
        <f>IF(ISERROR(TER_rest_gas_kWh/1000),0,TER_rest_gas_kWh/1000)*0.902</f>
        <v>5676.8110456005843</v>
      </c>
      <c r="E12" s="33">
        <f>$C$32*'E Balans VL '!I8/100/3.6*1000000</f>
        <v>122.16662491700025</v>
      </c>
      <c r="F12" s="33">
        <f>$C$32*('E Balans VL '!L8+'E Balans VL '!N8)/100/3.6*1000000</f>
        <v>1123.9606354745545</v>
      </c>
      <c r="G12" s="34"/>
      <c r="H12" s="33"/>
      <c r="I12" s="33"/>
      <c r="J12" s="33">
        <f>$C$32*('E Balans VL '!D8+'E Balans VL '!E8)/100/3.6*1000000</f>
        <v>0</v>
      </c>
      <c r="K12" s="33"/>
      <c r="L12" s="33"/>
      <c r="M12" s="33"/>
      <c r="N12" s="33">
        <f>$C$32*'E Balans VL '!Y8/100/3.6*1000000</f>
        <v>161.55964260284333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40427.266346275326</v>
      </c>
      <c r="C16" s="21">
        <f ca="1">C5+C13+C14</f>
        <v>0</v>
      </c>
      <c r="D16" s="21">
        <f t="shared" ref="D16:N16" ca="1" si="1">MAX((D5+D13+D14),0)</f>
        <v>23049.038745328278</v>
      </c>
      <c r="E16" s="21">
        <f t="shared" si="1"/>
        <v>869.10140965242647</v>
      </c>
      <c r="F16" s="21">
        <f t="shared" ca="1" si="1"/>
        <v>6763.7360960091291</v>
      </c>
      <c r="G16" s="21">
        <f t="shared" si="1"/>
        <v>0</v>
      </c>
      <c r="H16" s="21">
        <f t="shared" si="1"/>
        <v>0</v>
      </c>
      <c r="I16" s="21">
        <f t="shared" si="1"/>
        <v>0</v>
      </c>
      <c r="J16" s="21">
        <f t="shared" si="1"/>
        <v>0</v>
      </c>
      <c r="K16" s="21">
        <f t="shared" si="1"/>
        <v>0</v>
      </c>
      <c r="L16" s="21">
        <f t="shared" ca="1" si="1"/>
        <v>0</v>
      </c>
      <c r="M16" s="21">
        <f t="shared" si="1"/>
        <v>0</v>
      </c>
      <c r="N16" s="21">
        <f t="shared" ca="1" si="1"/>
        <v>593.54472315860176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0.20647519659136365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8347.2277664986177</v>
      </c>
      <c r="C20" s="23">
        <f t="shared" ref="C20:P20" ca="1" si="2">C16*C18</f>
        <v>0</v>
      </c>
      <c r="D20" s="23">
        <f t="shared" ca="1" si="2"/>
        <v>4655.9058265563126</v>
      </c>
      <c r="E20" s="23">
        <f t="shared" si="2"/>
        <v>197.2860199911008</v>
      </c>
      <c r="F20" s="23">
        <f t="shared" ca="1" si="2"/>
        <v>1805.9175376344376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10928.580809630501</v>
      </c>
      <c r="C26" s="39">
        <f>IF(ISERROR(B26*3.6/1000000/'E Balans VL '!Z12*100),0,B26*3.6/1000000/'E Balans VL '!Z12*100)</f>
        <v>0.2299738594516148</v>
      </c>
      <c r="D26" s="238" t="s">
        <v>720</v>
      </c>
      <c r="F26" s="6"/>
    </row>
    <row r="27" spans="1:18">
      <c r="A27" s="232" t="s">
        <v>53</v>
      </c>
      <c r="B27" s="33">
        <f>IF(ISERROR(TER_horeca_ele_kWh/1000),0,TER_horeca_ele_kWh/1000)</f>
        <v>4736.9739191416002</v>
      </c>
      <c r="C27" s="39">
        <f>IF(ISERROR(B27*3.6/1000000/'E Balans VL '!Z9*100),0,B27*3.6/1000000/'E Balans VL '!Z9*100)</f>
        <v>0.40106627096027264</v>
      </c>
      <c r="D27" s="238" t="s">
        <v>720</v>
      </c>
      <c r="F27" s="6"/>
    </row>
    <row r="28" spans="1:18">
      <c r="A28" s="172" t="s">
        <v>52</v>
      </c>
      <c r="B28" s="33">
        <f>IF(ISERROR(TER_handel_ele_kWh/1000),0,TER_handel_ele_kWh/1000)</f>
        <v>17157.451928672199</v>
      </c>
      <c r="C28" s="39">
        <f>IF(ISERROR(B28*3.6/1000000/'E Balans VL '!Z13*100),0,B28*3.6/1000000/'E Balans VL '!Z13*100)</f>
        <v>0.47500168412921029</v>
      </c>
      <c r="D28" s="238" t="s">
        <v>720</v>
      </c>
      <c r="F28" s="6"/>
    </row>
    <row r="29" spans="1:18">
      <c r="A29" s="232" t="s">
        <v>51</v>
      </c>
      <c r="B29" s="33">
        <f>IF(ISERROR(TER_gezond_ele_kWh/1000),0,TER_gezond_ele_kWh/1000)</f>
        <v>420.27645916883199</v>
      </c>
      <c r="C29" s="39">
        <f>IF(ISERROR(B29*3.6/1000000/'E Balans VL '!Z10*100),0,B29*3.6/1000000/'E Balans VL '!Z10*100)</f>
        <v>5.463128038417088E-2</v>
      </c>
      <c r="D29" s="238" t="s">
        <v>720</v>
      </c>
      <c r="F29" s="6"/>
    </row>
    <row r="30" spans="1:18">
      <c r="A30" s="232" t="s">
        <v>50</v>
      </c>
      <c r="B30" s="33">
        <f>IF(ISERROR(TER_ander_ele_kWh/1000),0,TER_ander_ele_kWh/1000)</f>
        <v>1456.8059145662801</v>
      </c>
      <c r="C30" s="39">
        <f>IF(ISERROR(B30*3.6/1000000/'E Balans VL '!Z14*100),0,B30*3.6/1000000/'E Balans VL '!Z14*100)</f>
        <v>0.11291581830970202</v>
      </c>
      <c r="D30" s="238" t="s">
        <v>720</v>
      </c>
      <c r="F30" s="6"/>
    </row>
    <row r="31" spans="1:18">
      <c r="A31" s="232" t="s">
        <v>55</v>
      </c>
      <c r="B31" s="33">
        <f>IF(ISERROR(TER_onderwijs_ele_kWh/1000),0,TER_onderwijs_ele_kWh/1000)</f>
        <v>30.981150295058999</v>
      </c>
      <c r="C31" s="39">
        <f>IF(ISERROR(B31*3.6/1000000/'E Balans VL '!Z11*100),0,B31*3.6/1000000/'E Balans VL '!Z11*100)</f>
        <v>5.9272219590741585E-3</v>
      </c>
      <c r="D31" s="238" t="s">
        <v>720</v>
      </c>
    </row>
    <row r="32" spans="1:18">
      <c r="A32" s="232" t="s">
        <v>261</v>
      </c>
      <c r="B32" s="33">
        <f>IF(ISERROR(TER_rest_ele_kWh/1000),0,TER_rest_ele_kWh/1000)</f>
        <v>5696.1961648008501</v>
      </c>
      <c r="C32" s="39">
        <f>IF(ISERROR(B32*3.6/1000000/'E Balans VL '!Z8*100),0,B32*3.6/1000000/'E Balans VL '!Z8*100)</f>
        <v>4.6969511576469246E-2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11079.701828677324</v>
      </c>
      <c r="C5" s="17">
        <f>IF(ISERROR('Eigen informatie GS &amp; warmtenet'!B59),0,'Eigen informatie GS &amp; warmtenet'!B59)</f>
        <v>0</v>
      </c>
      <c r="D5" s="30">
        <f>SUM(D6:D15)</f>
        <v>7635.862549909245</v>
      </c>
      <c r="E5" s="17">
        <f>SUM(E6:E15)</f>
        <v>133.19073681508513</v>
      </c>
      <c r="F5" s="17">
        <f>SUM(F6:F15)</f>
        <v>4161.1851665336962</v>
      </c>
      <c r="G5" s="18"/>
      <c r="H5" s="17"/>
      <c r="I5" s="17"/>
      <c r="J5" s="17">
        <f>SUM(J6:J15)</f>
        <v>52.110780992354222</v>
      </c>
      <c r="K5" s="17"/>
      <c r="L5" s="17"/>
      <c r="M5" s="17"/>
      <c r="N5" s="17">
        <f>SUM(N6:N15)</f>
        <v>379.50172432532963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260.18503573593597</v>
      </c>
      <c r="C8" s="33"/>
      <c r="D8" s="37">
        <f>IF( ISERROR(IND_metaal_Gas_kWH/1000),0,IND_metaal_Gas_kWH/1000)*0.902</f>
        <v>313.03729204616235</v>
      </c>
      <c r="E8" s="33">
        <f>C30*'E Balans VL '!I18/100/3.6*1000000</f>
        <v>1.8282628388922937</v>
      </c>
      <c r="F8" s="33">
        <f>C30*'E Balans VL '!L18/100/3.6*1000000+C30*'E Balans VL '!N18/100/3.6*1000000</f>
        <v>28.566794691515618</v>
      </c>
      <c r="G8" s="34"/>
      <c r="H8" s="33"/>
      <c r="I8" s="33"/>
      <c r="J8" s="40">
        <f>C30*'E Balans VL '!D18/100/3.6*1000000+C30*'E Balans VL '!E18/100/3.6*1000000</f>
        <v>5.3681780879176895</v>
      </c>
      <c r="K8" s="33"/>
      <c r="L8" s="33"/>
      <c r="M8" s="33"/>
      <c r="N8" s="33">
        <f>C30*'E Balans VL '!Y18/100/3.6*1000000</f>
        <v>0.97519225244446262</v>
      </c>
      <c r="O8" s="33"/>
      <c r="P8" s="33"/>
      <c r="R8" s="32"/>
    </row>
    <row r="9" spans="1:18">
      <c r="A9" s="6" t="s">
        <v>33</v>
      </c>
      <c r="B9" s="37">
        <f t="shared" si="0"/>
        <v>3409.6467127343999</v>
      </c>
      <c r="C9" s="33"/>
      <c r="D9" s="37">
        <f>IF( ISERROR(IND_andere_gas_kWh/1000),0,IND_andere_gas_kWh/1000)*0.902</f>
        <v>1943.7518475818677</v>
      </c>
      <c r="E9" s="33">
        <f>C31*'E Balans VL '!I19/100/3.6*1000000</f>
        <v>57.269193490959964</v>
      </c>
      <c r="F9" s="33">
        <f>C31*'E Balans VL '!L19/100/3.6*1000000+C31*'E Balans VL '!N19/100/3.6*1000000</f>
        <v>2665.4676010393632</v>
      </c>
      <c r="G9" s="34"/>
      <c r="H9" s="33"/>
      <c r="I9" s="33"/>
      <c r="J9" s="40">
        <f>C31*'E Balans VL '!D19/100/3.6*1000000+C31*'E Balans VL '!E19/100/3.6*1000000</f>
        <v>0.30752003522468979</v>
      </c>
      <c r="K9" s="33"/>
      <c r="L9" s="33"/>
      <c r="M9" s="33"/>
      <c r="N9" s="33">
        <f>C31*'E Balans VL '!Y19/100/3.6*1000000</f>
        <v>252.70952437922526</v>
      </c>
      <c r="O9" s="33"/>
      <c r="P9" s="33"/>
      <c r="R9" s="32"/>
    </row>
    <row r="10" spans="1:18">
      <c r="A10" s="6" t="s">
        <v>41</v>
      </c>
      <c r="B10" s="37">
        <f t="shared" si="0"/>
        <v>472.87963400014502</v>
      </c>
      <c r="C10" s="33"/>
      <c r="D10" s="37">
        <f>IF( ISERROR(IND_voed_gas_kWh/1000),0,IND_voed_gas_kWh/1000)*0.902</f>
        <v>230.7056911287406</v>
      </c>
      <c r="E10" s="33">
        <f>C32*'E Balans VL '!I20/100/3.6*1000000</f>
        <v>4.3143572754948618</v>
      </c>
      <c r="F10" s="33">
        <f>C32*'E Balans VL '!L20/100/3.6*1000000+C32*'E Balans VL '!N20/100/3.6*1000000</f>
        <v>76.290275773586629</v>
      </c>
      <c r="G10" s="34"/>
      <c r="H10" s="33"/>
      <c r="I10" s="33"/>
      <c r="J10" s="40">
        <f>C32*'E Balans VL '!D20/100/3.6*1000000+C32*'E Balans VL '!E20/100/3.6*1000000</f>
        <v>1.9476283677079116</v>
      </c>
      <c r="K10" s="33"/>
      <c r="L10" s="33"/>
      <c r="M10" s="33"/>
      <c r="N10" s="33">
        <f>C32*'E Balans VL '!Y20/100/3.6*1000000</f>
        <v>6.9178561693655469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329.96128319529299</v>
      </c>
      <c r="C13" s="33"/>
      <c r="D13" s="37">
        <f>IF( ISERROR(IND_papier_gas_kWh/1000),0,IND_papier_gas_kWh/1000)*0.902</f>
        <v>0</v>
      </c>
      <c r="E13" s="33">
        <f>C35*'E Balans VL '!I23/100/3.6*1000000</f>
        <v>10.15204756166373</v>
      </c>
      <c r="F13" s="33">
        <f>C35*'E Balans VL '!L23/100/3.6*1000000+C35*'E Balans VL '!N23/100/3.6*1000000</f>
        <v>70.062311887901856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6607.0291630115498</v>
      </c>
      <c r="C15" s="33"/>
      <c r="D15" s="37">
        <f>IF( ISERROR(IND_rest_gas_kWh/1000),0,IND_rest_gas_kWh/1000)*0.902</f>
        <v>5148.3677191524748</v>
      </c>
      <c r="E15" s="33">
        <f>C37*'E Balans VL '!I15/100/3.6*1000000</f>
        <v>59.626875648074289</v>
      </c>
      <c r="F15" s="33">
        <f>C37*'E Balans VL '!L15/100/3.6*1000000+C37*'E Balans VL '!N15/100/3.6*1000000</f>
        <v>1320.7981831413285</v>
      </c>
      <c r="G15" s="34"/>
      <c r="H15" s="33"/>
      <c r="I15" s="33"/>
      <c r="J15" s="40">
        <f>C37*'E Balans VL '!D15/100/3.6*1000000+C37*'E Balans VL '!E15/100/3.6*1000000</f>
        <v>44.487454501503933</v>
      </c>
      <c r="K15" s="33"/>
      <c r="L15" s="33"/>
      <c r="M15" s="33"/>
      <c r="N15" s="33">
        <f>C37*'E Balans VL '!Y15/100/3.6*1000000</f>
        <v>118.89915152429437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11079.701828677324</v>
      </c>
      <c r="C18" s="21">
        <f>C5+C16</f>
        <v>0</v>
      </c>
      <c r="D18" s="21">
        <f>MAX((D5+D16),0)</f>
        <v>7635.862549909245</v>
      </c>
      <c r="E18" s="21">
        <f>MAX((E5+E16),0)</f>
        <v>133.19073681508513</v>
      </c>
      <c r="F18" s="21">
        <f>MAX((F5+F16),0)</f>
        <v>4161.1851665336962</v>
      </c>
      <c r="G18" s="21"/>
      <c r="H18" s="21"/>
      <c r="I18" s="21"/>
      <c r="J18" s="21">
        <f>MAX((J5+J16),0)</f>
        <v>52.110780992354222</v>
      </c>
      <c r="K18" s="21"/>
      <c r="L18" s="21">
        <f>MAX((L5+L16),0)</f>
        <v>0</v>
      </c>
      <c r="M18" s="21"/>
      <c r="N18" s="21">
        <f>MAX((N5+N16),0)</f>
        <v>379.50172432532963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0.20647519659136365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2287.683613249842</v>
      </c>
      <c r="C22" s="23">
        <f ca="1">C18*C20</f>
        <v>0</v>
      </c>
      <c r="D22" s="23">
        <f>D18*D20</f>
        <v>1542.4442350816676</v>
      </c>
      <c r="E22" s="23">
        <f>E18*E20</f>
        <v>30.234297257024327</v>
      </c>
      <c r="F22" s="23">
        <f>F18*F20</f>
        <v>1111.0364394644969</v>
      </c>
      <c r="G22" s="23"/>
      <c r="H22" s="23"/>
      <c r="I22" s="23"/>
      <c r="J22" s="23">
        <f>J18*J20</f>
        <v>18.447216471293395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260.18503573593597</v>
      </c>
      <c r="C30" s="39">
        <f>IF(ISERROR(B30*3.6/1000000/'E Balans VL '!Z18*100),0,B30*3.6/1000000/'E Balans VL '!Z18*100)</f>
        <v>1.7320676711238134E-2</v>
      </c>
      <c r="D30" s="238" t="s">
        <v>720</v>
      </c>
    </row>
    <row r="31" spans="1:18">
      <c r="A31" s="6" t="s">
        <v>33</v>
      </c>
      <c r="B31" s="37">
        <f>IF( ISERROR(IND_ander_ele_kWh/1000),0,IND_ander_ele_kWh/1000)</f>
        <v>3409.6467127343999</v>
      </c>
      <c r="C31" s="39">
        <f>IF(ISERROR(B31*3.6/1000000/'E Balans VL '!Z19*100),0,B31*3.6/1000000/'E Balans VL '!Z19*100)</f>
        <v>0.15113612652681002</v>
      </c>
      <c r="D31" s="238" t="s">
        <v>720</v>
      </c>
    </row>
    <row r="32" spans="1:18">
      <c r="A32" s="172" t="s">
        <v>41</v>
      </c>
      <c r="B32" s="37">
        <f>IF( ISERROR(IND_voed_ele_kWh/1000),0,IND_voed_ele_kWh/1000)</f>
        <v>472.87963400014502</v>
      </c>
      <c r="C32" s="39">
        <f>IF(ISERROR(B32*3.6/1000000/'E Balans VL '!Z20*100),0,B32*3.6/1000000/'E Balans VL '!Z20*100)</f>
        <v>1.5795536291707296E-2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329.96128319529299</v>
      </c>
      <c r="C35" s="39">
        <f>IF(ISERROR(B35*3.6/1000000/'E Balans VL '!Z22*100),0,B35*3.6/1000000/'E Balans VL '!Z22*100)</f>
        <v>6.4173845162813006E-2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6607.0291630115498</v>
      </c>
      <c r="C37" s="39">
        <f>IF(ISERROR(B37*3.6/1000000/'E Balans VL '!Z15*100),0,B37*3.6/1000000/'E Balans VL '!Z15*100)</f>
        <v>4.9145533201574533E-2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58.6103794515248</v>
      </c>
      <c r="C5" s="17">
        <f>'Eigen informatie GS &amp; warmtenet'!B60</f>
        <v>0</v>
      </c>
      <c r="D5" s="30">
        <f>IF(ISERROR(SUM(LB_lb_gas_kWh,LB_rest_gas_kWh,onbekend_gas_kWh)/1000),0,SUM(LB_lb_gas_kWh,LB_rest_gas_kWh,onbekend_gas_kWh)/1000)*0.902</f>
        <v>2499.7359418352185</v>
      </c>
      <c r="E5" s="17">
        <f>B17*'E Balans VL '!I25/3.6*1000000/100</f>
        <v>0.61378058224607979</v>
      </c>
      <c r="F5" s="17">
        <f>B17*('E Balans VL '!L25/3.6*1000000+'E Balans VL '!N25/3.6*1000000)/100</f>
        <v>301.03224105776764</v>
      </c>
      <c r="G5" s="18"/>
      <c r="H5" s="17"/>
      <c r="I5" s="17"/>
      <c r="J5" s="17">
        <f>('E Balans VL '!D25+'E Balans VL '!E25)/3.6*1000000*landbouw!B17/100</f>
        <v>5.234432218814205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58.6103794515248</v>
      </c>
      <c r="C8" s="21">
        <f>C5+C6</f>
        <v>0</v>
      </c>
      <c r="D8" s="21">
        <f>MAX((D5+D6),0)</f>
        <v>2499.7359418352185</v>
      </c>
      <c r="E8" s="21">
        <f>MAX((E5+E6),0)</f>
        <v>0.61378058224607979</v>
      </c>
      <c r="F8" s="21">
        <f>MAX((F5+F6),0)</f>
        <v>301.03224105776764</v>
      </c>
      <c r="G8" s="21"/>
      <c r="H8" s="21"/>
      <c r="I8" s="21"/>
      <c r="J8" s="21">
        <f>MAX((J5+J6),0)</f>
        <v>5.234432218814205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0.20647519659136365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12.101589619548003</v>
      </c>
      <c r="C12" s="23">
        <f ca="1">C8*C10</f>
        <v>0</v>
      </c>
      <c r="D12" s="23">
        <f>D8*D10</f>
        <v>504.94666025071416</v>
      </c>
      <c r="E12" s="23">
        <f>E8*E10</f>
        <v>0.13932819216986012</v>
      </c>
      <c r="F12" s="23">
        <f>F8*F10</f>
        <v>80.375608362423961</v>
      </c>
      <c r="G12" s="23"/>
      <c r="H12" s="23"/>
      <c r="I12" s="23"/>
      <c r="J12" s="23">
        <f>J8*J10</f>
        <v>1.8529890054602285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9.0212687869920764E-3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1.9391146024146921</v>
      </c>
      <c r="C26" s="248">
        <f>B26*'GWP N2O_CH4'!B5</f>
        <v>40.721406650708538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0.13220889061354854</v>
      </c>
      <c r="C27" s="248">
        <f>B27*'GWP N2O_CH4'!B5</f>
        <v>2.7763867028845195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3.0069679848022755E-2</v>
      </c>
      <c r="C28" s="248">
        <f>B28*'GWP N2O_CH4'!B4</f>
        <v>9.3216007528870541</v>
      </c>
      <c r="D28" s="50"/>
    </row>
    <row r="29" spans="1:4">
      <c r="A29" s="41" t="s">
        <v>278</v>
      </c>
      <c r="B29" s="248">
        <f>B34*'ha_N2O bodem landbouw'!B4</f>
        <v>1.0256651097022071</v>
      </c>
      <c r="C29" s="248">
        <f>B29*'GWP N2O_CH4'!B4</f>
        <v>317.95618400768421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1.6950463015279207E-4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1.8060209106699539E-6</v>
      </c>
      <c r="C5" s="446" t="s">
        <v>212</v>
      </c>
      <c r="D5" s="431">
        <f>SUM(D6:D11)</f>
        <v>8.2128168393783384E-6</v>
      </c>
      <c r="E5" s="431">
        <f>SUM(E6:E11)</f>
        <v>8.4576222187031282E-4</v>
      </c>
      <c r="F5" s="444" t="s">
        <v>212</v>
      </c>
      <c r="G5" s="431">
        <f>SUM(G6:G11)</f>
        <v>0.1603656591530927</v>
      </c>
      <c r="H5" s="431">
        <f>SUM(H6:H11)</f>
        <v>2.7543606817301013E-2</v>
      </c>
      <c r="I5" s="446" t="s">
        <v>212</v>
      </c>
      <c r="J5" s="446" t="s">
        <v>212</v>
      </c>
      <c r="K5" s="446" t="s">
        <v>212</v>
      </c>
      <c r="L5" s="446" t="s">
        <v>212</v>
      </c>
      <c r="M5" s="431">
        <f>SUM(M6:M11)</f>
        <v>8.1992649217139651E-3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1.6811955301276944E-6</v>
      </c>
      <c r="C6" s="432"/>
      <c r="D6" s="432">
        <f>vkm_2011_GW_PW*SUMIFS(TableVerdeelsleutelVkm[CNG],TableVerdeelsleutelVkm[Voertuigtype],"Lichte voertuigen")*SUMIFS(TableECFTransport[EnergieConsumptieFactor (PJ per km)],TableECFTransport[Index],CONCATENATE($A6,"_CNG_CNG"))</f>
        <v>7.2474385084278353E-6</v>
      </c>
      <c r="E6" s="434">
        <f>vkm_2011_GW_PW*SUMIFS(TableVerdeelsleutelVkm[LPG],TableVerdeelsleutelVkm[Voertuigtype],"Lichte voertuigen")*SUMIFS(TableECFTransport[EnergieConsumptieFactor (PJ per km)],TableECFTransport[Index],CONCATENATE($A6,"_LPG_LPG"))</f>
        <v>7.5405150745255648E-4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9.2750405498347219E-2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2.4419259699199995E-2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5.1349364618582978E-3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5.4623571919017649E-2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1.8729665856839351E-5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2.3596359600758189E-3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1.2482538054225941E-7</v>
      </c>
      <c r="C8" s="432"/>
      <c r="D8" s="434">
        <f>vkm_2011_NGW_PW*SUMIFS(TableVerdeelsleutelVkm[CNG],TableVerdeelsleutelVkm[Voertuigtype],"Lichte voertuigen")*SUMIFS(TableECFTransport[EnergieConsumptieFactor (PJ per km)],TableECFTransport[Index],CONCATENATE($A8,"_CNG_CNG"))</f>
        <v>9.6537833095050359E-7</v>
      </c>
      <c r="E8" s="434">
        <f>vkm_2011_NGW_PW*SUMIFS(TableVerdeelsleutelVkm[LPG],TableVerdeelsleutelVkm[Voertuigtype],"Lichte voertuigen")*SUMIFS(TableECFTransport[EnergieConsumptieFactor (PJ per km)],TableECFTransport[Index],CONCATENATE($A8,"_LPG_LPG"))</f>
        <v>9.1710714417756386E-5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1.0699458302113165E-2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3.1049346591024898E-3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6.0567751591311236E-4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2.2922234336146931E-3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6.8279314169110207E-7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9.9014983866736248E-5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0.50167247518609837</v>
      </c>
      <c r="C14" s="21"/>
      <c r="D14" s="21">
        <f t="shared" ref="D14:M14" si="0">((D5)*10^9/3600)+D12</f>
        <v>2.2813380109384274</v>
      </c>
      <c r="E14" s="21">
        <f t="shared" si="0"/>
        <v>234.93395051953135</v>
      </c>
      <c r="F14" s="21"/>
      <c r="G14" s="21">
        <f t="shared" si="0"/>
        <v>44546.016431414639</v>
      </c>
      <c r="H14" s="21">
        <f t="shared" si="0"/>
        <v>7651.0018936947254</v>
      </c>
      <c r="I14" s="21"/>
      <c r="J14" s="21"/>
      <c r="K14" s="21"/>
      <c r="L14" s="21"/>
      <c r="M14" s="21">
        <f t="shared" si="0"/>
        <v>2277.5735893649903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0.20647519659136365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0.10358292293852567</v>
      </c>
      <c r="C18" s="23"/>
      <c r="D18" s="23">
        <f t="shared" ref="D18:M18" si="1">D14*D16</f>
        <v>0.46083027820956235</v>
      </c>
      <c r="E18" s="23">
        <f t="shared" si="1"/>
        <v>53.330006767933618</v>
      </c>
      <c r="F18" s="23"/>
      <c r="G18" s="23">
        <f t="shared" si="1"/>
        <v>11893.786387187709</v>
      </c>
      <c r="H18" s="23">
        <f t="shared" si="1"/>
        <v>1905.0994715299867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1.7749969411079585E-3</v>
      </c>
      <c r="C50" s="322">
        <f t="shared" ref="C50:P50" si="2">SUM(C51:C52)</f>
        <v>0</v>
      </c>
      <c r="D50" s="322">
        <f t="shared" si="2"/>
        <v>0</v>
      </c>
      <c r="E50" s="322">
        <f t="shared" si="2"/>
        <v>0</v>
      </c>
      <c r="F50" s="322">
        <f t="shared" si="2"/>
        <v>0</v>
      </c>
      <c r="G50" s="322">
        <f t="shared" si="2"/>
        <v>4.8532175882057488E-3</v>
      </c>
      <c r="H50" s="322">
        <f t="shared" si="2"/>
        <v>0</v>
      </c>
      <c r="I50" s="322">
        <f t="shared" si="2"/>
        <v>0</v>
      </c>
      <c r="J50" s="322">
        <f t="shared" si="2"/>
        <v>0</v>
      </c>
      <c r="K50" s="322">
        <f t="shared" si="2"/>
        <v>0</v>
      </c>
      <c r="L50" s="322">
        <f t="shared" si="2"/>
        <v>0</v>
      </c>
      <c r="M50" s="322">
        <f t="shared" si="2"/>
        <v>2.0687158109512557E-4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4.8532175882057488E-3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2.0687158109512557E-4</v>
      </c>
      <c r="N51" s="324"/>
      <c r="O51" s="324"/>
      <c r="P51" s="327"/>
    </row>
    <row r="52" spans="1:18">
      <c r="A52" s="4" t="s">
        <v>331</v>
      </c>
      <c r="B52" s="328">
        <f>vkm_2011_tram*SUMIFS(TableECFTransport[EnergieConsumptieFactor (PJ per km)],TableECFTransport[Index],"Tram_gemiddeld_Electric_Electric")</f>
        <v>1.7749969411079585E-3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493.05470586332183</v>
      </c>
      <c r="C54" s="21">
        <f t="shared" ref="C54:P54" si="3">(C50)*10^9/3600</f>
        <v>0</v>
      </c>
      <c r="D54" s="21">
        <f t="shared" si="3"/>
        <v>0</v>
      </c>
      <c r="E54" s="21">
        <f t="shared" si="3"/>
        <v>0</v>
      </c>
      <c r="F54" s="21">
        <f t="shared" si="3"/>
        <v>0</v>
      </c>
      <c r="G54" s="21">
        <f t="shared" si="3"/>
        <v>1348.1159967238193</v>
      </c>
      <c r="H54" s="21">
        <f t="shared" si="3"/>
        <v>0</v>
      </c>
      <c r="I54" s="21">
        <f t="shared" si="3"/>
        <v>0</v>
      </c>
      <c r="J54" s="21">
        <f t="shared" si="3"/>
        <v>0</v>
      </c>
      <c r="K54" s="21">
        <f t="shared" si="3"/>
        <v>0</v>
      </c>
      <c r="L54" s="21">
        <f t="shared" si="3"/>
        <v>0</v>
      </c>
      <c r="M54" s="21">
        <f t="shared" si="3"/>
        <v>57.464328081979318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0.20647519659136365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101.80356732342635</v>
      </c>
      <c r="C58" s="23">
        <f t="shared" ref="C58:P58" ca="1" si="4">C54*C56</f>
        <v>0</v>
      </c>
      <c r="D58" s="23">
        <f t="shared" si="4"/>
        <v>0</v>
      </c>
      <c r="E58" s="23">
        <f t="shared" si="4"/>
        <v>0</v>
      </c>
      <c r="F58" s="23">
        <f t="shared" si="4"/>
        <v>0</v>
      </c>
      <c r="G58" s="23">
        <f t="shared" si="4"/>
        <v>359.94697112525978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709</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3798.3918855343309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4507.3918855343309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2018-06-27T08:59:19Z</dcterms:modified>
</cp:coreProperties>
</file>