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J8" i="18"/>
  <c r="F13" i="15"/>
  <c r="D6" i="17"/>
  <c r="L68" i="14"/>
  <c r="O80"/>
  <c r="H68"/>
  <c r="D8" i="17"/>
  <c r="E22" i="14" s="1"/>
  <c r="C97" i="18"/>
  <c r="I100" s="1"/>
  <c r="H7" s="1"/>
  <c r="I67" i="14" s="1"/>
  <c r="F16" i="16"/>
  <c r="D13" i="15"/>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E31" i="20"/>
  <c r="F43" i="14" s="1"/>
  <c r="H14" i="22"/>
  <c r="F8" i="17"/>
  <c r="G22" i="14" s="1"/>
  <c r="B100" i="18"/>
  <c r="C7" s="1"/>
  <c r="D67" i="14" s="1"/>
  <c r="E9"/>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I81" i="14"/>
  <c r="H19" i="18"/>
  <c r="C9"/>
  <c r="H9"/>
  <c r="L21" i="48"/>
  <c r="D7"/>
  <c r="D24" s="1"/>
  <c r="M28"/>
  <c r="C100" i="18"/>
  <c r="I16"/>
  <c r="L5" i="17"/>
  <c r="L8" s="1"/>
  <c r="B35" i="13"/>
  <c r="J12" i="17"/>
  <c r="K48" i="14" s="1"/>
  <c r="F100" i="18"/>
  <c r="I7" s="1"/>
  <c r="E19"/>
  <c r="F81" i="14"/>
  <c r="D16" i="15"/>
  <c r="D12" i="17"/>
  <c r="E48" i="14" s="1"/>
  <c r="D100" i="18"/>
  <c r="G100"/>
  <c r="G31" i="20"/>
  <c r="H43" i="14" s="1"/>
  <c r="E100" i="18"/>
  <c r="E7" s="1"/>
  <c r="H100"/>
  <c r="O78" i="14"/>
  <c r="D81"/>
  <c r="O79"/>
  <c r="M23" i="48"/>
  <c r="L27"/>
  <c r="B9" i="18"/>
  <c r="M31" i="20"/>
  <c r="N43" i="14" s="1"/>
  <c r="M12" i="22"/>
  <c r="O18" i="16"/>
  <c r="B34" i="13"/>
  <c r="K22" i="14"/>
  <c r="M13"/>
  <c r="L8" i="48"/>
  <c r="L25" s="1"/>
  <c r="L22" i="16"/>
  <c r="M39" i="14" s="1"/>
  <c r="J19" i="18"/>
  <c r="C7" i="48"/>
  <c r="D22" i="14"/>
  <c r="M22" i="48"/>
  <c r="B36" i="13"/>
  <c r="B48" s="1"/>
  <c r="C48" s="1"/>
  <c r="N5" s="1"/>
  <c r="N8" s="1"/>
  <c r="N4" i="48" s="1"/>
  <c r="N21" s="1"/>
  <c r="J7" i="18"/>
  <c r="O68" i="14"/>
  <c r="C68"/>
  <c r="F22"/>
  <c r="E8" i="17"/>
  <c r="D69" i="14"/>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L7" l="1"/>
  <c r="L24" s="1"/>
  <c r="M22" i="14"/>
  <c r="R22" s="1"/>
  <c r="L12" i="17"/>
  <c r="M48" i="14" s="1"/>
  <c r="F67"/>
  <c r="E9" i="18"/>
  <c r="O22" i="14"/>
  <c r="N12" i="17"/>
  <c r="O48" i="14" s="1"/>
  <c r="N7" i="48"/>
  <c r="N24" s="1"/>
  <c r="J78" i="14"/>
  <c r="I19" i="18"/>
  <c r="E13" i="14"/>
  <c r="E15" s="1"/>
  <c r="E23" s="1"/>
  <c r="E19"/>
  <c r="E20" s="1"/>
  <c r="O81"/>
  <c r="B17" i="6"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F69"/>
  <c r="O67"/>
  <c r="Q7" i="48"/>
  <c r="L31"/>
  <c r="J20" i="15"/>
  <c r="K36" i="14" s="1"/>
  <c r="M18" i="22"/>
  <c r="N45" i="14" s="1"/>
  <c r="N46" s="1"/>
  <c r="N53" s="1"/>
  <c r="M9" i="48"/>
  <c r="Q9" s="1"/>
  <c r="J5"/>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M26" i="48"/>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<sst xmlns="http://schemas.openxmlformats.org/spreadsheetml/2006/main" count="2101" uniqueCount="922">
  <si>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</si>
  <si>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</si>
  <si>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</si>
  <si>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</si>
  <si>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</si>
  <si>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</si>
  <si>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</si>
  <si>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</si>
  <si>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</si>
  <si>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</si>
  <si>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</si>
  <si>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</si>
  <si>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</si>
  <si>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</si>
  <si>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</si>
  <si>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</si>
  <si>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</si>
  <si>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</si>
  <si>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</si>
  <si>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</si>
  <si>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</si>
  <si>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</si>
  <si>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</si>
  <si>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</si>
  <si>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</si>
  <si>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</si>
  <si>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</si>
  <si>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</si>
  <si>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</si>
  <si>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</si>
  <si>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</si>
  <si>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</si>
  <si>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</si>
  <si>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</si>
  <si>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</si>
  <si>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</si>
  <si>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</si>
  <si>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</si>
  <si>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</si>
  <si>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</si>
  <si>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</si>
  <si>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</si>
  <si>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</si>
  <si>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</si>
  <si>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</si>
  <si>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</si>
  <si>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</si>
  <si>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</si>
  <si>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</si>
  <si>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</si>
  <si>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</si>
  <si>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</si>
  <si>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</si>
  <si>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</si>
  <si>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</si>
  <si>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</si>
  <si>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</si>
  <si>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</si>
  <si>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</si>
  <si>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</si>
  <si>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</si>
  <si>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</si>
  <si>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</si>
  <si>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</si>
  <si>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</si>
  <si>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</si>
  <si>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</si>
  <si>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</si>
  <si>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</si>
  <si>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</si>
  <si>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</si>
  <si>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</si>
  <si>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</si>
  <si>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</si>
  <si>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</si>
  <si>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</si>
  <si>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</si>
  <si>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</si>
  <si>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</si>
  <si>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</si>
  <si>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</si>
  <si>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</si>
  <si>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</si>
  <si>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</si>
  <si>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</si>
  <si>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</si>
  <si>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</si>
  <si>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</si>
  <si>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</si>
  <si>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</si>
  <si>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</si>
  <si>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</si>
  <si>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</si>
  <si>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</si>
  <si>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</si>
  <si>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</si>
  <si>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</si>
  <si>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</si>
  <si>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</si>
  <si>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</si>
  <si>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</si>
  <si>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</si>
  <si>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</si>
  <si>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</si>
  <si>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</si>
  <si>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</si>
  <si>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</si>
  <si>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</si>
  <si>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</si>
  <si>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</si>
  <si>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</si>
  <si>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</si>
  <si>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</si>
  <si>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</si>
  <si>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</si>
  <si>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</si>
  <si>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</si>
  <si>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</si>
  <si>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</si>
  <si>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</si>
  <si>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</si>
  <si>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</si>
  <si>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</si>
  <si>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</si>
  <si>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</si>
  <si>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</si>
  <si>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</si>
  <si>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</si>
  <si>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</si>
  <si>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</si>
  <si>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</si>
  <si>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</si>
  <si>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</si>
  <si>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</si>
  <si>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</si>
  <si>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</si>
  <si>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</si>
  <si>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</si>
  <si>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</si>
  <si>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</si>
  <si>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</si>
  <si>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</si>
  <si>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</si>
  <si>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</si>
  <si>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</si>
  <si>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</si>
  <si>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</si>
  <si>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</si>
  <si>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</si>
  <si>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</si>
  <si>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</si>
  <si>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</si>
  <si>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</si>
  <si>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</si>
  <si>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</si>
  <si>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</si>
  <si>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</si>
  <si>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</si>
  <si>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</si>
  <si>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</si>
  <si>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</si>
  <si>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</si>
  <si>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</si>
  <si>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</si>
  <si>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</si>
  <si>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</si>
  <si>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</si>
  <si>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</si>
  <si>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</si>
  <si>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</si>
  <si>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</si>
  <si>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</si>
  <si>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</si>
  <si>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</si>
  <si>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</si>
  <si>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</si>
  <si>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</si>
  <si>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</si>
  <si>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</si>
  <si>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</si>
  <si>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</si>
  <si>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</si>
  <si>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</si>
  <si>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</si>
  <si>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</si>
  <si>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</si>
  <si>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</si>
  <si>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</si>
  <si>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</si>
  <si>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</si>
  <si>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</si>
  <si>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</si>
  <si>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</si>
  <si>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</si>
  <si>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</si>
  <si>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</si>
  <si>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</si>
  <si>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</si>
  <si>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</si>
  <si>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</si>
  <si>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</si>
  <si>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</si>
  <si>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</si>
  <si>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</si>
  <si>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</si>
  <si>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</si>
  <si>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</si>
  <si>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</si>
  <si>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</si>
  <si>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</si>
  <si>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</si>
  <si>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</si>
  <si>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</si>
  <si>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</si>
  <si>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</si>
  <si>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</si>
  <si>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</si>
  <si>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</si>
  <si>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</si>
  <si>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</si>
  <si>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</si>
  <si>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</si>
  <si>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</si>
  <si>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</si>
  <si>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</si>
  <si>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</si>
  <si>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</si>
  <si>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</si>
  <si>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</si>
  <si>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</si>
  <si>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</si>
  <si>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</si>
  <si>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</si>
  <si>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</si>
  <si>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</si>
  <si>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</si>
  <si>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</si>
  <si>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</si>
  <si>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</si>
  <si>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</si>
  <si>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</si>
  <si>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</si>
  <si>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</si>
  <si>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</si>
  <si>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</si>
  <si>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</si>
  <si>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</si>
  <si>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</si>
  <si>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</si>
  <si>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</si>
  <si>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</si>
  <si>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</si>
  <si>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</si>
  <si>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</si>
  <si>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</si>
  <si>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</si>
  <si>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</si>
  <si>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</si>
  <si>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</si>
  <si>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</si>
  <si>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</si>
  <si>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</si>
  <si>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</si>
  <si>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</si>
  <si>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</si>
  <si>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</si>
  <si>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</si>
  <si>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</si>
  <si>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</si>
  <si>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</si>
  <si>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</si>
  <si>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</si>
  <si>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</si>
  <si>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</si>
  <si>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</si>
  <si>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</si>
  <si>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</si>
  <si>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</si>
  <si>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</si>
  <si>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</si>
  <si>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</si>
  <si>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</si>
  <si>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</si>
  <si>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</si>
  <si>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</si>
  <si>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</si>
  <si>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</si>
  <si>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</si>
  <si>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</si>
  <si>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</si>
  <si>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</si>
  <si>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</si>
  <si>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</si>
  <si>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</si>
  <si>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</si>
  <si>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</si>
  <si>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</si>
  <si>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</si>
  <si>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</si>
  <si>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</si>
  <si>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</si>
  <si>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</si>
  <si>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</si>
  <si>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</si>
  <si>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</si>
  <si>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</si>
  <si>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</si>
  <si>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</si>
  <si>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</si>
  <si>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</si>
  <si>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</si>
  <si>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</si>
  <si>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</si>
  <si>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</si>
  <si>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</si>
  <si>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</si>
  <si>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</si>
  <si>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</si>
  <si>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</si>
  <si>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</si>
  <si>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</si>
  <si>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</si>
  <si>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</si>
  <si>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</si>
  <si>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</si>
  <si>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</si>
  <si>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</si>
  <si>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</si>
  <si>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</si>
  <si>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</si>
  <si>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</si>
  <si>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</si>
  <si>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</si>
  <si>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</si>
  <si>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</si>
  <si>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</si>
  <si>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</si>
  <si>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</si>
  <si>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</si>
  <si>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</si>
  <si>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</si>
  <si>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</si>
  <si>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</si>
  <si>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</si>
  <si>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</si>
  <si>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</si>
  <si>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</si>
  <si>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</si>
  <si>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</si>
  <si>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</si>
  <si>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</si>
  <si>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</si>
  <si>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</si>
  <si>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</si>
  <si>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</si>
  <si>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</si>
  <si>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</si>
  <si>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</si>
  <si>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</si>
  <si>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</si>
  <si>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</si>
  <si>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</si>
  <si>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</si>
  <si>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</si>
  <si>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</si>
  <si>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</si>
  <si>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</si>
  <si>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</si>
  <si>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</si>
  <si>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</si>
  <si>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</si>
  <si>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</si>
  <si>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</si>
  <si>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</si>
  <si>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</si>
  <si>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</si>
  <si>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</si>
  <si>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</si>
  <si>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</si>
  <si>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</si>
  <si>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</si>
  <si>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</si>
  <si>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</si>
  <si>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</si>
  <si>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</si>
  <si>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</si>
  <si>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</si>
  <si>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</si>
  <si>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</si>
  <si>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</si>
  <si>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</si>
  <si>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</si>
  <si>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</si>
  <si>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</si>
  <si>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</si>
  <si>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</si>
  <si>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</si>
  <si>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</si>
  <si>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</si>
  <si>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</si>
  <si>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</si>
  <si>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</si>
  <si>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</si>
  <si>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</si>
  <si>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</si>
  <si>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</si>
  <si>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</si>
  <si>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</si>
  <si>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</si>
  <si>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</si>
  <si>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</si>
  <si>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</si>
  <si>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</si>
  <si>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</si>
  <si>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</si>
  <si>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</si>
  <si>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</si>
  <si>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</si>
  <si>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</si>
  <si>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</si>
  <si>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</si>
  <si>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</si>
  <si>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</si>
  <si>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</si>
  <si>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</si>
  <si>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</si>
  <si>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</si>
  <si>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</si>
  <si>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</si>
  <si>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</si>
  <si>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</si>
  <si>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</si>
  <si>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</si>
  <si>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</si>
  <si>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</si>
  <si>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</si>
  <si>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</si>
  <si>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</si>
  <si>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</si>
  <si>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</si>
  <si>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</si>
  <si>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</si>
  <si>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</si>
  <si>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</si>
  <si>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</si>
  <si>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</si>
  <si>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</si>
  <si>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</si>
  <si>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</si>
  <si>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</si>
  <si>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</si>
  <si>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</si>
  <si>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</si>
  <si>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</si>
  <si>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</si>
  <si>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</si>
  <si>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</si>
  <si>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</si>
  <si>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</si>
  <si>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</si>
  <si>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</si>
  <si>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</si>
  <si>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</si>
  <si>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</si>
  <si>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</si>
  <si>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</si>
  <si>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</si>
  <si>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</si>
  <si>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</si>
  <si>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</si>
  <si>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</si>
  <si>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</si>
  <si>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</si>
  <si>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</si>
  <si>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</si>
  <si>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</si>
  <si>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</si>
  <si>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</si>
  <si>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</si>
  <si>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</si>
  <si>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</si>
  <si>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</si>
  <si>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</si>
  <si>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</si>
  <si>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</si>
  <si>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</si>
  <si>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</si>
  <si>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</si>
  <si>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</si>
  <si>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</si>
  <si>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</si>
  <si>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</si>
  <si>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</si>
  <si>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</si>
  <si>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</si>
  <si>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</si>
  <si>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</si>
  <si>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</si>
  <si>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</si>
  <si>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</si>
  <si>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</si>
  <si>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</si>
  <si>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</si>
  <si>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</si>
  <si>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</si>
  <si>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</si>
  <si>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</si>
  <si>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</si>
  <si>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</si>
  <si>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</si>
  <si>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</si>
  <si>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</si>
  <si>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</si>
  <si>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</si>
  <si>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</si>
  <si>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</si>
  <si>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</si>
  <si>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</si>
  <si>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</si>
  <si>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</si>
  <si>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</si>
  <si>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</si>
  <si>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</si>
  <si>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</si>
  <si>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</si>
  <si>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</si>
  <si>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</si>
  <si>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</si>
  <si>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</si>
  <si>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</si>
  <si>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</si>
  <si>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</si>
  <si>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</si>
  <si>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</si>
  <si>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</si>
  <si>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</si>
  <si>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</si>
  <si>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</si>
  <si>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</si>
  <si>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</si>
  <si>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</si>
  <si>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</si>
  <si>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</si>
  <si>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</si>
  <si>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</si>
  <si>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</si>
  <si>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</si>
  <si>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</si>
  <si>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</si>
  <si>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</si>
  <si>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</si>
  <si>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</si>
  <si>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</si>
  <si>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</si>
  <si>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</si>
  <si>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</si>
  <si>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</si>
  <si>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</si>
  <si>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</si>
  <si>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</si>
  <si>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</si>
  <si>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</si>
  <si>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</si>
  <si>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</si>
  <si>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</si>
  <si>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</si>
  <si>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</si>
  <si>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</si>
  <si>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</si>
  <si>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</si>
  <si>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</si>
  <si>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</si>
  <si>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</si>
  <si>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</si>
  <si>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</si>
  <si>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</si>
  <si>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</si>
  <si>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</si>
  <si>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</si>
  <si>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</si>
  <si>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</si>
  <si>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</si>
  <si>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</si>
  <si>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</si>
  <si>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</si>
  <si>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</si>
  <si>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</si>
  <si>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</si>
  <si>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</si>
  <si>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</si>
  <si>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</si>
  <si>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</si>
  <si>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</si>
  <si>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</si>
  <si>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</si>
  <si>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</si>
  <si>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</si>
  <si>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</si>
  <si>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</si>
  <si>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</si>
  <si>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</si>
  <si>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</si>
  <si>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</si>
  <si>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</si>
  <si>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</si>
  <si>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</si>
  <si>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</si>
  <si>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</si>
  <si>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</si>
  <si>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</si>
  <si>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</si>
  <si>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</si>
  <si>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</si>
  <si>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</si>
  <si>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</si>
  <si>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</si>
  <si>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</si>
  <si>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</si>
  <si>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</si>
  <si>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</si>
  <si>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</si>
  <si>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</si>
  <si>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</si>
  <si>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</si>
  <si>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</si>
  <si>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</si>
  <si>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</si>
  <si>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</si>
  <si>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</si>
  <si>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</si>
  <si>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</si>
  <si>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</si>
  <si>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</si>
  <si>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</si>
  <si>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</si>
  <si>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</si>
  <si>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</si>
  <si>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</si>
  <si>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</si>
  <si>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</si>
  <si>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</si>
  <si>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</si>
  <si>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</si>
  <si>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</si>
  <si>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</si>
  <si>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</si>
  <si>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</si>
  <si>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</si>
  <si>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</si>
  <si>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</si>
  <si>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</si>
  <si>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</si>
  <si>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</si>
  <si>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</si>
  <si>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</si>
  <si>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</si>
  <si>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</si>
  <si>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</si>
  <si>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</si>
  <si>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</si>
  <si>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</si>
  <si>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</si>
  <si>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</si>
  <si>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</si>
  <si>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</si>
  <si>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</si>
  <si>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</si>
  <si>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</si>
  <si>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</si>
  <si>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</si>
  <si>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</si>
  <si>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</si>
  <si>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</si>
  <si>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</si>
  <si>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</si>
  <si>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</si>
  <si>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</si>
  <si>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</si>
  <si>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</si>
  <si>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</si>
  <si>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</si>
  <si>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</si>
  <si>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</si>
  <si>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</si>
  <si>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</si>
  <si>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</si>
  <si>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</si>
  <si>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</si>
  <si>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</si>
  <si>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</si>
  <si>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</si>
  <si>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</si>
  <si>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</si>
  <si>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</si>
  <si>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</si>
  <si>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</si>
  <si>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</si>
  <si>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</si>
  <si>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</si>
  <si>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</si>
  <si>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</si>
  <si>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</si>
  <si>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</si>
  <si>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</si>
  <si>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</si>
  <si>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</si>
  <si>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</si>
  <si>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</si>
  <si>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</si>
  <si>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</si>
  <si>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</si>
  <si>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</si>
  <si>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</si>
  <si>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</si>
  <si>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</si>
  <si>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</si>
  <si>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</si>
  <si>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</si>
  <si>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</si>
  <si>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</si>
  <si>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</si>
  <si>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</si>
  <si>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</si>
  <si>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</si>
  <si>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</si>
  <si>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</si>
  <si>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</si>
  <si>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</si>
  <si>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</si>
  <si>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</si>
  <si>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</si>
  <si>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</si>
  <si>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</si>
  <si>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</si>
  <si>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</si>
  <si>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</si>
  <si>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</si>
  <si>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</si>
  <si>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</si>
  <si>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</si>
  <si>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</si>
  <si>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</si>
  <si>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</si>
  <si>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</si>
  <si>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</si>
  <si>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</si>
  <si>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</si>
  <si>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</si>
  <si>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</si>
  <si>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</si>
  <si>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</si>
  <si>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</si>
  <si>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</si>
  <si>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</si>
  <si>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</si>
  <si>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</si>
  <si>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</si>
  <si>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</si>
  <si>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</si>
  <si>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</si>
  <si>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</si>
  <si>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</si>
  <si>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</si>
  <si>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</si>
  <si>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</si>
  <si>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</si>
  <si>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</si>
  <si>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</si>
  <si>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</si>
  <si>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</si>
  <si>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</si>
  <si>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</si>
  <si>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</si>
  <si>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</si>
  <si>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</si>
  <si>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</si>
  <si>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</si>
  <si>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</si>
  <si>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</si>
  <si>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</si>
  <si>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</si>
  <si>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</si>
  <si>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</si>
  <si>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</si>
  <si>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</si>
  <si>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</si>
  <si>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</si>
  <si>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</si>
  <si>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</si>
  <si>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</si>
  <si>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</si>
  <si>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</si>
  <si>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</si>
  <si>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</si>
  <si>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</si>
  <si>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</si>
  <si>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</si>
  <si>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</si>
  <si>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</si>
  <si>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</si>
  <si>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</si>
  <si>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</si>
  <si>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</si>
  <si>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</si>
  <si>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</si>
  <si>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</si>
  <si>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</si>
  <si>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</si>
  <si>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</si>
  <si>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</si>
  <si>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</si>
  <si>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</si>
  <si>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</si>
  <si>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</si>
  <si>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</si>
  <si>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</si>
  <si>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</si>
  <si>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</si>
  <si>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</si>
  <si>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</si>
  <si>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</si>
  <si>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</si>
  <si>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</si>
  <si>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</si>
  <si>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</si>
  <si>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</si>
  <si>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</si>
  <si>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</si>
  <si>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</si>
  <si>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</si>
  <si>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</si>
  <si>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</si>
  <si>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</si>
  <si>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</si>
  <si>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</si>
  <si>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</si>
  <si>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</si>
  <si>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</si>
  <si>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</si>
  <si>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</si>
  <si>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</si>
  <si>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</si>
  <si>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</si>
  <si>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</si>
  <si>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</si>
  <si>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</si>
  <si>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</si>
  <si>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</si>
  <si>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</si>
  <si>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</si>
  <si>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</si>
  <si>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</si>
  <si>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</si>
  <si>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</si>
  <si>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</si>
  <si>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</si>
  <si>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</si>
  <si>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</si>
  <si>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</si>
  <si>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</si>
  <si>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</si>
  <si>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</si>
  <si>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</si>
  <si>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</si>
  <si>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</si>
  <si>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</si>
  <si>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</si>
  <si>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</si>
  <si>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</si>
  <si>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</si>
  <si>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</si>
  <si>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</si>
  <si>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</si>
  <si>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</si>
  <si>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</si>
  <si>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</si>
  <si>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</si>
  <si>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</si>
  <si>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</si>
  <si>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</si>
  <si>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</si>
  <si>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</si>
  <si>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</si>
  <si>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</si>
  <si>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</si>
  <si>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11035</t>
  </si>
  <si>
    <t>RANST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</si>
  <si>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</si>
  <si>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</si>
  <si>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</si>
  <si>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</si>
  <si>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</si>
  <si>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</si>
  <si>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</si>
  <si>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Rafael Bossaerts</t>
  </si>
  <si>
    <t>Moorstraat 21 , 2520 Broechem</t>
  </si>
  <si>
    <t>WKK-0273 Raf Bossaerts</t>
  </si>
  <si>
    <t>interne verbrandingsmotor</t>
  </si>
  <si>
    <t>WKK interne verbrandinsgmotor (gas)</t>
  </si>
  <si>
    <t>IVEKA</t>
  </si>
  <si>
    <t>Johan Bossaerts</t>
  </si>
  <si>
    <t>Laarstraat 35 , 2520 Ranst</t>
  </si>
  <si>
    <t>WKK-0268 Johan Bossaerts</t>
  </si>
  <si>
    <t>Almo Energie bvba</t>
  </si>
  <si>
    <t>Bistweg 37 , 2520 Broechem</t>
  </si>
  <si>
    <t>WKK-0232 Almo Energie</t>
  </si>
  <si>
    <t>Cummins Cogeneration Belgium bvba</t>
  </si>
  <si>
    <t>Interleuvenlaan 62 , 3001 Heverlee</t>
  </si>
  <si>
    <t>WKK-0194 Adriplant</t>
  </si>
  <si>
    <t>Klaverstraat 4 , 2520 Ranst</t>
  </si>
  <si>
    <t>Verdonck-Van Dessel bvba</t>
  </si>
  <si>
    <t>Achterlo 17 , 2520 Broechem</t>
  </si>
  <si>
    <t>WKK-0191 Verdonck-Van Dessel</t>
  </si>
  <si>
    <t>Groeikracht Broechem NV</t>
  </si>
  <si>
    <t>Bistweg 37, 2520 Broechem</t>
  </si>
  <si>
    <t>WKK-0040a Groeikracht Broechem</t>
  </si>
  <si>
    <t>Groeikracht Abelebaan NV</t>
  </si>
  <si>
    <t>Abelebaan 66, 2520 Broechem</t>
  </si>
  <si>
    <t>WKK-0165 Groeikracht Abelebaan</t>
  </si>
  <si>
    <t>Biofors bvba in faling</t>
  </si>
  <si>
    <t>Ginnegemveld 2 , 2520 Ranst</t>
  </si>
  <si>
    <t>WKK-0315 Biofors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</si>
</sst>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11035</v>
      </c>
      <c r="B6" s="396"/>
      <c r="C6" s="397"/>
    </row>
    <row r="7" spans="1:7" s="394" customFormat="1" ht="15.75" customHeight="1">
      <c r="A7" s="398" t="str">
        <f>txtMunicipality</f>
        <v>RANST</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7258</v>
      </c>
      <c r="C9" s="336">
        <v>7647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1411</v>
      </c>
    </row>
    <row r="15" spans="1:6">
      <c r="A15" s="1194" t="s">
        <v>185</v>
      </c>
      <c r="B15" s="333">
        <v>362</v>
      </c>
    </row>
    <row r="16" spans="1:6">
      <c r="A16" s="1194" t="s">
        <v>6</v>
      </c>
      <c r="B16" s="333">
        <v>200</v>
      </c>
    </row>
    <row r="17" spans="1:6">
      <c r="A17" s="1194" t="s">
        <v>7</v>
      </c>
      <c r="B17" s="333">
        <v>244</v>
      </c>
    </row>
    <row r="18" spans="1:6">
      <c r="A18" s="1194" t="s">
        <v>8</v>
      </c>
      <c r="B18" s="333">
        <v>404</v>
      </c>
    </row>
    <row r="19" spans="1:6">
      <c r="A19" s="1194" t="s">
        <v>9</v>
      </c>
      <c r="B19" s="333">
        <v>369</v>
      </c>
    </row>
    <row r="20" spans="1:6">
      <c r="A20" s="1194" t="s">
        <v>10</v>
      </c>
      <c r="B20" s="333">
        <v>274</v>
      </c>
    </row>
    <row r="21" spans="1:6">
      <c r="A21" s="1194" t="s">
        <v>11</v>
      </c>
      <c r="B21" s="333">
        <v>736</v>
      </c>
    </row>
    <row r="22" spans="1:6">
      <c r="A22" s="1194" t="s">
        <v>12</v>
      </c>
      <c r="B22" s="333">
        <v>3300</v>
      </c>
    </row>
    <row r="23" spans="1:6">
      <c r="A23" s="1194" t="s">
        <v>13</v>
      </c>
      <c r="B23" s="333">
        <v>50</v>
      </c>
    </row>
    <row r="24" spans="1:6">
      <c r="A24" s="1194" t="s">
        <v>14</v>
      </c>
      <c r="B24" s="333">
        <v>2</v>
      </c>
    </row>
    <row r="25" spans="1:6">
      <c r="A25" s="1194" t="s">
        <v>15</v>
      </c>
      <c r="B25" s="333">
        <v>285</v>
      </c>
    </row>
    <row r="26" spans="1:6">
      <c r="A26" s="1194" t="s">
        <v>16</v>
      </c>
      <c r="B26" s="333">
        <v>199</v>
      </c>
    </row>
    <row r="27" spans="1:6">
      <c r="A27" s="1194" t="s">
        <v>17</v>
      </c>
      <c r="B27" s="333">
        <v>2</v>
      </c>
    </row>
    <row r="28" spans="1:6">
      <c r="A28" s="1194" t="s">
        <v>18</v>
      </c>
      <c r="B28" s="333">
        <v>29950</v>
      </c>
    </row>
    <row r="29" spans="1:6">
      <c r="A29" s="1194" t="s">
        <v>888</v>
      </c>
      <c r="B29" s="333">
        <v>215</v>
      </c>
    </row>
    <row r="30" spans="1:6">
      <c r="A30" s="1190" t="s">
        <v>889</v>
      </c>
      <c r="B30" s="1190">
        <v>31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3</v>
      </c>
      <c r="F35" s="333">
        <v>72583.518655706997</v>
      </c>
    </row>
    <row r="36" spans="1:6">
      <c r="A36" s="1194" t="s">
        <v>25</v>
      </c>
      <c r="B36" s="1194" t="s">
        <v>27</v>
      </c>
      <c r="C36" s="333">
        <v>4</v>
      </c>
      <c r="D36" s="333">
        <v>28719803.946889501</v>
      </c>
      <c r="E36" s="333">
        <v>0</v>
      </c>
      <c r="F36" s="333">
        <v>0</v>
      </c>
    </row>
    <row r="37" spans="1:6">
      <c r="A37" s="1194" t="s">
        <v>25</v>
      </c>
      <c r="B37" s="1194" t="s">
        <v>28</v>
      </c>
      <c r="C37" s="333">
        <v>0</v>
      </c>
      <c r="D37" s="333">
        <v>0</v>
      </c>
      <c r="E37" s="333">
        <v>0</v>
      </c>
      <c r="F37" s="333">
        <v>0</v>
      </c>
    </row>
    <row r="38" spans="1:6">
      <c r="A38" s="1194" t="s">
        <v>25</v>
      </c>
      <c r="B38" s="1194" t="s">
        <v>29</v>
      </c>
      <c r="C38" s="333">
        <v>2</v>
      </c>
      <c r="D38" s="333">
        <v>40556914.512000002</v>
      </c>
      <c r="E38" s="333">
        <v>7</v>
      </c>
      <c r="F38" s="333">
        <v>388623.87169509201</v>
      </c>
    </row>
    <row r="39" spans="1:6">
      <c r="A39" s="1194" t="s">
        <v>30</v>
      </c>
      <c r="B39" s="1194" t="s">
        <v>31</v>
      </c>
      <c r="C39" s="333">
        <v>5168</v>
      </c>
      <c r="D39" s="333">
        <v>99525656.540187106</v>
      </c>
      <c r="E39" s="333">
        <v>7040</v>
      </c>
      <c r="F39" s="333">
        <v>36244047.733895697</v>
      </c>
    </row>
    <row r="40" spans="1:6">
      <c r="A40" s="1194" t="s">
        <v>30</v>
      </c>
      <c r="B40" s="1194" t="s">
        <v>29</v>
      </c>
      <c r="C40" s="333">
        <v>0</v>
      </c>
      <c r="D40" s="333">
        <v>0</v>
      </c>
      <c r="E40" s="333">
        <v>0</v>
      </c>
      <c r="F40" s="333">
        <v>0</v>
      </c>
    </row>
    <row r="41" spans="1:6">
      <c r="A41" s="1194" t="s">
        <v>32</v>
      </c>
      <c r="B41" s="1194" t="s">
        <v>33</v>
      </c>
      <c r="C41" s="333">
        <v>36</v>
      </c>
      <c r="D41" s="333">
        <v>937677.53288243397</v>
      </c>
      <c r="E41" s="333">
        <v>142</v>
      </c>
      <c r="F41" s="333">
        <v>1237446.8470478801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8</v>
      </c>
      <c r="F44" s="333">
        <v>85570.645495045595</v>
      </c>
    </row>
    <row r="45" spans="1:6">
      <c r="A45" s="1194" t="s">
        <v>32</v>
      </c>
      <c r="B45" s="1194" t="s">
        <v>37</v>
      </c>
      <c r="C45" s="333">
        <v>0</v>
      </c>
      <c r="D45" s="333">
        <v>0</v>
      </c>
      <c r="E45" s="333">
        <v>3</v>
      </c>
      <c r="F45" s="333">
        <v>49019.772858083903</v>
      </c>
    </row>
    <row r="46" spans="1:6">
      <c r="A46" s="1194" t="s">
        <v>32</v>
      </c>
      <c r="B46" s="1194" t="s">
        <v>38</v>
      </c>
      <c r="C46" s="333">
        <v>0</v>
      </c>
      <c r="D46" s="333">
        <v>0</v>
      </c>
      <c r="E46" s="333">
        <v>0</v>
      </c>
      <c r="F46" s="333">
        <v>0</v>
      </c>
    </row>
    <row r="47" spans="1:6">
      <c r="A47" s="1194" t="s">
        <v>32</v>
      </c>
      <c r="B47" s="1194" t="s">
        <v>39</v>
      </c>
      <c r="C47" s="333">
        <v>0</v>
      </c>
      <c r="D47" s="333">
        <v>0</v>
      </c>
      <c r="E47" s="333">
        <v>3</v>
      </c>
      <c r="F47" s="333">
        <v>518306.48723750003</v>
      </c>
    </row>
    <row r="48" spans="1:6">
      <c r="A48" s="1194" t="s">
        <v>32</v>
      </c>
      <c r="B48" s="1194" t="s">
        <v>29</v>
      </c>
      <c r="C48" s="333">
        <v>40</v>
      </c>
      <c r="D48" s="333">
        <v>100486509.39313</v>
      </c>
      <c r="E48" s="333">
        <v>41</v>
      </c>
      <c r="F48" s="333">
        <v>30133230.6629637</v>
      </c>
    </row>
    <row r="49" spans="1:6">
      <c r="A49" s="1194" t="s">
        <v>32</v>
      </c>
      <c r="B49" s="1194" t="s">
        <v>40</v>
      </c>
      <c r="C49" s="333">
        <v>0</v>
      </c>
      <c r="D49" s="333">
        <v>0</v>
      </c>
      <c r="E49" s="333">
        <v>0</v>
      </c>
      <c r="F49" s="333">
        <v>0</v>
      </c>
    </row>
    <row r="50" spans="1:6">
      <c r="A50" s="1194" t="s">
        <v>32</v>
      </c>
      <c r="B50" s="1194" t="s">
        <v>41</v>
      </c>
      <c r="C50" s="333">
        <v>9</v>
      </c>
      <c r="D50" s="333">
        <v>667300.87288349599</v>
      </c>
      <c r="E50" s="333">
        <v>9</v>
      </c>
      <c r="F50" s="333">
        <v>467990.35840959201</v>
      </c>
    </row>
    <row r="51" spans="1:6">
      <c r="A51" s="1194" t="s">
        <v>42</v>
      </c>
      <c r="B51" s="1194" t="s">
        <v>43</v>
      </c>
      <c r="C51" s="333">
        <v>24</v>
      </c>
      <c r="D51" s="333">
        <v>39741711.903379597</v>
      </c>
      <c r="E51" s="333">
        <v>106</v>
      </c>
      <c r="F51" s="333">
        <v>1742535.3335267699</v>
      </c>
    </row>
    <row r="52" spans="1:6">
      <c r="A52" s="1194" t="s">
        <v>42</v>
      </c>
      <c r="B52" s="1194" t="s">
        <v>29</v>
      </c>
      <c r="C52" s="333">
        <v>5</v>
      </c>
      <c r="D52" s="333">
        <v>1734720.16763529</v>
      </c>
      <c r="E52" s="333">
        <v>5</v>
      </c>
      <c r="F52" s="333">
        <v>116078.789332375</v>
      </c>
    </row>
    <row r="53" spans="1:6">
      <c r="A53" s="1194" t="s">
        <v>44</v>
      </c>
      <c r="B53" s="1194" t="s">
        <v>45</v>
      </c>
      <c r="C53" s="333">
        <v>193</v>
      </c>
      <c r="D53" s="333">
        <v>4153471.40628574</v>
      </c>
      <c r="E53" s="333">
        <v>280</v>
      </c>
      <c r="F53" s="333">
        <v>1503219.84949601</v>
      </c>
    </row>
    <row r="54" spans="1:6">
      <c r="A54" s="1194" t="s">
        <v>46</v>
      </c>
      <c r="B54" s="1194" t="s">
        <v>47</v>
      </c>
      <c r="C54" s="333">
        <v>0</v>
      </c>
      <c r="D54" s="333">
        <v>0</v>
      </c>
      <c r="E54" s="333">
        <v>1</v>
      </c>
      <c r="F54" s="333">
        <v>1388625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23</v>
      </c>
      <c r="D57" s="333">
        <v>659834.17868104402</v>
      </c>
      <c r="E57" s="333">
        <v>107</v>
      </c>
      <c r="F57" s="333">
        <v>14282198.623294</v>
      </c>
    </row>
    <row r="58" spans="1:6">
      <c r="A58" s="1194" t="s">
        <v>49</v>
      </c>
      <c r="B58" s="1194" t="s">
        <v>51</v>
      </c>
      <c r="C58" s="333">
        <v>9</v>
      </c>
      <c r="D58" s="333">
        <v>4613733.8867188999</v>
      </c>
      <c r="E58" s="333">
        <v>11</v>
      </c>
      <c r="F58" s="333">
        <v>1630750.0026183601</v>
      </c>
    </row>
    <row r="59" spans="1:6">
      <c r="A59" s="1194" t="s">
        <v>49</v>
      </c>
      <c r="B59" s="1194" t="s">
        <v>52</v>
      </c>
      <c r="C59" s="333">
        <v>57</v>
      </c>
      <c r="D59" s="333">
        <v>2185580.7853154601</v>
      </c>
      <c r="E59" s="333">
        <v>175</v>
      </c>
      <c r="F59" s="333">
        <v>8239718.1591875805</v>
      </c>
    </row>
    <row r="60" spans="1:6">
      <c r="A60" s="1194" t="s">
        <v>49</v>
      </c>
      <c r="B60" s="1194" t="s">
        <v>53</v>
      </c>
      <c r="C60" s="333">
        <v>36</v>
      </c>
      <c r="D60" s="333">
        <v>1699138.6667632901</v>
      </c>
      <c r="E60" s="333">
        <v>50</v>
      </c>
      <c r="F60" s="333">
        <v>1241828.3386862599</v>
      </c>
    </row>
    <row r="61" spans="1:6">
      <c r="A61" s="1194" t="s">
        <v>49</v>
      </c>
      <c r="B61" s="1194" t="s">
        <v>54</v>
      </c>
      <c r="C61" s="333">
        <v>127</v>
      </c>
      <c r="D61" s="333">
        <v>7848803.1517893197</v>
      </c>
      <c r="E61" s="333">
        <v>256</v>
      </c>
      <c r="F61" s="333">
        <v>5751713.8280432299</v>
      </c>
    </row>
    <row r="62" spans="1:6">
      <c r="A62" s="1194" t="s">
        <v>49</v>
      </c>
      <c r="B62" s="1194" t="s">
        <v>55</v>
      </c>
      <c r="C62" s="333">
        <v>4</v>
      </c>
      <c r="D62" s="333">
        <v>442422.57292026799</v>
      </c>
      <c r="E62" s="333">
        <v>8</v>
      </c>
      <c r="F62" s="333">
        <v>99156.215508836394</v>
      </c>
    </row>
    <row r="63" spans="1:6">
      <c r="A63" s="1194" t="s">
        <v>49</v>
      </c>
      <c r="B63" s="1194" t="s">
        <v>29</v>
      </c>
      <c r="C63" s="333">
        <v>103</v>
      </c>
      <c r="D63" s="333">
        <v>26878309.951376799</v>
      </c>
      <c r="E63" s="333">
        <v>100</v>
      </c>
      <c r="F63" s="333">
        <v>1758508.04175369</v>
      </c>
    </row>
    <row r="64" spans="1:6">
      <c r="A64" s="1194" t="s">
        <v>56</v>
      </c>
      <c r="B64" s="1194" t="s">
        <v>57</v>
      </c>
      <c r="C64" s="333">
        <v>0</v>
      </c>
      <c r="D64" s="333">
        <v>0</v>
      </c>
      <c r="E64" s="333">
        <v>0</v>
      </c>
      <c r="F64" s="333">
        <v>0</v>
      </c>
    </row>
    <row r="65" spans="1:6">
      <c r="A65" s="1194" t="s">
        <v>56</v>
      </c>
      <c r="B65" s="1194" t="s">
        <v>29</v>
      </c>
      <c r="C65" s="333">
        <v>5</v>
      </c>
      <c r="D65" s="333">
        <v>204572.22344258599</v>
      </c>
      <c r="E65" s="333">
        <v>4</v>
      </c>
      <c r="F65" s="333">
        <v>27870.7113608537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4</v>
      </c>
      <c r="D68" s="333">
        <v>142833.06253157801</v>
      </c>
      <c r="E68" s="333">
        <v>21</v>
      </c>
      <c r="F68" s="333">
        <v>316786.32323694101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52770813</v>
      </c>
      <c r="E73" s="333">
        <v>91096804.975939333</v>
      </c>
      <c r="F73" s="333">
        <v>93910573</v>
      </c>
    </row>
    <row r="74" spans="1:6">
      <c r="A74" s="1194" t="s">
        <v>64</v>
      </c>
      <c r="B74" s="1194" t="s">
        <v>775</v>
      </c>
      <c r="C74" s="1205" t="s">
        <v>776</v>
      </c>
      <c r="D74" s="333">
        <v>4722154.7844890049</v>
      </c>
      <c r="E74" s="333">
        <v>7885033.5328513226</v>
      </c>
      <c r="F74" s="333">
        <v>7785927.5580431698</v>
      </c>
    </row>
    <row r="75" spans="1:6">
      <c r="A75" s="1194" t="s">
        <v>65</v>
      </c>
      <c r="B75" s="1194" t="s">
        <v>773</v>
      </c>
      <c r="C75" s="1205" t="s">
        <v>777</v>
      </c>
      <c r="D75" s="333">
        <v>5618966</v>
      </c>
      <c r="E75" s="333">
        <v>9335679.369380651</v>
      </c>
      <c r="F75" s="333">
        <v>9605808</v>
      </c>
    </row>
    <row r="76" spans="1:6">
      <c r="A76" s="1194" t="s">
        <v>65</v>
      </c>
      <c r="B76" s="1194" t="s">
        <v>775</v>
      </c>
      <c r="C76" s="1205" t="s">
        <v>778</v>
      </c>
      <c r="D76" s="333">
        <v>23451.7</v>
      </c>
      <c r="E76" s="333">
        <v>35266.699639233833</v>
      </c>
      <c r="F76" s="333">
        <v>35480.6</v>
      </c>
    </row>
    <row r="77" spans="1:6">
      <c r="A77" s="1194" t="s">
        <v>66</v>
      </c>
      <c r="B77" s="1194" t="s">
        <v>773</v>
      </c>
      <c r="C77" s="1205" t="s">
        <v>779</v>
      </c>
      <c r="D77" s="333">
        <v>243737951</v>
      </c>
      <c r="E77" s="333">
        <v>259368676.24453667</v>
      </c>
      <c r="F77" s="333">
        <v>245720577</v>
      </c>
    </row>
    <row r="78" spans="1:6">
      <c r="A78" s="1190" t="s">
        <v>66</v>
      </c>
      <c r="B78" s="1190" t="s">
        <v>775</v>
      </c>
      <c r="C78" s="1190" t="s">
        <v>780</v>
      </c>
      <c r="D78" s="1190">
        <v>53642081</v>
      </c>
      <c r="E78" s="1190">
        <v>59762132.29136391</v>
      </c>
      <c r="F78" s="336">
        <v>56331688</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1044082.4310219894</v>
      </c>
      <c r="C83" s="333">
        <v>962469.06027598644</v>
      </c>
      <c r="D83" s="333">
        <v>973498.883913661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1795.995337701434</v>
      </c>
    </row>
    <row r="92" spans="1:6">
      <c r="A92" s="1190" t="s">
        <v>69</v>
      </c>
      <c r="B92" s="336">
        <v>655.23787880345049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3910</v>
      </c>
    </row>
    <row r="98" spans="1:6">
      <c r="A98" s="1194" t="s">
        <v>72</v>
      </c>
      <c r="B98" s="333">
        <v>3</v>
      </c>
    </row>
    <row r="99" spans="1:6">
      <c r="A99" s="1194" t="s">
        <v>73</v>
      </c>
      <c r="B99" s="333">
        <v>58</v>
      </c>
    </row>
    <row r="100" spans="1:6">
      <c r="A100" s="1194" t="s">
        <v>74</v>
      </c>
      <c r="B100" s="333">
        <v>755</v>
      </c>
    </row>
    <row r="101" spans="1:6">
      <c r="A101" s="1194" t="s">
        <v>75</v>
      </c>
      <c r="B101" s="333">
        <v>168</v>
      </c>
    </row>
    <row r="102" spans="1:6">
      <c r="A102" s="1194" t="s">
        <v>76</v>
      </c>
      <c r="B102" s="333">
        <v>70</v>
      </c>
    </row>
    <row r="103" spans="1:6">
      <c r="A103" s="1194" t="s">
        <v>77</v>
      </c>
      <c r="B103" s="333">
        <v>164</v>
      </c>
    </row>
    <row r="104" spans="1:6">
      <c r="A104" s="1194" t="s">
        <v>78</v>
      </c>
      <c r="B104" s="333">
        <v>1316</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10</v>
      </c>
      <c r="C123" s="333">
        <v>6</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54</v>
      </c>
    </row>
    <row r="130" spans="1:6">
      <c r="A130" s="1194" t="s">
        <v>296</v>
      </c>
      <c r="B130" s="333">
        <v>0</v>
      </c>
    </row>
    <row r="131" spans="1:6">
      <c r="A131" s="1194" t="s">
        <v>297</v>
      </c>
      <c r="B131" s="333">
        <v>1</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106785.13237391169</v>
      </c>
      <c r="C3" s="43" t="s">
        <v>171</v>
      </c>
      <c r="D3" s="43"/>
      <c r="E3" s="156"/>
      <c r="F3" s="43"/>
      <c r="G3" s="43"/>
      <c r="H3" s="43"/>
      <c r="I3" s="43"/>
      <c r="J3" s="43"/>
      <c r="K3" s="96"/>
    </row>
    <row r="4" spans="1:11">
      <c r="A4" s="364" t="s">
        <v>172</v>
      </c>
      <c r="B4" s="49">
        <f>IF(ISERROR('SEAP template'!B69),0,'SEAP template'!B69)</f>
        <v>56178.233216504887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10953.806470588235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0.20731285987321194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15648.294957983193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76752.857142857145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0.203878989532046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1388.625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1388.625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0.20731285987321194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287.8798200414389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36244.047733895699</v>
      </c>
      <c r="C5" s="17">
        <f>IF(ISERROR('Eigen informatie GS &amp; warmtenet'!B57),0,'Eigen informatie GS &amp; warmtenet'!B57)</f>
        <v>0</v>
      </c>
      <c r="D5" s="30">
        <f>(SUM(HH_hh_gas_kWh,HH_rest_gas_kWh)/1000)*0.902</f>
        <v>89772.142199248774</v>
      </c>
      <c r="E5" s="17">
        <f>B46*B57</f>
        <v>2251.0905866161461</v>
      </c>
      <c r="F5" s="17">
        <f>B51*B62</f>
        <v>4191.0270571848687</v>
      </c>
      <c r="G5" s="18"/>
      <c r="H5" s="17"/>
      <c r="I5" s="17"/>
      <c r="J5" s="17">
        <f>B50*B61+C50*C61</f>
        <v>1095.8070472579434</v>
      </c>
      <c r="K5" s="17"/>
      <c r="L5" s="17"/>
      <c r="M5" s="17"/>
      <c r="N5" s="17">
        <f>B48*B59+C48*C59</f>
        <v>18865.753731203302</v>
      </c>
      <c r="O5" s="17">
        <f>B69*B70*B71</f>
        <v>93.8</v>
      </c>
      <c r="P5" s="17">
        <f>B77*B78*B79/1000-B77*B78*B79/1000/B80</f>
        <v>324.13333333333333</v>
      </c>
    </row>
    <row r="6" spans="1:16">
      <c r="A6" s="16" t="s">
        <v>633</v>
      </c>
      <c r="B6" s="830">
        <f>kWh_PV_kleiner_dan_10kW</f>
        <v>1795.995337701434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38040.043071597131</v>
      </c>
      <c r="C8" s="21">
        <f>C5</f>
        <v>0</v>
      </c>
      <c r="D8" s="21">
        <f>D5</f>
        <v>89772.142199248774</v>
      </c>
      <c r="E8" s="21">
        <f>E5</f>
        <v>2251.0905866161461</v>
      </c>
      <c r="F8" s="21">
        <f>F5</f>
        <v>4191.0270571848687</v>
      </c>
      <c r="G8" s="21"/>
      <c r="H8" s="21"/>
      <c r="I8" s="21"/>
      <c r="J8" s="21">
        <f>J5</f>
        <v>1095.8070472579434</v>
      </c>
      <c r="K8" s="21"/>
      <c r="L8" s="21">
        <f>L5</f>
        <v>0</v>
      </c>
      <c r="M8" s="21">
        <f>M5</f>
        <v>0</v>
      </c>
      <c r="N8" s="21">
        <f>N5</f>
        <v>18865.753731203302</v>
      </c>
      <c r="O8" s="21">
        <f>O5</f>
        <v>93.8</v>
      </c>
      <c r="P8" s="21">
        <f>P5</f>
        <v>324.13333333333333</v>
      </c>
    </row>
    <row r="9" spans="1:16">
      <c r="B9" s="19"/>
      <c r="C9" s="19"/>
      <c r="D9" s="260"/>
      <c r="E9" s="19"/>
      <c r="F9" s="19"/>
      <c r="G9" s="19"/>
      <c r="H9" s="19"/>
      <c r="I9" s="19"/>
      <c r="J9" s="19"/>
      <c r="K9" s="19"/>
      <c r="L9" s="19"/>
      <c r="M9" s="19"/>
      <c r="N9" s="19"/>
      <c r="O9" s="19"/>
      <c r="P9" s="19"/>
    </row>
    <row r="10" spans="1:16">
      <c r="A10" s="24" t="s">
        <v>215</v>
      </c>
      <c r="B10" s="25">
        <f ca="1">'EF ele_warmte'!B12</f>
        <v>0.20731285987321194</v>
      </c>
      <c r="C10" s="25">
        <f ca="1">'EF ele_warmte'!B22</f>
        <v>0.203878989532046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7886.1901188729626</v>
      </c>
      <c r="C12" s="23">
        <f ca="1">C10*C8</f>
        <v>0</v>
      </c>
      <c r="D12" s="23">
        <f>D8*D10</f>
        <v>18133.972724248255</v>
      </c>
      <c r="E12" s="23">
        <f>E10*E8</f>
        <v>510.99756316186517</v>
      </c>
      <c r="F12" s="23">
        <f>F10*F8</f>
        <v>1119.0042242683601</v>
      </c>
      <c r="G12" s="23"/>
      <c r="H12" s="23"/>
      <c r="I12" s="23"/>
      <c r="J12" s="23">
        <f>J10*J8</f>
        <v>387.91569472931195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3910</v>
      </c>
      <c r="C18" s="167" t="s">
        <v>111</v>
      </c>
      <c r="D18" s="229"/>
      <c r="E18" s="15"/>
    </row>
    <row r="19" spans="1:7">
      <c r="A19" s="172" t="s">
        <v>72</v>
      </c>
      <c r="B19" s="37">
        <f>aantalw2001_ander</f>
        <v>3</v>
      </c>
      <c r="C19" s="167" t="s">
        <v>111</v>
      </c>
      <c r="D19" s="230"/>
      <c r="E19" s="15"/>
    </row>
    <row r="20" spans="1:7">
      <c r="A20" s="172" t="s">
        <v>73</v>
      </c>
      <c r="B20" s="37">
        <f>aantalw2001_propaan</f>
        <v>58</v>
      </c>
      <c r="C20" s="168">
        <f>IF(ISERROR(B20/SUM($B$20,$B$21,$B$22)*100),0,B20/SUM($B$20,$B$21,$B$22)*100)</f>
        <v>5.9123343527013255</v>
      </c>
      <c r="D20" s="230"/>
      <c r="E20" s="15"/>
    </row>
    <row r="21" spans="1:7">
      <c r="A21" s="172" t="s">
        <v>74</v>
      </c>
      <c r="B21" s="37">
        <f>aantalw2001_elektriciteit</f>
        <v>755</v>
      </c>
      <c r="C21" s="168">
        <f>IF(ISERROR(B21/SUM($B$20,$B$21,$B$22)*100),0,B21/SUM($B$20,$B$21,$B$22)*100)</f>
        <v>76.962283384301728</v>
      </c>
      <c r="D21" s="230"/>
      <c r="E21" s="15"/>
    </row>
    <row r="22" spans="1:7">
      <c r="A22" s="172" t="s">
        <v>75</v>
      </c>
      <c r="B22" s="37">
        <f>aantalw2001_hout</f>
        <v>168</v>
      </c>
      <c r="C22" s="168">
        <f>IF(ISERROR(B22/SUM($B$20,$B$21,$B$22)*100),0,B22/SUM($B$20,$B$21,$B$22)*100)</f>
        <v>17.12538226299694</v>
      </c>
      <c r="D22" s="230"/>
      <c r="E22" s="15"/>
    </row>
    <row r="23" spans="1:7">
      <c r="A23" s="172" t="s">
        <v>76</v>
      </c>
      <c r="B23" s="37">
        <f>aantalw2001_niet_gespec</f>
        <v>70</v>
      </c>
      <c r="C23" s="167" t="s">
        <v>111</v>
      </c>
      <c r="D23" s="229"/>
      <c r="E23" s="15"/>
    </row>
    <row r="24" spans="1:7">
      <c r="A24" s="172" t="s">
        <v>77</v>
      </c>
      <c r="B24" s="37">
        <f>aantalw2001_steenkool</f>
        <v>164</v>
      </c>
      <c r="C24" s="167" t="s">
        <v>111</v>
      </c>
      <c r="D24" s="230"/>
      <c r="E24" s="15"/>
    </row>
    <row r="25" spans="1:7">
      <c r="A25" s="172" t="s">
        <v>78</v>
      </c>
      <c r="B25" s="37">
        <f>aantalw2001_stookolie</f>
        <v>1316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7258</v>
      </c>
      <c r="C28" s="36"/>
      <c r="D28" s="229"/>
    </row>
    <row r="29" spans="1:7" s="15" customFormat="1">
      <c r="A29" s="231" t="s">
        <v>714</v>
      </c>
      <c r="B29" s="37">
        <f>SUM(HH_hh_gas_aantal,HH_rest_gas_aantal)</f>
        <v>5168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5168</v>
      </c>
      <c r="C32" s="168">
        <f>IF(ISERROR(B32/SUM($B$32,$B$34,$B$35,$B$36,$B$38,$B$39)*100),0,B32/SUM($B$32,$B$34,$B$35,$B$36,$B$38,$B$39)*100)</f>
        <v>71.371357547300093</v>
      </c>
      <c r="D32" s="234"/>
      <c r="G32" s="15"/>
    </row>
    <row r="33" spans="1:7">
      <c r="A33" s="172" t="s">
        <v>72</v>
      </c>
      <c r="B33" s="34" t="s">
        <v>111</v>
      </c>
      <c r="C33" s="168"/>
      <c r="D33" s="234"/>
      <c r="G33" s="15"/>
    </row>
    <row r="34" spans="1:7">
      <c r="A34" s="172" t="s">
        <v>73</v>
      </c>
      <c r="B34" s="33">
        <f>IF((($B$28-$B$32-$B$39-$B$77-$B$38)*C20/100)&lt;0,0,($B$28-$B$32-$B$39-$B$77-$B$38)*C20/100)</f>
        <v>109.43730886850153</v>
      </c>
      <c r="C34" s="168">
        <f>IF(ISERROR(B34/SUM($B$32,$B$34,$B$35,$B$36,$B$38,$B$39)*100),0,B34/SUM($B$32,$B$34,$B$35,$B$36,$B$38,$B$39)*100)</f>
        <v>1.5113562887515748</v>
      </c>
      <c r="D34" s="234"/>
      <c r="G34" s="15"/>
    </row>
    <row r="35" spans="1:7">
      <c r="A35" s="172" t="s">
        <v>74</v>
      </c>
      <c r="B35" s="33">
        <f>IF((($B$28-$B$32-$B$39-$B$77-$B$38)*C21/100)&lt;0,0,($B$28-$B$32-$B$39-$B$77-$B$38)*C21/100)</f>
        <v>1424.5718654434249</v>
      </c>
      <c r="C35" s="168">
        <f>IF(ISERROR(B35/SUM($B$32,$B$34,$B$35,$B$36,$B$38,$B$39)*100),0,B35/SUM($B$32,$B$34,$B$35,$B$36,$B$38,$B$39)*100)</f>
        <v>19.67368962081791</v>
      </c>
      <c r="D35" s="234"/>
      <c r="G35" s="15"/>
    </row>
    <row r="36" spans="1:7">
      <c r="A36" s="172" t="s">
        <v>75</v>
      </c>
      <c r="B36" s="33">
        <f>IF((($B$28-$B$32-$B$39-$B$77-$B$38)*C22/100)&lt;0,0,($B$28-$B$32-$B$39-$B$77-$B$38)*C22/100)</f>
        <v>316.99082568807336</v>
      </c>
      <c r="C36" s="168">
        <f>IF(ISERROR(B36/SUM($B$32,$B$34,$B$35,$B$36,$B$38,$B$39)*100),0,B36/SUM($B$32,$B$34,$B$35,$B$36,$B$38,$B$39)*100)</f>
        <v>4.3777216639700782</v>
      </c>
      <c r="D36" s="234"/>
      <c r="G36" s="15"/>
    </row>
    <row r="37" spans="1:7">
      <c r="A37" s="172" t="s">
        <v>76</v>
      </c>
      <c r="B37" s="34" t="s">
        <v>111</v>
      </c>
      <c r="C37" s="168"/>
      <c r="D37" s="174"/>
      <c r="G37" s="15"/>
    </row>
    <row r="38" spans="1:7">
      <c r="A38" s="172" t="s">
        <v>77</v>
      </c>
      <c r="B38" s="33">
        <f>IF((B24-(B29-B18)*0.1)&lt;0,0,B24-(B29-B18)*0.1)</f>
        <v>38.199999999999989</v>
      </c>
      <c r="C38" s="168">
        <f>IF(ISERROR(B38/SUM($B$32,$B$34,$B$35,$B$36,$B$38,$B$39)*100),0,B38/SUM($B$32,$B$34,$B$35,$B$36,$B$38,$B$39)*100)</f>
        <v>0.52755144317083258</v>
      </c>
      <c r="D38" s="235"/>
      <c r="G38" s="15"/>
    </row>
    <row r="39" spans="1:7">
      <c r="A39" s="172" t="s">
        <v>78</v>
      </c>
      <c r="B39" s="33">
        <f>IF((B25-(B29-B18))&lt;0,0,B25-(B29-B18)*0.9)</f>
        <v>183.79999999999995</v>
      </c>
      <c r="C39" s="168">
        <f>IF(ISERROR(B39/SUM($B$32,$B$34,$B$35,$B$36,$B$38,$B$39)*100),0,B39/SUM($B$32,$B$34,$B$35,$B$36,$B$38,$B$39)*100)</f>
        <v>2.5383234359895033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5168</v>
      </c>
      <c r="C44" s="34" t="s">
        <v>111</v>
      </c>
      <c r="D44" s="175"/>
    </row>
    <row r="45" spans="1:7">
      <c r="A45" s="172" t="s">
        <v>72</v>
      </c>
      <c r="B45" s="33" t="str">
        <f t="shared" si="0"/>
        <v>-</v>
      </c>
      <c r="C45" s="34" t="s">
        <v>111</v>
      </c>
      <c r="D45" s="175"/>
    </row>
    <row r="46" spans="1:7">
      <c r="A46" s="172" t="s">
        <v>73</v>
      </c>
      <c r="B46" s="33">
        <f t="shared" si="0"/>
        <v>109.43730886850153</v>
      </c>
      <c r="C46" s="34" t="s">
        <v>111</v>
      </c>
      <c r="D46" s="175"/>
    </row>
    <row r="47" spans="1:7">
      <c r="A47" s="172" t="s">
        <v>74</v>
      </c>
      <c r="B47" s="33">
        <f t="shared" si="0"/>
        <v>1424.5718654434249</v>
      </c>
      <c r="C47" s="34" t="s">
        <v>111</v>
      </c>
      <c r="D47" s="175"/>
    </row>
    <row r="48" spans="1:7">
      <c r="A48" s="172" t="s">
        <v>75</v>
      </c>
      <c r="B48" s="33">
        <f t="shared" si="0"/>
        <v>316.99082568807336</v>
      </c>
      <c r="C48" s="33">
        <f>B48*10</f>
        <v>3169.9082568807335</v>
      </c>
      <c r="D48" s="235"/>
    </row>
    <row r="49" spans="1:6">
      <c r="A49" s="172" t="s">
        <v>76</v>
      </c>
      <c r="B49" s="33" t="str">
        <f t="shared" si="0"/>
        <v>-</v>
      </c>
      <c r="C49" s="34" t="s">
        <v>111</v>
      </c>
      <c r="D49" s="235"/>
    </row>
    <row r="50" spans="1:6">
      <c r="A50" s="172" t="s">
        <v>77</v>
      </c>
      <c r="B50" s="33">
        <f t="shared" si="0"/>
        <v>38.199999999999989</v>
      </c>
      <c r="C50" s="33">
        <f>B50*2</f>
        <v>76.399999999999977</v>
      </c>
      <c r="D50" s="235"/>
    </row>
    <row r="51" spans="1:6">
      <c r="A51" s="172" t="s">
        <v>78</v>
      </c>
      <c r="B51" s="33">
        <f t="shared" si="0"/>
        <v>183.79999999999995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33003.873209091958</v>
      </c>
      <c r="C5" s="17">
        <f>IF(ISERROR('Eigen informatie GS &amp; warmtenet'!B58),0,'Eigen informatie GS &amp; warmtenet'!B58)</f>
        <v>0</v>
      </c>
      <c r="D5" s="30">
        <f>SUM(D6:D12)</f>
        <v>39983.696520595702</v>
      </c>
      <c r="E5" s="17">
        <f>SUM(E6:E12)</f>
        <v>439.22106426726668</v>
      </c>
      <c r="F5" s="17">
        <f>SUM(F6:F12)</f>
        <v>6965.6304626506708</v>
      </c>
      <c r="G5" s="18"/>
      <c r="H5" s="17"/>
      <c r="I5" s="17"/>
      <c r="J5" s="17">
        <f>SUM(J6:J12)</f>
        <v>0</v>
      </c>
      <c r="K5" s="17"/>
      <c r="L5" s="17"/>
      <c r="M5" s="17"/>
      <c r="N5" s="17">
        <f>SUM(N6:N12)</f>
        <v>3404.3129640313978</v>
      </c>
      <c r="O5" s="17">
        <f>B38*B39*B40</f>
        <v>0</v>
      </c>
      <c r="P5" s="17">
        <f>B46*B47*B48/1000-B46*B47*B48/1000/B49</f>
        <v>19.066666666666666</v>
      </c>
      <c r="R5" s="32"/>
    </row>
    <row r="6" spans="1:18">
      <c r="A6" s="32" t="s">
        <v>54</v>
      </c>
      <c r="B6" s="37">
        <f>B26</f>
        <v>5751.71382804323</v>
      </c>
      <c r="C6" s="33"/>
      <c r="D6" s="37">
        <f>IF(ISERROR(TER_kantoor_gas_kWh/1000),0,TER_kantoor_gas_kWh/1000)*0.902</f>
        <v>7079.6204429139661</v>
      </c>
      <c r="E6" s="33">
        <f>$C$26*'E Balans VL '!I12/100/3.6*1000000</f>
        <v>201.33260976643101</v>
      </c>
      <c r="F6" s="33">
        <f>$C$26*('E Balans VL '!L12+'E Balans VL '!N12)/100/3.6*1000000</f>
        <v>872.0833044171693</v>
      </c>
      <c r="G6" s="34"/>
      <c r="H6" s="33"/>
      <c r="I6" s="33"/>
      <c r="J6" s="33">
        <f>$C$26*('E Balans VL '!D12+'E Balans VL '!E12)/100/3.6*1000000</f>
        <v>0</v>
      </c>
      <c r="K6" s="33"/>
      <c r="L6" s="33"/>
      <c r="M6" s="33"/>
      <c r="N6" s="33">
        <f>$C$26*'E Balans VL '!Y12/100/3.6*1000000</f>
        <v>44.458947653890739</v>
      </c>
      <c r="O6" s="33"/>
      <c r="P6" s="33"/>
      <c r="R6" s="32"/>
    </row>
    <row r="7" spans="1:18">
      <c r="A7" s="32" t="s">
        <v>53</v>
      </c>
      <c r="B7" s="37">
        <f t="shared" ref="B7:B12" si="0">B27</f>
        <v>1241.8283386862599</v>
      </c>
      <c r="C7" s="33"/>
      <c r="D7" s="37">
        <f>IF(ISERROR(TER_horeca_gas_kWh/1000),0,TER_horeca_gas_kWh/1000)*0.902</f>
        <v>1532.6230774204878</v>
      </c>
      <c r="E7" s="33">
        <f>$C$27*'E Balans VL '!I9/100/3.6*1000000</f>
        <v>70.055630597384251</v>
      </c>
      <c r="F7" s="33">
        <f>$C$27*('E Balans VL '!L9+'E Balans VL '!N9)/100/3.6*1000000</f>
        <v>216.33336896540979</v>
      </c>
      <c r="G7" s="34"/>
      <c r="H7" s="33"/>
      <c r="I7" s="33"/>
      <c r="J7" s="33">
        <f>$C$27*('E Balans VL '!D9+'E Balans VL '!E9)/100/3.6*1000000</f>
        <v>0</v>
      </c>
      <c r="K7" s="33"/>
      <c r="L7" s="33"/>
      <c r="M7" s="33"/>
      <c r="N7" s="33">
        <f>$C$27*'E Balans VL '!Y9/100/3.6*1000000</f>
        <v>0</v>
      </c>
      <c r="O7" s="33"/>
      <c r="P7" s="33"/>
      <c r="R7" s="32"/>
    </row>
    <row r="8" spans="1:18">
      <c r="A8" s="6" t="s">
        <v>52</v>
      </c>
      <c r="B8" s="37">
        <f t="shared" si="0"/>
        <v>8239.7181591875797</v>
      </c>
      <c r="C8" s="33"/>
      <c r="D8" s="37">
        <f>IF(ISERROR(TER_handel_gas_kWh/1000),0,TER_handel_gas_kWh/1000)*0.902</f>
        <v>1971.393868354545</v>
      </c>
      <c r="E8" s="33">
        <f>$C$28*'E Balans VL '!I13/100/3.6*1000000</f>
        <v>42.301875886045465</v>
      </c>
      <c r="F8" s="33">
        <f>$C$28*('E Balans VL '!L13+'E Balans VL '!N13)/100/3.6*1000000</f>
        <v>1270.437223431534</v>
      </c>
      <c r="G8" s="34"/>
      <c r="H8" s="33"/>
      <c r="I8" s="33"/>
      <c r="J8" s="33">
        <f>$C$28*('E Balans VL '!D13+'E Balans VL '!E13)/100/3.6*1000000</f>
        <v>0</v>
      </c>
      <c r="K8" s="33"/>
      <c r="L8" s="33"/>
      <c r="M8" s="33"/>
      <c r="N8" s="33">
        <f>$C$28*'E Balans VL '!Y13/100/3.6*1000000</f>
        <v>3.8538167623505148</v>
      </c>
      <c r="O8" s="33"/>
      <c r="P8" s="33"/>
      <c r="R8" s="32"/>
    </row>
    <row r="9" spans="1:18">
      <c r="A9" s="32" t="s">
        <v>51</v>
      </c>
      <c r="B9" s="37">
        <f t="shared" si="0"/>
        <v>1630.7500026183602</v>
      </c>
      <c r="C9" s="33"/>
      <c r="D9" s="37">
        <f>IF(ISERROR(TER_gezond_gas_kWh/1000),0,TER_gezond_gas_kWh/1000)*0.902</f>
        <v>4161.5879658204476</v>
      </c>
      <c r="E9" s="33">
        <f>$C$29*'E Balans VL '!I10/100/3.6*1000000</f>
        <v>0.67593426230002718</v>
      </c>
      <c r="F9" s="33">
        <f>$C$29*('E Balans VL '!L10+'E Balans VL '!N10)/100/3.6*1000000</f>
        <v>401.6303375700702</v>
      </c>
      <c r="G9" s="34"/>
      <c r="H9" s="33"/>
      <c r="I9" s="33"/>
      <c r="J9" s="33">
        <f>$C$29*('E Balans VL '!D10+'E Balans VL '!E10)/100/3.6*1000000</f>
        <v>0</v>
      </c>
      <c r="K9" s="33"/>
      <c r="L9" s="33"/>
      <c r="M9" s="33"/>
      <c r="N9" s="33">
        <f>$C$29*'E Balans VL '!Y10/100/3.6*1000000</f>
        <v>14.093716332915038</v>
      </c>
      <c r="O9" s="33"/>
      <c r="P9" s="33"/>
      <c r="R9" s="32"/>
    </row>
    <row r="10" spans="1:18">
      <c r="A10" s="32" t="s">
        <v>50</v>
      </c>
      <c r="B10" s="37">
        <f t="shared" si="0"/>
        <v>14282.198623294</v>
      </c>
      <c r="C10" s="33"/>
      <c r="D10" s="37">
        <f>IF(ISERROR(TER_ander_gas_kWh/1000),0,TER_ander_gas_kWh/1000)*0.902</f>
        <v>595.17042917030176</v>
      </c>
      <c r="E10" s="33">
        <f>$C$30*'E Balans VL '!I14/100/3.6*1000000</f>
        <v>87.064635187965806</v>
      </c>
      <c r="F10" s="33">
        <f>$C$30*('E Balans VL '!L14+'E Balans VL '!N14)/100/3.6*1000000</f>
        <v>3786.4064989635235</v>
      </c>
      <c r="G10" s="34"/>
      <c r="H10" s="33"/>
      <c r="I10" s="33"/>
      <c r="J10" s="33">
        <f>$C$30*('E Balans VL '!D14+'E Balans VL '!E14)/100/3.6*1000000</f>
        <v>0</v>
      </c>
      <c r="K10" s="33"/>
      <c r="L10" s="33"/>
      <c r="M10" s="33"/>
      <c r="N10" s="33">
        <f>$C$30*'E Balans VL '!Y14/100/3.6*1000000</f>
        <v>3291.7381670724267</v>
      </c>
      <c r="O10" s="33"/>
      <c r="P10" s="33"/>
      <c r="R10" s="32"/>
    </row>
    <row r="11" spans="1:18">
      <c r="A11" s="32" t="s">
        <v>55</v>
      </c>
      <c r="B11" s="37">
        <f t="shared" si="0"/>
        <v>99.156215508836397</v>
      </c>
      <c r="C11" s="33"/>
      <c r="D11" s="37">
        <f>IF(ISERROR(TER_onderwijs_gas_kWh/1000),0,TER_onderwijs_gas_kWh/1000)*0.902</f>
        <v>399.06516077408173</v>
      </c>
      <c r="E11" s="33">
        <f>$C$31*'E Balans VL '!I11/100/3.6*1000000</f>
        <v>7.5562199336419791E-2</v>
      </c>
      <c r="F11" s="33">
        <f>$C$31*('E Balans VL '!L11+'E Balans VL '!N11)/100/3.6*1000000</f>
        <v>71.754871528900296</v>
      </c>
      <c r="G11" s="34"/>
      <c r="H11" s="33"/>
      <c r="I11" s="33"/>
      <c r="J11" s="33">
        <f>$C$31*('E Balans VL '!D11+'E Balans VL '!E11)/100/3.6*1000000</f>
        <v>0</v>
      </c>
      <c r="K11" s="33"/>
      <c r="L11" s="33"/>
      <c r="M11" s="33"/>
      <c r="N11" s="33">
        <f>$C$31*'E Balans VL '!Y11/100/3.6*1000000</f>
        <v>0.29223706500822511</v>
      </c>
      <c r="O11" s="33"/>
      <c r="P11" s="33"/>
      <c r="R11" s="32"/>
    </row>
    <row r="12" spans="1:18">
      <c r="A12" s="32" t="s">
        <v>261</v>
      </c>
      <c r="B12" s="37">
        <f t="shared" si="0"/>
        <v>1758.5080417536899</v>
      </c>
      <c r="C12" s="33"/>
      <c r="D12" s="37">
        <f>IF(ISERROR(TER_rest_gas_kWh/1000),0,TER_rest_gas_kWh/1000)*0.902</f>
        <v>24244.235576141873</v>
      </c>
      <c r="E12" s="33">
        <f>$C$32*'E Balans VL '!I8/100/3.6*1000000</f>
        <v>37.714816367803685</v>
      </c>
      <c r="F12" s="33">
        <f>$C$32*('E Balans VL '!L8+'E Balans VL '!N8)/100/3.6*1000000</f>
        <v>346.9848577740641</v>
      </c>
      <c r="G12" s="34"/>
      <c r="H12" s="33"/>
      <c r="I12" s="33"/>
      <c r="J12" s="33">
        <f>$C$32*('E Balans VL '!D8+'E Balans VL '!E8)/100/3.6*1000000</f>
        <v>0</v>
      </c>
      <c r="K12" s="33"/>
      <c r="L12" s="33"/>
      <c r="M12" s="33"/>
      <c r="N12" s="33">
        <f>$C$32*'E Balans VL '!Y8/100/3.6*1000000</f>
        <v>49.876079144806788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33003.873209091958</v>
      </c>
      <c r="C16" s="21">
        <f ca="1">C5+C13+C14</f>
        <v>0</v>
      </c>
      <c r="D16" s="21">
        <f t="shared" ref="D16:N16" ca="1" si="1">MAX((D5+D13+D14),0)</f>
        <v>39983.696520595702</v>
      </c>
      <c r="E16" s="21">
        <f t="shared" si="1"/>
        <v>439.22106426726668</v>
      </c>
      <c r="F16" s="21">
        <f t="shared" ca="1" si="1"/>
        <v>6965.6304626506708</v>
      </c>
      <c r="G16" s="21">
        <f t="shared" si="1"/>
        <v>0</v>
      </c>
      <c r="H16" s="21">
        <f t="shared" si="1"/>
        <v>0</v>
      </c>
      <c r="I16" s="21">
        <f t="shared" si="1"/>
        <v>0</v>
      </c>
      <c r="J16" s="21">
        <f t="shared" si="1"/>
        <v>0</v>
      </c>
      <c r="K16" s="21">
        <f t="shared" si="1"/>
        <v>0</v>
      </c>
      <c r="L16" s="21">
        <f t="shared" ca="1" si="1"/>
        <v>0</v>
      </c>
      <c r="M16" s="21">
        <f t="shared" si="1"/>
        <v>0</v>
      </c>
      <c r="N16" s="21">
        <f t="shared" ca="1" si="1"/>
        <v>3404.3129640313978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0.20731285987321194</v>
      </c>
      <c r="C18" s="25">
        <f ca="1">'EF ele_warmte'!B22</f>
        <v>0.203878989532046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6842.1273418697347</v>
      </c>
      <c r="C20" s="23">
        <f t="shared" ref="C20:P20" ca="1" si="2">C16*C18</f>
        <v>0</v>
      </c>
      <c r="D20" s="23">
        <f t="shared" ca="1" si="2"/>
        <v>8076.7066971603326</v>
      </c>
      <c r="E20" s="23">
        <f t="shared" si="2"/>
        <v>99.703181588669537</v>
      </c>
      <c r="F20" s="23">
        <f t="shared" ca="1" si="2"/>
        <v>1859.8233335277291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5751.71382804323</v>
      </c>
      <c r="C26" s="39">
        <f>IF(ISERROR(B26*3.6/1000000/'E Balans VL '!Z12*100),0,B26*3.6/1000000/'E Balans VL '!Z12*100)</f>
        <v>0.12103527901177184</v>
      </c>
      <c r="D26" s="238" t="s">
        <v>720</v>
      </c>
      <c r="F26" s="6"/>
    </row>
    <row r="27" spans="1:18">
      <c r="A27" s="232" t="s">
        <v>53</v>
      </c>
      <c r="B27" s="33">
        <f>IF(ISERROR(TER_horeca_ele_kWh/1000),0,TER_horeca_ele_kWh/1000)</f>
        <v>1241.8283386862599</v>
      </c>
      <c r="C27" s="39">
        <f>IF(ISERROR(B27*3.6/1000000/'E Balans VL '!Z9*100),0,B27*3.6/1000000/'E Balans VL '!Z9*100)</f>
        <v>0.10514211593124893</v>
      </c>
      <c r="D27" s="238" t="s">
        <v>720</v>
      </c>
      <c r="F27" s="6"/>
    </row>
    <row r="28" spans="1:18">
      <c r="A28" s="172" t="s">
        <v>52</v>
      </c>
      <c r="B28" s="33">
        <f>IF(ISERROR(TER_handel_ele_kWh/1000),0,TER_handel_ele_kWh/1000)</f>
        <v>8239.7181591875797</v>
      </c>
      <c r="C28" s="39">
        <f>IF(ISERROR(B28*3.6/1000000/'E Balans VL '!Z13*100),0,B28*3.6/1000000/'E Balans VL '!Z13*100)</f>
        <v>0.2281154578567442</v>
      </c>
      <c r="D28" s="238" t="s">
        <v>720</v>
      </c>
      <c r="F28" s="6"/>
    </row>
    <row r="29" spans="1:18">
      <c r="A29" s="232" t="s">
        <v>51</v>
      </c>
      <c r="B29" s="33">
        <f>IF(ISERROR(TER_gezond_ele_kWh/1000),0,TER_gezond_ele_kWh/1000)</f>
        <v>1630.7500026183602</v>
      </c>
      <c r="C29" s="39">
        <f>IF(ISERROR(B29*3.6/1000000/'E Balans VL '!Z10*100),0,B29*3.6/1000000/'E Balans VL '!Z10*100)</f>
        <v>0.21197942136878556</v>
      </c>
      <c r="D29" s="238" t="s">
        <v>720</v>
      </c>
      <c r="F29" s="6"/>
    </row>
    <row r="30" spans="1:18">
      <c r="A30" s="232" t="s">
        <v>50</v>
      </c>
      <c r="B30" s="33">
        <f>IF(ISERROR(TER_ander_ele_kWh/1000),0,TER_ander_ele_kWh/1000)</f>
        <v>14282.198623294</v>
      </c>
      <c r="C30" s="39">
        <f>IF(ISERROR(B30*3.6/1000000/'E Balans VL '!Z14*100),0,B30*3.6/1000000/'E Balans VL '!Z14*100)</f>
        <v>1.1070013710721855</v>
      </c>
      <c r="D30" s="238" t="s">
        <v>720</v>
      </c>
      <c r="F30" s="6"/>
    </row>
    <row r="31" spans="1:18">
      <c r="A31" s="232" t="s">
        <v>55</v>
      </c>
      <c r="B31" s="33">
        <f>IF(ISERROR(TER_onderwijs_ele_kWh/1000),0,TER_onderwijs_ele_kWh/1000)</f>
        <v>99.156215508836397</v>
      </c>
      <c r="C31" s="39">
        <f>IF(ISERROR(B31*3.6/1000000/'E Balans VL '!Z11*100),0,B31*3.6/1000000/'E Balans VL '!Z11*100)</f>
        <v>1.8970273612997409E-2</v>
      </c>
      <c r="D31" s="238" t="s">
        <v>720</v>
      </c>
    </row>
    <row r="32" spans="1:18">
      <c r="A32" s="232" t="s">
        <v>261</v>
      </c>
      <c r="B32" s="33">
        <f>IF(ISERROR(TER_rest_ele_kWh/1000),0,TER_rest_ele_kWh/1000)</f>
        <v>1758.5080417536899</v>
      </c>
      <c r="C32" s="39">
        <f>IF(ISERROR(B32*3.6/1000000/'E Balans VL '!Z8*100),0,B32*3.6/1000000/'E Balans VL '!Z8*100)</f>
        <v>1.4500249189952527E-2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32491.5647740118</v>
      </c>
      <c r="C5" s="17">
        <f>IF(ISERROR('Eigen informatie GS &amp; warmtenet'!B59),0,'Eigen informatie GS &amp; warmtenet'!B59)</f>
        <v>0</v>
      </c>
      <c r="D5" s="30">
        <f>SUM(D6:D15)</f>
        <v>92086.521994604132</v>
      </c>
      <c r="E5" s="17">
        <f>SUM(E6:E15)</f>
        <v>314.76353929403626</v>
      </c>
      <c r="F5" s="17">
        <f>SUM(F6:F15)</f>
        <v>7191.4002803142703</v>
      </c>
      <c r="G5" s="18"/>
      <c r="H5" s="17"/>
      <c r="I5" s="17"/>
      <c r="J5" s="17">
        <f>SUM(J6:J15)</f>
        <v>206.98072150256868</v>
      </c>
      <c r="K5" s="17"/>
      <c r="L5" s="17"/>
      <c r="M5" s="17"/>
      <c r="N5" s="17">
        <f>SUM(N6:N15)</f>
        <v>641.15502705061328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85.570645495045596</v>
      </c>
      <c r="C8" s="33"/>
      <c r="D8" s="37">
        <f>IF( ISERROR(IND_metaal_Gas_kWH/1000),0,IND_metaal_Gas_kWH/1000)*0.902</f>
        <v>0</v>
      </c>
      <c r="E8" s="33">
        <f>C30*'E Balans VL '!I18/100/3.6*1000000</f>
        <v>0.60128604558717258</v>
      </c>
      <c r="F8" s="33">
        <f>C30*'E Balans VL '!L18/100/3.6*1000000+C30*'E Balans VL '!N18/100/3.6*1000000</f>
        <v>9.3951562378028388</v>
      </c>
      <c r="G8" s="34"/>
      <c r="H8" s="33"/>
      <c r="I8" s="33"/>
      <c r="J8" s="40">
        <f>C30*'E Balans VL '!D18/100/3.6*1000000+C30*'E Balans VL '!E18/100/3.6*1000000</f>
        <v>1.7655068548280504</v>
      </c>
      <c r="K8" s="33"/>
      <c r="L8" s="33"/>
      <c r="M8" s="33"/>
      <c r="N8" s="33">
        <f>C30*'E Balans VL '!Y18/100/3.6*1000000</f>
        <v>0.32072494210670915</v>
      </c>
      <c r="O8" s="33"/>
      <c r="P8" s="33"/>
      <c r="R8" s="32"/>
    </row>
    <row r="9" spans="1:18">
      <c r="A9" s="6" t="s">
        <v>33</v>
      </c>
      <c r="B9" s="37">
        <f t="shared" si="0"/>
        <v>1237.4468470478801</v>
      </c>
      <c r="C9" s="33"/>
      <c r="D9" s="37">
        <f>IF( ISERROR(IND_andere_gas_kWh/1000),0,IND_andere_gas_kWh/1000)*0.902</f>
        <v>845.78513465995547</v>
      </c>
      <c r="E9" s="33">
        <f>C31*'E Balans VL '!I19/100/3.6*1000000</f>
        <v>20.784435716957439</v>
      </c>
      <c r="F9" s="33">
        <f>C31*'E Balans VL '!L19/100/3.6*1000000+C31*'E Balans VL '!N19/100/3.6*1000000</f>
        <v>967.36546531217402</v>
      </c>
      <c r="G9" s="34"/>
      <c r="H9" s="33"/>
      <c r="I9" s="33"/>
      <c r="J9" s="40">
        <f>C31*'E Balans VL '!D19/100/3.6*1000000+C31*'E Balans VL '!E19/100/3.6*1000000</f>
        <v>0.11160678218408965</v>
      </c>
      <c r="K9" s="33"/>
      <c r="L9" s="33"/>
      <c r="M9" s="33"/>
      <c r="N9" s="33">
        <f>C31*'E Balans VL '!Y19/100/3.6*1000000</f>
        <v>91.714664453097271</v>
      </c>
      <c r="O9" s="33"/>
      <c r="P9" s="33"/>
      <c r="R9" s="32"/>
    </row>
    <row r="10" spans="1:18">
      <c r="A10" s="6" t="s">
        <v>41</v>
      </c>
      <c r="B10" s="37">
        <f t="shared" si="0"/>
        <v>467.99035840959203</v>
      </c>
      <c r="C10" s="33"/>
      <c r="D10" s="37">
        <f>IF( ISERROR(IND_voed_gas_kWh/1000),0,IND_voed_gas_kWh/1000)*0.902</f>
        <v>601.90538734091342</v>
      </c>
      <c r="E10" s="33">
        <f>C32*'E Balans VL '!I20/100/3.6*1000000</f>
        <v>4.2697495567450288</v>
      </c>
      <c r="F10" s="33">
        <f>C32*'E Balans VL '!L20/100/3.6*1000000+C32*'E Balans VL '!N20/100/3.6*1000000</f>
        <v>75.501482693239581</v>
      </c>
      <c r="G10" s="34"/>
      <c r="H10" s="33"/>
      <c r="I10" s="33"/>
      <c r="J10" s="40">
        <f>C32*'E Balans VL '!D20/100/3.6*1000000+C32*'E Balans VL '!E20/100/3.6*1000000</f>
        <v>1.9274911252617715</v>
      </c>
      <c r="K10" s="33"/>
      <c r="L10" s="33"/>
      <c r="M10" s="33"/>
      <c r="N10" s="33">
        <f>C32*'E Balans VL '!Y20/100/3.6*1000000</f>
        <v>6.8463299227777625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49.019772858083904</v>
      </c>
      <c r="C12" s="33"/>
      <c r="D12" s="37">
        <f>IF( ISERROR(IND_min_gas_kWh/1000),0,IND_min_gas_kWh/1000)*0.902</f>
        <v>0</v>
      </c>
      <c r="E12" s="33">
        <f>C34*'E Balans VL '!I22/100/3.6*1000000</f>
        <v>1.2158497325304802</v>
      </c>
      <c r="F12" s="33">
        <f>C34*'E Balans VL '!L22/100/3.6*1000000+C34*'E Balans VL '!N22/100/3.6*1000000</f>
        <v>5.2088202303132132</v>
      </c>
      <c r="G12" s="34"/>
      <c r="H12" s="33"/>
      <c r="I12" s="33"/>
      <c r="J12" s="40">
        <f>C34*'E Balans VL '!D22/100/3.6*1000000+C34*'E Balans VL '!E22/100/3.6*1000000</f>
        <v>0.27846107278378746</v>
      </c>
      <c r="K12" s="33"/>
      <c r="L12" s="33"/>
      <c r="M12" s="33"/>
      <c r="N12" s="33">
        <f>C34*'E Balans VL '!Y22/100/3.6*1000000</f>
        <v>0</v>
      </c>
      <c r="O12" s="33"/>
      <c r="P12" s="33"/>
      <c r="R12" s="32"/>
    </row>
    <row r="13" spans="1:18">
      <c r="A13" s="6" t="s">
        <v>39</v>
      </c>
      <c r="B13" s="37">
        <f t="shared" si="0"/>
        <v>518.30648723750005</v>
      </c>
      <c r="C13" s="33"/>
      <c r="D13" s="37">
        <f>IF( ISERROR(IND_papier_gas_kWh/1000),0,IND_papier_gas_kWh/1000)*0.902</f>
        <v>0</v>
      </c>
      <c r="E13" s="33">
        <f>C35*'E Balans VL '!I23/100/3.6*1000000</f>
        <v>15.946937952837425</v>
      </c>
      <c r="F13" s="33">
        <f>C35*'E Balans VL '!L23/100/3.6*1000000+C35*'E Balans VL '!N23/100/3.6*1000000</f>
        <v>110.05458098204711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30133.230662963699</v>
      </c>
      <c r="C15" s="33"/>
      <c r="D15" s="37">
        <f>IF( ISERROR(IND_rest_gas_kWh/1000),0,IND_rest_gas_kWh/1000)*0.902</f>
        <v>90638.83147260327</v>
      </c>
      <c r="E15" s="33">
        <f>C37*'E Balans VL '!I15/100/3.6*1000000</f>
        <v>271.94528028937873</v>
      </c>
      <c r="F15" s="33">
        <f>C37*'E Balans VL '!L15/100/3.6*1000000+C37*'E Balans VL '!N15/100/3.6*1000000</f>
        <v>6023.8747748586939</v>
      </c>
      <c r="G15" s="34"/>
      <c r="H15" s="33"/>
      <c r="I15" s="33"/>
      <c r="J15" s="40">
        <f>C37*'E Balans VL '!D15/100/3.6*1000000+C37*'E Balans VL '!E15/100/3.6*1000000</f>
        <v>202.89765566751097</v>
      </c>
      <c r="K15" s="33"/>
      <c r="L15" s="33"/>
      <c r="M15" s="33"/>
      <c r="N15" s="33">
        <f>C37*'E Balans VL '!Y15/100/3.6*1000000</f>
        <v>542.27330773263157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32491.5647740118</v>
      </c>
      <c r="C18" s="21">
        <f>C5+C16</f>
        <v>0</v>
      </c>
      <c r="D18" s="21">
        <f>MAX((D5+D16),0)</f>
        <v>92086.521994604132</v>
      </c>
      <c r="E18" s="21">
        <f>MAX((E5+E16),0)</f>
        <v>314.76353929403626</v>
      </c>
      <c r="F18" s="21">
        <f>MAX((F5+F16),0)</f>
        <v>7191.4002803142703</v>
      </c>
      <c r="G18" s="21"/>
      <c r="H18" s="21"/>
      <c r="I18" s="21"/>
      <c r="J18" s="21">
        <f>MAX((J5+J16),0)</f>
        <v>206.98072150256868</v>
      </c>
      <c r="K18" s="21"/>
      <c r="L18" s="21">
        <f>MAX((L5+L16),0)</f>
        <v>0</v>
      </c>
      <c r="M18" s="21"/>
      <c r="N18" s="21">
        <f>MAX((N5+N16),0)</f>
        <v>641.15502705061328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0.20731285987321194</v>
      </c>
      <c r="C20" s="25">
        <f ca="1">'EF ele_warmte'!B22</f>
        <v>0.203878989532046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6735.9192150560975</v>
      </c>
      <c r="C22" s="23">
        <f ca="1">C18*C20</f>
        <v>0</v>
      </c>
      <c r="D22" s="23">
        <f>D18*D20</f>
        <v>18601.477442910036</v>
      </c>
      <c r="E22" s="23">
        <f>E18*E20</f>
        <v>71.451323419746231</v>
      </c>
      <c r="F22" s="23">
        <f>F18*F20</f>
        <v>1920.1038748439103</v>
      </c>
      <c r="G22" s="23"/>
      <c r="H22" s="23"/>
      <c r="I22" s="23"/>
      <c r="J22" s="23">
        <f>J18*J20</f>
        <v>73.271175411909311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85.570645495045596</v>
      </c>
      <c r="C30" s="39">
        <f>IF(ISERROR(B30*3.6/1000000/'E Balans VL '!Z18*100),0,B30*3.6/1000000/'E Balans VL '!Z18*100)</f>
        <v>5.6964901244201021E-3</v>
      </c>
      <c r="D30" s="238" t="s">
        <v>720</v>
      </c>
    </row>
    <row r="31" spans="1:18">
      <c r="A31" s="6" t="s">
        <v>33</v>
      </c>
      <c r="B31" s="37">
        <f>IF( ISERROR(IND_ander_ele_kWh/1000),0,IND_ander_ele_kWh/1000)</f>
        <v>1237.4468470478801</v>
      </c>
      <c r="C31" s="39">
        <f>IF(ISERROR(B31*3.6/1000000/'E Balans VL '!Z19*100),0,B31*3.6/1000000/'E Balans VL '!Z19*100)</f>
        <v>5.4851114793545763E-2</v>
      </c>
      <c r="D31" s="238" t="s">
        <v>720</v>
      </c>
    </row>
    <row r="32" spans="1:18">
      <c r="A32" s="172" t="s">
        <v>41</v>
      </c>
      <c r="B32" s="37">
        <f>IF( ISERROR(IND_voed_ele_kWh/1000),0,IND_voed_ele_kWh/1000)</f>
        <v>467.99035840959203</v>
      </c>
      <c r="C32" s="39">
        <f>IF(ISERROR(B32*3.6/1000000/'E Balans VL '!Z20*100),0,B32*3.6/1000000/'E Balans VL '!Z20*100)</f>
        <v>1.5632220461466409E-2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49.019772858083904</v>
      </c>
      <c r="C34" s="39">
        <f>IF(ISERROR(B34*3.6/1000000/'E Balans VL '!Z22*100),0,B34*3.6/1000000/'E Balans VL '!Z22*100)</f>
        <v>9.5338073692999119E-3</v>
      </c>
      <c r="D34" s="238" t="s">
        <v>720</v>
      </c>
    </row>
    <row r="35" spans="1:5">
      <c r="A35" s="172" t="s">
        <v>39</v>
      </c>
      <c r="B35" s="37">
        <f>IF( ISERROR(IND_papier_ele_kWh/1000),0,IND_papier_ele_kWh/1000)</f>
        <v>518.30648723750005</v>
      </c>
      <c r="C35" s="39">
        <f>IF(ISERROR(B35*3.6/1000000/'E Balans VL '!Z22*100),0,B35*3.6/1000000/'E Balans VL '!Z22*100)</f>
        <v>0.10080491849455667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30133.230662963699</v>
      </c>
      <c r="C37" s="39">
        <f>IF(ISERROR(B37*3.6/1000000/'E Balans VL '!Z15*100),0,B37*3.6/1000000/'E Balans VL '!Z15*100)</f>
        <v>0.22414214490047304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1858.6141228591448</v>
      </c>
      <c r="C5" s="17">
        <f>'Eigen informatie GS &amp; warmtenet'!B60</f>
        <v>0</v>
      </c>
      <c r="D5" s="30">
        <f>IF(ISERROR(SUM(LB_lb_gas_kWh,LB_rest_gas_kWh,onbekend_gas_kWh)/1000),0,SUM(LB_lb_gas_kWh,LB_rest_gas_kWh,onbekend_gas_kWh)/1000)*0.902</f>
        <v>41158.172936525167</v>
      </c>
      <c r="E5" s="17">
        <f>B17*'E Balans VL '!I25/3.6*1000000/100</f>
        <v>19.463809468129863</v>
      </c>
      <c r="F5" s="17">
        <f>B17*('E Balans VL '!L25/3.6*1000000+'E Balans VL '!N25/3.6*1000000)/100</f>
        <v>9546.1380714768493</v>
      </c>
      <c r="G5" s="18"/>
      <c r="H5" s="17"/>
      <c r="I5" s="17"/>
      <c r="J5" s="17">
        <f>('E Balans VL '!D25+'E Balans VL '!E25)/3.6*1000000*landbouw!B17/100</f>
        <v>165.99090021390242</v>
      </c>
      <c r="K5" s="17"/>
      <c r="L5" s="17">
        <f>L6*(-1)</f>
        <v>0</v>
      </c>
      <c r="M5" s="17"/>
      <c r="N5" s="17">
        <f>N6*(-1)</f>
        <v>21812.142857142859</v>
      </c>
      <c r="O5" s="17"/>
      <c r="P5" s="17"/>
      <c r="R5" s="32"/>
    </row>
    <row r="6" spans="1:18">
      <c r="A6" s="16" t="s">
        <v>497</v>
      </c>
      <c r="B6" s="17" t="s">
        <v>212</v>
      </c>
      <c r="C6" s="17">
        <f>'lokale energieproductie'!O91+'lokale energieproductie'!O60</f>
        <v>76752.857142857145</v>
      </c>
      <c r="D6" s="311">
        <f>('lokale energieproductie'!P60+'lokale energieproductie'!P91)*(-1)</f>
        <v>-131693.57142857142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-21812.142857142859</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1858.6141228591448</v>
      </c>
      <c r="C8" s="21">
        <f>C5+C6</f>
        <v>76752.857142857145</v>
      </c>
      <c r="D8" s="21">
        <f>MAX((D5+D6),0)</f>
        <v>0</v>
      </c>
      <c r="E8" s="21">
        <f>MAX((E5+E6),0)</f>
        <v>19.463809468129863</v>
      </c>
      <c r="F8" s="21">
        <f>MAX((F5+F6),0)</f>
        <v>9546.1380714768493</v>
      </c>
      <c r="G8" s="21"/>
      <c r="H8" s="21"/>
      <c r="I8" s="21"/>
      <c r="J8" s="21">
        <f>MAX((J5+J6),0)</f>
        <v>165.99090021390242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0.20731285987321194</v>
      </c>
      <c r="C10" s="31">
        <f ca="1">'EF ele_warmte'!B22</f>
        <v>0.203878989532046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385.3146092106706</v>
      </c>
      <c r="C12" s="23">
        <f ca="1">C8*C10</f>
        <v>15648.294957983195</v>
      </c>
      <c r="D12" s="23">
        <f>D8*D10</f>
        <v>0</v>
      </c>
      <c r="E12" s="23">
        <f>E8*E10</f>
        <v>4.4182847492654789</v>
      </c>
      <c r="F12" s="23">
        <f>F8*F10</f>
        <v>2548.818865084319</v>
      </c>
      <c r="G12" s="23"/>
      <c r="H12" s="23"/>
      <c r="I12" s="23"/>
      <c r="J12" s="23">
        <f>J8*J10</f>
        <v>58.760778675721454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0.28607659139077024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105.21706548159786</v>
      </c>
      <c r="C26" s="248">
        <f>B26*'GWP N2O_CH4'!B5</f>
        <v>2209.558375113555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35.648209265303336</v>
      </c>
      <c r="C27" s="248">
        <f>B27*'GWP N2O_CH4'!B5</f>
        <v>748.61239457137003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1.8429731930553264</v>
      </c>
      <c r="C28" s="248">
        <f>B28*'GWP N2O_CH4'!B4</f>
        <v>571.32168984715122</v>
      </c>
      <c r="D28" s="50"/>
    </row>
    <row r="29" spans="1:4">
      <c r="A29" s="41" t="s">
        <v>278</v>
      </c>
      <c r="B29" s="248">
        <f>B34*'ha_N2O bodem landbouw'!B4</f>
        <v>12.694854998156265</v>
      </c>
      <c r="C29" s="248">
        <f>B29*'GWP N2O_CH4'!B4</f>
        <v>3935.405049428442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2.0979915188209615E-3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8.6839068659702049E-6</v>
      </c>
      <c r="C5" s="446" t="s">
        <v>212</v>
      </c>
      <c r="D5" s="431">
        <f>SUM(D6:D11)</f>
        <v>3.9077565965906565E-5</v>
      </c>
      <c r="E5" s="431">
        <f>SUM(E6:E11)</f>
        <v>4.8746715672873921E-3</v>
      </c>
      <c r="F5" s="444" t="s">
        <v>212</v>
      </c>
      <c r="G5" s="431">
        <f>SUM(G6:G11)</f>
        <v>1.0867581782221247</v>
      </c>
      <c r="H5" s="431">
        <f>SUM(H6:H11)</f>
        <v>0.13748444129905452</v>
      </c>
      <c r="I5" s="446" t="s">
        <v>212</v>
      </c>
      <c r="J5" s="446" t="s">
        <v>212</v>
      </c>
      <c r="K5" s="446" t="s">
        <v>212</v>
      </c>
      <c r="L5" s="446" t="s">
        <v>212</v>
      </c>
      <c r="M5" s="431">
        <f>SUM(M6:M11)</f>
        <v>5.3289434377295816E-2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1.5167651950833168E-6</v>
      </c>
      <c r="C6" s="432"/>
      <c r="D6" s="432">
        <f>vkm_2011_GW_PW*SUMIFS(TableVerdeelsleutelVkm[CNG],TableVerdeelsleutelVkm[Voertuigtype],"Lichte voertuigen")*SUMIFS(TableECFTransport[EnergieConsumptieFactor (PJ per km)],TableECFTransport[Index],CONCATENATE($A6,"_CNG_CNG"))</f>
        <v>6.5385984474125655E-6</v>
      </c>
      <c r="E6" s="434">
        <f>vkm_2011_GW_PW*SUMIFS(TableVerdeelsleutelVkm[LPG],TableVerdeelsleutelVkm[Voertuigtype],"Lichte voertuigen")*SUMIFS(TableECFTransport[EnergieConsumptieFactor (PJ per km)],TableECFTransport[Index],CONCATENATE($A6,"_LPG_LPG"))</f>
        <v>6.8030104845524743E-4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8.367889657610024E-2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2.2030919389033846E-2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4.6327109278712902E-3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4.4160242221856695E-2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1.5141935100814983E-5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1.9076397220386227E-3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1.6150314116169718E-7</v>
      </c>
      <c r="C8" s="432"/>
      <c r="D8" s="434">
        <f>vkm_2011_NGW_PW*SUMIFS(TableVerdeelsleutelVkm[CNG],TableVerdeelsleutelVkm[Voertuigtype],"Lichte voertuigen")*SUMIFS(TableECFTransport[EnergieConsumptieFactor (PJ per km)],TableECFTransport[Index],CONCATENATE($A8,"_CNG_CNG"))</f>
        <v>1.2490379134486929E-6</v>
      </c>
      <c r="E8" s="434">
        <f>vkm_2011_NGW_PW*SUMIFS(TableVerdeelsleutelVkm[LPG],TableVerdeelsleutelVkm[Voertuigtype],"Lichte voertuigen")*SUMIFS(TableECFTransport[EnergieConsumptieFactor (PJ per km)],TableECFTransport[Index],CONCATENATE($A8,"_LPG_LPG"))</f>
        <v>1.1865830804847078E-4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1.384330748292704E-2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4.0172655462252585E-3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7.8364528853060514E-4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3.0474340454679521E-4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9.077505427646065E-8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1.3163709454410574E-5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7.0056385297251904E-6</v>
      </c>
      <c r="C10" s="432"/>
      <c r="D10" s="434">
        <f>vkm_2011_SW_PW*SUMIFS(TableVerdeelsleutelVkm[CNG],TableVerdeelsleutelVkm[Voertuigtype],"Lichte voertuigen")*SUMIFS(TableECFTransport[EnergieConsumptieFactor (PJ per km)],TableECFTransport[Index],CONCATENATE($A10,"_CNG_CNG"))</f>
        <v>3.1289929605045303E-5</v>
      </c>
      <c r="E10" s="434">
        <f>vkm_2011_SW_PW*SUMIFS(TableVerdeelsleutelVkm[LPG],TableVerdeelsleutelVkm[Voertuigtype],"Lichte voertuigen")*SUMIFS(TableECFTransport[EnergieConsumptieFactor (PJ per km)],TableECFTransport[Index],CONCATENATE($A10,"_LPG_LPG"))</f>
        <v>4.0757122107836739E-3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0.46088724458293795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0.111243996921554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2.5048889637955561E-2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0.48388374395375594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1.7702673208632179E-4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2.0903385091445324E-2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2.4121963516583902</v>
      </c>
      <c r="C14" s="21"/>
      <c r="D14" s="21">
        <f t="shared" ref="D14:M14" si="0">((D5)*10^9/3600)+D12</f>
        <v>10.854879434974045</v>
      </c>
      <c r="E14" s="21">
        <f t="shared" si="0"/>
        <v>1354.075435357609</v>
      </c>
      <c r="F14" s="21"/>
      <c r="G14" s="21">
        <f t="shared" si="0"/>
        <v>301877.27172836801</v>
      </c>
      <c r="H14" s="21">
        <f t="shared" si="0"/>
        <v>38190.122583070697</v>
      </c>
      <c r="I14" s="21"/>
      <c r="J14" s="21"/>
      <c r="K14" s="21"/>
      <c r="L14" s="21"/>
      <c r="M14" s="21">
        <f t="shared" si="0"/>
        <v>14802.620660359948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0.20731285987321194</v>
      </c>
      <c r="C16" s="56">
        <f ca="1">'EF ele_warmte'!B22</f>
        <v>0.203878989532046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0.50007932423802892</v>
      </c>
      <c r="C18" s="23"/>
      <c r="D18" s="23">
        <f t="shared" ref="D18:M18" si="1">D14*D16</f>
        <v>2.1926856458647572</v>
      </c>
      <c r="E18" s="23">
        <f t="shared" si="1"/>
        <v>307.37512382617723</v>
      </c>
      <c r="F18" s="23"/>
      <c r="G18" s="23">
        <f t="shared" si="1"/>
        <v>80601.231551474266</v>
      </c>
      <c r="H18" s="23">
        <f t="shared" si="1"/>
        <v>9509.3405231846027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1.3709204145928088E-2</v>
      </c>
      <c r="H50" s="322">
        <f t="shared" si="2"/>
        <v>0</v>
      </c>
      <c r="I50" s="322">
        <f t="shared" si="2"/>
        <v>0</v>
      </c>
      <c r="J50" s="322">
        <f t="shared" si="2"/>
        <v>0</v>
      </c>
      <c r="K50" s="322">
        <f t="shared" si="2"/>
        <v>0</v>
      </c>
      <c r="L50" s="322">
        <f t="shared" si="2"/>
        <v>0</v>
      </c>
      <c r="M50" s="322">
        <f t="shared" si="2"/>
        <v>5.8436381342475297E-4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1.3709204145928088E-2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5.8436381342475297E-4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3808.1122627578025</v>
      </c>
      <c r="H54" s="21">
        <f t="shared" si="3"/>
        <v>0</v>
      </c>
      <c r="I54" s="21">
        <f t="shared" si="3"/>
        <v>0</v>
      </c>
      <c r="J54" s="21">
        <f t="shared" si="3"/>
        <v>0</v>
      </c>
      <c r="K54" s="21">
        <f t="shared" si="3"/>
        <v>0</v>
      </c>
      <c r="L54" s="21">
        <f t="shared" si="3"/>
        <v>0</v>
      </c>
      <c r="M54" s="21">
        <f t="shared" si="3"/>
        <v>162.32328150687584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0.20731285987321194</v>
      </c>
      <c r="C56" s="56">
        <f ca="1">'EF ele_warmte'!B22</f>
        <v>0.203878989532046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1016.7659741563333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2451.2332165048847</v>
      </c>
      <c r="C6" s="1124"/>
      <c r="D6" s="1127"/>
      <c r="E6" s="1127"/>
      <c r="F6" s="1130"/>
      <c r="G6" s="1133"/>
      <c r="H6" s="1121"/>
      <c r="I6" s="1127"/>
      <c r="J6" s="1127"/>
      <c r="K6" s="1127"/>
      <c r="L6" s="1157"/>
      <c r="M6" s="559"/>
      <c r="N6" s="1169"/>
      <c r="O6" s="1170"/>
      <c r="Q6" s="557"/>
      <c r="R6" s="1154"/>
      <c r="S6" s="1154"/>
    </row>
    <row r="7" spans="1:19" s="547" customFormat="1">
      <c r="A7" s="560" t="s">
        <v>253</v>
      </c>
      <c r="B7" s="561">
        <f>N57</f>
        <v>53727</v>
      </c>
      <c r="C7" s="562">
        <f>B100</f>
        <v>54226.76470588235</v>
      </c>
      <c r="D7" s="563"/>
      <c r="E7" s="563">
        <f>E100</f>
        <v>0</v>
      </c>
      <c r="F7" s="564"/>
      <c r="G7" s="565"/>
      <c r="H7" s="563">
        <f>I100</f>
        <v>0</v>
      </c>
      <c r="I7" s="563">
        <f>G100+F100</f>
        <v>0</v>
      </c>
      <c r="J7" s="563">
        <f>H100+D100+C100</f>
        <v>8981.4705882352937</v>
      </c>
      <c r="K7" s="563"/>
      <c r="L7" s="566"/>
      <c r="M7" s="567">
        <f>C7*$C$11+D7*$D$11+E7*$E$11+F7*$F$11+G7*$G$11+H7*$H$11+I7*$I$11+J7*$J$11</f>
        <v>10953.806470588235</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56178.233216504887</v>
      </c>
      <c r="C9" s="578">
        <f t="shared" ref="C9:L9" si="0">SUM(C7:C8)</f>
        <v>54226.76470588235</v>
      </c>
      <c r="D9" s="578">
        <f t="shared" si="0"/>
        <v>0</v>
      </c>
      <c r="E9" s="578">
        <f t="shared" si="0"/>
        <v>0</v>
      </c>
      <c r="F9" s="578">
        <f t="shared" si="0"/>
        <v>0</v>
      </c>
      <c r="G9" s="578">
        <f t="shared" si="0"/>
        <v>0</v>
      </c>
      <c r="H9" s="578">
        <f t="shared" si="0"/>
        <v>0</v>
      </c>
      <c r="I9" s="578">
        <f t="shared" si="0"/>
        <v>0</v>
      </c>
      <c r="J9" s="578">
        <f t="shared" si="0"/>
        <v>8981.4705882352937</v>
      </c>
      <c r="K9" s="578">
        <f t="shared" si="0"/>
        <v>0</v>
      </c>
      <c r="L9" s="578">
        <f t="shared" si="0"/>
        <v>0</v>
      </c>
      <c r="M9" s="579">
        <f>SUM(M4:M8)</f>
        <v>10953.806470588235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76752.857142857145</v>
      </c>
      <c r="C16" s="594">
        <f>B101</f>
        <v>77466.806722689071</v>
      </c>
      <c r="D16" s="595"/>
      <c r="E16" s="595">
        <f>E101</f>
        <v>0</v>
      </c>
      <c r="F16" s="596"/>
      <c r="G16" s="597"/>
      <c r="H16" s="594">
        <f>I101</f>
        <v>0</v>
      </c>
      <c r="I16" s="595">
        <f>G101+F101</f>
        <v>0</v>
      </c>
      <c r="J16" s="595">
        <f>H101+D101+C101</f>
        <v>12830.672268907565</v>
      </c>
      <c r="K16" s="595"/>
      <c r="L16" s="598"/>
      <c r="M16" s="599">
        <f>C16*$C$21+E16*$E$21+H16*$H$21+I16*$I$21+J16*$J$21+D16*$D$21+F16*$F$21+G16*$G$21+K16*$K$21+L16*$L$21</f>
        <v>15648.294957983193</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76752.857142857145</v>
      </c>
      <c r="C19" s="577">
        <f>SUM(C16:C18)</f>
        <v>77466.806722689071</v>
      </c>
      <c r="D19" s="577">
        <f t="shared" ref="D19:M19" si="1">SUM(D16:D18)</f>
        <v>0</v>
      </c>
      <c r="E19" s="577">
        <f t="shared" si="1"/>
        <v>0</v>
      </c>
      <c r="F19" s="577">
        <f t="shared" si="1"/>
        <v>0</v>
      </c>
      <c r="G19" s="577">
        <f t="shared" si="1"/>
        <v>0</v>
      </c>
      <c r="H19" s="577">
        <f t="shared" si="1"/>
        <v>0</v>
      </c>
      <c r="I19" s="577">
        <f t="shared" si="1"/>
        <v>0</v>
      </c>
      <c r="J19" s="577">
        <f t="shared" si="1"/>
        <v>12830.672268907565</v>
      </c>
      <c r="K19" s="577">
        <f t="shared" si="1"/>
        <v>0</v>
      </c>
      <c r="L19" s="577">
        <f t="shared" si="1"/>
        <v>0</v>
      </c>
      <c r="M19" s="604">
        <f t="shared" si="1"/>
        <v>15648.294957983193</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11035</v>
      </c>
      <c r="C27" s="839">
        <v>2520</v>
      </c>
      <c r="D27" s="656" t="s">
        <v>894</v>
      </c>
      <c r="E27" s="655" t="s">
        <v>895</v>
      </c>
      <c r="F27" s="655" t="s">
        <v>896</v>
      </c>
      <c r="G27" s="655" t="s">
        <v>897</v>
      </c>
      <c r="H27" s="655" t="s">
        <v>898</v>
      </c>
      <c r="I27" s="655" t="s">
        <v>895</v>
      </c>
      <c r="J27" s="838">
        <v>40568</v>
      </c>
      <c r="K27" s="838">
        <v>40570</v>
      </c>
      <c r="L27" s="655" t="s">
        <v>899</v>
      </c>
      <c r="M27" s="655">
        <v>800</v>
      </c>
      <c r="N27" s="655">
        <v>3300</v>
      </c>
      <c r="O27" s="655">
        <v>4714.2857142857147</v>
      </c>
      <c r="P27" s="655">
        <v>9428.5714285714294</v>
      </c>
      <c r="Q27" s="655">
        <v>0</v>
      </c>
      <c r="R27" s="655">
        <v>0</v>
      </c>
      <c r="S27" s="655">
        <v>0</v>
      </c>
      <c r="T27" s="655">
        <v>0</v>
      </c>
      <c r="U27" s="655">
        <v>0</v>
      </c>
      <c r="V27" s="655">
        <v>0</v>
      </c>
      <c r="W27" s="655">
        <v>0</v>
      </c>
      <c r="X27" s="655">
        <v>10</v>
      </c>
      <c r="Y27" s="655" t="s">
        <v>112</v>
      </c>
      <c r="Z27" s="657" t="s">
        <v>112</v>
      </c>
    </row>
    <row r="28" spans="1:26" s="609" customFormat="1" ht="25.5">
      <c r="A28" s="608"/>
      <c r="B28" s="839">
        <v>11035</v>
      </c>
      <c r="C28" s="839">
        <v>2520</v>
      </c>
      <c r="D28" s="656" t="s">
        <v>900</v>
      </c>
      <c r="E28" s="655" t="s">
        <v>901</v>
      </c>
      <c r="F28" s="655" t="s">
        <v>902</v>
      </c>
      <c r="G28" s="655" t="s">
        <v>897</v>
      </c>
      <c r="H28" s="655" t="s">
        <v>898</v>
      </c>
      <c r="I28" s="655" t="s">
        <v>901</v>
      </c>
      <c r="J28" s="838">
        <v>40259</v>
      </c>
      <c r="K28" s="838">
        <v>40259</v>
      </c>
      <c r="L28" s="655" t="s">
        <v>899</v>
      </c>
      <c r="M28" s="655">
        <v>1008</v>
      </c>
      <c r="N28" s="655">
        <v>4536</v>
      </c>
      <c r="O28" s="655">
        <v>6480</v>
      </c>
      <c r="P28" s="655">
        <v>12960</v>
      </c>
      <c r="Q28" s="655">
        <v>0</v>
      </c>
      <c r="R28" s="655">
        <v>0</v>
      </c>
      <c r="S28" s="655">
        <v>0</v>
      </c>
      <c r="T28" s="655">
        <v>0</v>
      </c>
      <c r="U28" s="655">
        <v>0</v>
      </c>
      <c r="V28" s="655">
        <v>0</v>
      </c>
      <c r="W28" s="655">
        <v>0</v>
      </c>
      <c r="X28" s="655">
        <v>10</v>
      </c>
      <c r="Y28" s="655" t="s">
        <v>112</v>
      </c>
      <c r="Z28" s="657" t="s">
        <v>112</v>
      </c>
    </row>
    <row r="29" spans="1:26" s="609" customFormat="1" ht="25.5">
      <c r="A29" s="608"/>
      <c r="B29" s="839">
        <v>11035</v>
      </c>
      <c r="C29" s="839">
        <v>2520</v>
      </c>
      <c r="D29" s="656" t="s">
        <v>903</v>
      </c>
      <c r="E29" s="655" t="s">
        <v>904</v>
      </c>
      <c r="F29" s="655" t="s">
        <v>905</v>
      </c>
      <c r="G29" s="655" t="s">
        <v>897</v>
      </c>
      <c r="H29" s="655" t="s">
        <v>898</v>
      </c>
      <c r="I29" s="655" t="s">
        <v>904</v>
      </c>
      <c r="J29" s="838">
        <v>40163</v>
      </c>
      <c r="K29" s="838">
        <v>40163</v>
      </c>
      <c r="L29" s="655" t="s">
        <v>899</v>
      </c>
      <c r="M29" s="655">
        <v>1127</v>
      </c>
      <c r="N29" s="655">
        <v>5071.5</v>
      </c>
      <c r="O29" s="655">
        <v>7245</v>
      </c>
      <c r="P29" s="655">
        <v>14490.000000000002</v>
      </c>
      <c r="Q29" s="655">
        <v>0</v>
      </c>
      <c r="R29" s="655">
        <v>0</v>
      </c>
      <c r="S29" s="655">
        <v>0</v>
      </c>
      <c r="T29" s="655">
        <v>0</v>
      </c>
      <c r="U29" s="655">
        <v>0</v>
      </c>
      <c r="V29" s="655">
        <v>0</v>
      </c>
      <c r="W29" s="655">
        <v>0</v>
      </c>
      <c r="X29" s="655">
        <v>10</v>
      </c>
      <c r="Y29" s="655" t="s">
        <v>112</v>
      </c>
      <c r="Z29" s="657" t="s">
        <v>112</v>
      </c>
    </row>
    <row r="30" spans="1:26" s="609" customFormat="1" ht="25.5">
      <c r="A30" s="608"/>
      <c r="B30" s="839">
        <v>11035</v>
      </c>
      <c r="C30" s="839">
        <v>2520</v>
      </c>
      <c r="D30" s="656" t="s">
        <v>906</v>
      </c>
      <c r="E30" s="655" t="s">
        <v>907</v>
      </c>
      <c r="F30" s="655" t="s">
        <v>908</v>
      </c>
      <c r="G30" s="655" t="s">
        <v>897</v>
      </c>
      <c r="H30" s="655" t="s">
        <v>898</v>
      </c>
      <c r="I30" s="655" t="s">
        <v>909</v>
      </c>
      <c r="J30" s="838">
        <v>39976</v>
      </c>
      <c r="K30" s="838">
        <v>39990</v>
      </c>
      <c r="L30" s="655" t="s">
        <v>899</v>
      </c>
      <c r="M30" s="655">
        <v>1400</v>
      </c>
      <c r="N30" s="655">
        <v>6300</v>
      </c>
      <c r="O30" s="655">
        <v>9000</v>
      </c>
      <c r="P30" s="655">
        <v>18000</v>
      </c>
      <c r="Q30" s="655">
        <v>0</v>
      </c>
      <c r="R30" s="655">
        <v>0</v>
      </c>
      <c r="S30" s="655">
        <v>0</v>
      </c>
      <c r="T30" s="655">
        <v>0</v>
      </c>
      <c r="U30" s="655">
        <v>0</v>
      </c>
      <c r="V30" s="655">
        <v>0</v>
      </c>
      <c r="W30" s="655">
        <v>0</v>
      </c>
      <c r="X30" s="655">
        <v>10</v>
      </c>
      <c r="Y30" s="655" t="s">
        <v>112</v>
      </c>
      <c r="Z30" s="657" t="s">
        <v>112</v>
      </c>
    </row>
    <row r="31" spans="1:26" s="609" customFormat="1" ht="25.5">
      <c r="A31" s="608"/>
      <c r="B31" s="839">
        <v>11035</v>
      </c>
      <c r="C31" s="839">
        <v>2520</v>
      </c>
      <c r="D31" s="656" t="s">
        <v>910</v>
      </c>
      <c r="E31" s="655" t="s">
        <v>911</v>
      </c>
      <c r="F31" s="655" t="s">
        <v>912</v>
      </c>
      <c r="G31" s="655" t="s">
        <v>897</v>
      </c>
      <c r="H31" s="655" t="s">
        <v>898</v>
      </c>
      <c r="I31" s="655" t="s">
        <v>911</v>
      </c>
      <c r="J31" s="838">
        <v>39895</v>
      </c>
      <c r="K31" s="838">
        <v>39895</v>
      </c>
      <c r="L31" s="655" t="s">
        <v>899</v>
      </c>
      <c r="M31" s="655">
        <v>1635</v>
      </c>
      <c r="N31" s="655">
        <v>7357.5</v>
      </c>
      <c r="O31" s="655">
        <v>10510.714285714286</v>
      </c>
      <c r="P31" s="655">
        <v>21021.428571428572</v>
      </c>
      <c r="Q31" s="655">
        <v>0</v>
      </c>
      <c r="R31" s="655">
        <v>0</v>
      </c>
      <c r="S31" s="655">
        <v>0</v>
      </c>
      <c r="T31" s="655">
        <v>0</v>
      </c>
      <c r="U31" s="655">
        <v>0</v>
      </c>
      <c r="V31" s="655">
        <v>0</v>
      </c>
      <c r="W31" s="655">
        <v>0</v>
      </c>
      <c r="X31" s="655">
        <v>10</v>
      </c>
      <c r="Y31" s="655" t="s">
        <v>112</v>
      </c>
      <c r="Z31" s="657" t="s">
        <v>112</v>
      </c>
    </row>
    <row r="32" spans="1:26" s="609" customFormat="1" ht="38.25">
      <c r="A32" s="608"/>
      <c r="B32" s="839">
        <v>11035</v>
      </c>
      <c r="C32" s="839">
        <v>2520</v>
      </c>
      <c r="D32" s="656" t="s">
        <v>913</v>
      </c>
      <c r="E32" s="655" t="s">
        <v>914</v>
      </c>
      <c r="F32" s="655" t="s">
        <v>915</v>
      </c>
      <c r="G32" s="655" t="s">
        <v>897</v>
      </c>
      <c r="H32" s="655" t="s">
        <v>898</v>
      </c>
      <c r="I32" s="655" t="s">
        <v>914</v>
      </c>
      <c r="J32" s="838">
        <v>38939</v>
      </c>
      <c r="K32" s="838">
        <v>39083</v>
      </c>
      <c r="L32" s="655" t="s">
        <v>899</v>
      </c>
      <c r="M32" s="655">
        <v>1758</v>
      </c>
      <c r="N32" s="655">
        <v>7911</v>
      </c>
      <c r="O32" s="655">
        <v>11301.428571428572</v>
      </c>
      <c r="P32" s="655">
        <v>22602.857142857145</v>
      </c>
      <c r="Q32" s="655">
        <v>0</v>
      </c>
      <c r="R32" s="655">
        <v>0</v>
      </c>
      <c r="S32" s="655">
        <v>0</v>
      </c>
      <c r="T32" s="655">
        <v>0</v>
      </c>
      <c r="U32" s="655">
        <v>0</v>
      </c>
      <c r="V32" s="655">
        <v>0</v>
      </c>
      <c r="W32" s="655">
        <v>0</v>
      </c>
      <c r="X32" s="655">
        <v>10</v>
      </c>
      <c r="Y32" s="655" t="s">
        <v>112</v>
      </c>
      <c r="Z32" s="657" t="s">
        <v>112</v>
      </c>
    </row>
    <row r="33" spans="1:26" s="609" customFormat="1" ht="38.25">
      <c r="A33" s="608"/>
      <c r="B33" s="839">
        <v>11035</v>
      </c>
      <c r="C33" s="839">
        <v>2520</v>
      </c>
      <c r="D33" s="656" t="s">
        <v>916</v>
      </c>
      <c r="E33" s="655" t="s">
        <v>917</v>
      </c>
      <c r="F33" s="655" t="s">
        <v>918</v>
      </c>
      <c r="G33" s="655" t="s">
        <v>897</v>
      </c>
      <c r="H33" s="655" t="s">
        <v>898</v>
      </c>
      <c r="I33" s="655" t="s">
        <v>917</v>
      </c>
      <c r="J33" s="838">
        <v>39853</v>
      </c>
      <c r="K33" s="838">
        <v>39853</v>
      </c>
      <c r="L33" s="655" t="s">
        <v>899</v>
      </c>
      <c r="M33" s="655">
        <v>2016</v>
      </c>
      <c r="N33" s="655">
        <v>9072</v>
      </c>
      <c r="O33" s="655">
        <v>12960</v>
      </c>
      <c r="P33" s="655">
        <v>25920</v>
      </c>
      <c r="Q33" s="655">
        <v>0</v>
      </c>
      <c r="R33" s="655">
        <v>0</v>
      </c>
      <c r="S33" s="655">
        <v>0</v>
      </c>
      <c r="T33" s="655">
        <v>0</v>
      </c>
      <c r="U33" s="655">
        <v>0</v>
      </c>
      <c r="V33" s="655">
        <v>0</v>
      </c>
      <c r="W33" s="655">
        <v>0</v>
      </c>
      <c r="X33" s="655">
        <v>10</v>
      </c>
      <c r="Y33" s="655" t="s">
        <v>112</v>
      </c>
      <c r="Z33" s="657" t="s">
        <v>112</v>
      </c>
    </row>
    <row r="34" spans="1:26" s="609" customFormat="1" ht="25.5">
      <c r="A34" s="608"/>
      <c r="B34" s="839">
        <v>11035</v>
      </c>
      <c r="C34" s="839">
        <v>2520</v>
      </c>
      <c r="D34" s="656" t="s">
        <v>919</v>
      </c>
      <c r="E34" s="655" t="s">
        <v>920</v>
      </c>
      <c r="F34" s="655" t="s">
        <v>921</v>
      </c>
      <c r="G34" s="655" t="s">
        <v>897</v>
      </c>
      <c r="H34" s="655" t="s">
        <v>898</v>
      </c>
      <c r="I34" s="655" t="s">
        <v>920</v>
      </c>
      <c r="J34" s="838">
        <v>40434</v>
      </c>
      <c r="K34" s="838">
        <v>40434</v>
      </c>
      <c r="L34" s="655" t="s">
        <v>899</v>
      </c>
      <c r="M34" s="655">
        <v>2262</v>
      </c>
      <c r="N34" s="655">
        <v>10179</v>
      </c>
      <c r="O34" s="655">
        <v>14541.428571428572</v>
      </c>
      <c r="P34" s="655">
        <v>7270.7142857142862</v>
      </c>
      <c r="Q34" s="655">
        <v>21812.142857142859</v>
      </c>
      <c r="R34" s="655">
        <v>0</v>
      </c>
      <c r="S34" s="655">
        <v>0</v>
      </c>
      <c r="T34" s="655">
        <v>0</v>
      </c>
      <c r="U34" s="655">
        <v>0</v>
      </c>
      <c r="V34" s="655">
        <v>0</v>
      </c>
      <c r="W34" s="655">
        <v>0</v>
      </c>
      <c r="X34" s="655">
        <v>10</v>
      </c>
      <c r="Y34" s="655" t="s">
        <v>112</v>
      </c>
      <c r="Z34" s="657" t="s">
        <v>112</v>
      </c>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12006</v>
      </c>
      <c r="N57" s="613">
        <f>SUM(N27:N56)</f>
        <v>53727</v>
      </c>
      <c r="O57" s="613">
        <f t="shared" ref="O57:W57" si="2">SUM(O27:O56)</f>
        <v>76752.857142857145</v>
      </c>
      <c r="P57" s="613">
        <f t="shared" si="2"/>
        <v>131693.57142857142</v>
      </c>
      <c r="Q57" s="613">
        <f t="shared" si="2"/>
        <v>21812.142857142859</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12006</v>
      </c>
      <c r="N60" s="618">
        <f t="shared" ref="N60:W60" si="4">SUMIF($Z$27:$Z$56,"landbouw",N27:N56)</f>
        <v>53727</v>
      </c>
      <c r="O60" s="618">
        <f t="shared" si="4"/>
        <v>76752.857142857145</v>
      </c>
      <c r="P60" s="618">
        <f t="shared" si="4"/>
        <v>131693.57142857142</v>
      </c>
      <c r="Q60" s="618">
        <f t="shared" si="4"/>
        <v>21812.142857142859</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54226.76470588235</v>
      </c>
      <c r="C100" s="647">
        <f t="shared" si="9"/>
        <v>8981.4705882352937</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77466.806722689071</v>
      </c>
      <c r="C101" s="650">
        <f t="shared" ref="C101:H101" si="10">$B$97*Q57</f>
        <v>12830.672268907565</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34392.498209091958</v>
      </c>
      <c r="D10" s="702">
        <f ca="1">tertiair!C16</f>
        <v>0</v>
      </c>
      <c r="E10" s="702">
        <f ca="1">tertiair!D16</f>
        <v>39983.696520595702</v>
      </c>
      <c r="F10" s="702">
        <f>tertiair!E16</f>
        <v>439.22106426726668</v>
      </c>
      <c r="G10" s="702">
        <f ca="1">tertiair!F16</f>
        <v>6965.6304626506708</v>
      </c>
      <c r="H10" s="702">
        <f>tertiair!G16</f>
        <v>0</v>
      </c>
      <c r="I10" s="702">
        <f>tertiair!H16</f>
        <v>0</v>
      </c>
      <c r="J10" s="702">
        <f>tertiair!I16</f>
        <v>0</v>
      </c>
      <c r="K10" s="702">
        <f>tertiair!J16</f>
        <v>0</v>
      </c>
      <c r="L10" s="702">
        <f>tertiair!K16</f>
        <v>0</v>
      </c>
      <c r="M10" s="702">
        <f ca="1">tertiair!L16</f>
        <v>0</v>
      </c>
      <c r="N10" s="702">
        <f>tertiair!M16</f>
        <v>0</v>
      </c>
      <c r="O10" s="702">
        <f ca="1">tertiair!N16</f>
        <v>3404.3129640313978</v>
      </c>
      <c r="P10" s="702">
        <f>tertiair!O16</f>
        <v>0</v>
      </c>
      <c r="Q10" s="703">
        <f>tertiair!P16</f>
        <v>19.066666666666666</v>
      </c>
      <c r="R10" s="705">
        <f ca="1">SUM(C10:Q10)</f>
        <v>85204.425887303674</v>
      </c>
      <c r="S10" s="67"/>
    </row>
    <row r="11" spans="1:19" s="457" customFormat="1">
      <c r="A11" s="858" t="s">
        <v>226</v>
      </c>
      <c r="B11" s="863"/>
      <c r="C11" s="702">
        <f>huishoudens!B8</f>
        <v>38040.043071597131</v>
      </c>
      <c r="D11" s="702">
        <f>huishoudens!C8</f>
        <v>0</v>
      </c>
      <c r="E11" s="702">
        <f>huishoudens!D8</f>
        <v>89772.142199248774</v>
      </c>
      <c r="F11" s="702">
        <f>huishoudens!E8</f>
        <v>2251.0905866161461</v>
      </c>
      <c r="G11" s="702">
        <f>huishoudens!F8</f>
        <v>4191.0270571848687</v>
      </c>
      <c r="H11" s="702">
        <f>huishoudens!G8</f>
        <v>0</v>
      </c>
      <c r="I11" s="702">
        <f>huishoudens!H8</f>
        <v>0</v>
      </c>
      <c r="J11" s="702">
        <f>huishoudens!I8</f>
        <v>0</v>
      </c>
      <c r="K11" s="702">
        <f>huishoudens!J8</f>
        <v>1095.8070472579434</v>
      </c>
      <c r="L11" s="702">
        <f>huishoudens!K8</f>
        <v>0</v>
      </c>
      <c r="M11" s="702">
        <f>huishoudens!L8</f>
        <v>0</v>
      </c>
      <c r="N11" s="702">
        <f>huishoudens!M8</f>
        <v>0</v>
      </c>
      <c r="O11" s="702">
        <f>huishoudens!N8</f>
        <v>18865.753731203302</v>
      </c>
      <c r="P11" s="702">
        <f>huishoudens!O8</f>
        <v>93.8</v>
      </c>
      <c r="Q11" s="703">
        <f>huishoudens!P8</f>
        <v>324.13333333333333</v>
      </c>
      <c r="R11" s="705">
        <f>SUM(C11:Q11)</f>
        <v>154633.79702644149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32491.5647740118</v>
      </c>
      <c r="D13" s="702">
        <f>industrie!C18</f>
        <v>0</v>
      </c>
      <c r="E13" s="702">
        <f>industrie!D18</f>
        <v>92086.521994604132</v>
      </c>
      <c r="F13" s="702">
        <f>industrie!E18</f>
        <v>314.76353929403626</v>
      </c>
      <c r="G13" s="702">
        <f>industrie!F18</f>
        <v>7191.4002803142703</v>
      </c>
      <c r="H13" s="702">
        <f>industrie!G18</f>
        <v>0</v>
      </c>
      <c r="I13" s="702">
        <f>industrie!H18</f>
        <v>0</v>
      </c>
      <c r="J13" s="702">
        <f>industrie!I18</f>
        <v>0</v>
      </c>
      <c r="K13" s="702">
        <f>industrie!J18</f>
        <v>206.98072150256868</v>
      </c>
      <c r="L13" s="702">
        <f>industrie!K18</f>
        <v>0</v>
      </c>
      <c r="M13" s="702">
        <f>industrie!L18</f>
        <v>0</v>
      </c>
      <c r="N13" s="702">
        <f>industrie!M18</f>
        <v>0</v>
      </c>
      <c r="O13" s="702">
        <f>industrie!N18</f>
        <v>641.15502705061328</v>
      </c>
      <c r="P13" s="702">
        <f>industrie!O18</f>
        <v>0</v>
      </c>
      <c r="Q13" s="703">
        <f>industrie!P18</f>
        <v>0</v>
      </c>
      <c r="R13" s="705">
        <f>SUM(C13:Q13)</f>
        <v>132932.38633677742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104924.1060547009</v>
      </c>
      <c r="D15" s="707">
        <f t="shared" ref="D15:Q15" ca="1" si="0">SUM(D9:D14)</f>
        <v>0</v>
      </c>
      <c r="E15" s="707">
        <f t="shared" ca="1" si="0"/>
        <v>221842.36071444862</v>
      </c>
      <c r="F15" s="707">
        <f t="shared" si="0"/>
        <v>3005.0751901774493</v>
      </c>
      <c r="G15" s="707">
        <f t="shared" ca="1" si="0"/>
        <v>18348.057800149807</v>
      </c>
      <c r="H15" s="707">
        <f t="shared" si="0"/>
        <v>0</v>
      </c>
      <c r="I15" s="707">
        <f t="shared" si="0"/>
        <v>0</v>
      </c>
      <c r="J15" s="707">
        <f t="shared" si="0"/>
        <v>0</v>
      </c>
      <c r="K15" s="707">
        <f t="shared" si="0"/>
        <v>1302.7877687605121</v>
      </c>
      <c r="L15" s="707">
        <f t="shared" si="0"/>
        <v>0</v>
      </c>
      <c r="M15" s="707">
        <f t="shared" ca="1" si="0"/>
        <v>0</v>
      </c>
      <c r="N15" s="707">
        <f t="shared" si="0"/>
        <v>0</v>
      </c>
      <c r="O15" s="707">
        <f t="shared" ca="1" si="0"/>
        <v>22911.221722285311</v>
      </c>
      <c r="P15" s="707">
        <f t="shared" si="0"/>
        <v>93.8</v>
      </c>
      <c r="Q15" s="708">
        <f t="shared" si="0"/>
        <v>343.2</v>
      </c>
      <c r="R15" s="709">
        <f ca="1">SUM(R9:R14)</f>
        <v>372770.60925052257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3808.1122627578025</v>
      </c>
      <c r="I18" s="702">
        <f>transport!H54</f>
        <v>0</v>
      </c>
      <c r="J18" s="702">
        <f>transport!I54</f>
        <v>0</v>
      </c>
      <c r="K18" s="702">
        <f>transport!J54</f>
        <v>0</v>
      </c>
      <c r="L18" s="702">
        <f>transport!K54</f>
        <v>0</v>
      </c>
      <c r="M18" s="702">
        <f>transport!L54</f>
        <v>0</v>
      </c>
      <c r="N18" s="702">
        <f>transport!M54</f>
        <v>162.32328150687584</v>
      </c>
      <c r="O18" s="702">
        <f>transport!N54</f>
        <v>0</v>
      </c>
      <c r="P18" s="702">
        <f>transport!O54</f>
        <v>0</v>
      </c>
      <c r="Q18" s="703">
        <f>transport!P54</f>
        <v>0</v>
      </c>
      <c r="R18" s="705">
        <f>SUM(C18:Q18)</f>
        <v>3970.4355442646784</v>
      </c>
      <c r="S18" s="67"/>
    </row>
    <row r="19" spans="1:19" s="457" customFormat="1" ht="15" thickBot="1">
      <c r="A19" s="858" t="s">
        <v>308</v>
      </c>
      <c r="B19" s="863"/>
      <c r="C19" s="711">
        <f>transport!B14</f>
        <v>2.4121963516583902</v>
      </c>
      <c r="D19" s="711">
        <f>transport!C14</f>
        <v>0</v>
      </c>
      <c r="E19" s="711">
        <f>transport!D14</f>
        <v>10.854879434974045</v>
      </c>
      <c r="F19" s="711">
        <f>transport!E14</f>
        <v>1354.075435357609</v>
      </c>
      <c r="G19" s="711">
        <f>transport!F14</f>
        <v>0</v>
      </c>
      <c r="H19" s="711">
        <f>transport!G14</f>
        <v>301877.27172836801</v>
      </c>
      <c r="I19" s="711">
        <f>transport!H14</f>
        <v>38190.122583070697</v>
      </c>
      <c r="J19" s="711">
        <f>transport!I14</f>
        <v>0</v>
      </c>
      <c r="K19" s="711">
        <f>transport!J14</f>
        <v>0</v>
      </c>
      <c r="L19" s="711">
        <f>transport!K14</f>
        <v>0</v>
      </c>
      <c r="M19" s="711">
        <f>transport!L14</f>
        <v>0</v>
      </c>
      <c r="N19" s="711">
        <f>transport!M14</f>
        <v>14802.620660359948</v>
      </c>
      <c r="O19" s="711">
        <f>transport!N14</f>
        <v>0</v>
      </c>
      <c r="P19" s="711">
        <f>transport!O14</f>
        <v>0</v>
      </c>
      <c r="Q19" s="712">
        <f>transport!P14</f>
        <v>0</v>
      </c>
      <c r="R19" s="713">
        <f>SUM(C19:Q19)</f>
        <v>356237.35748294293</v>
      </c>
      <c r="S19" s="67"/>
    </row>
    <row r="20" spans="1:19" s="457" customFormat="1" ht="15.75" thickBot="1">
      <c r="A20" s="714" t="s">
        <v>231</v>
      </c>
      <c r="B20" s="866"/>
      <c r="C20" s="861">
        <f>SUM(C17:C19)</f>
        <v>2.4121963516583902</v>
      </c>
      <c r="D20" s="715">
        <f t="shared" ref="D20:R20" si="1">SUM(D17:D19)</f>
        <v>0</v>
      </c>
      <c r="E20" s="715">
        <f t="shared" si="1"/>
        <v>10.854879434974045</v>
      </c>
      <c r="F20" s="715">
        <f t="shared" si="1"/>
        <v>1354.075435357609</v>
      </c>
      <c r="G20" s="715">
        <f t="shared" si="1"/>
        <v>0</v>
      </c>
      <c r="H20" s="715">
        <f t="shared" si="1"/>
        <v>305685.3839911258</v>
      </c>
      <c r="I20" s="715">
        <f t="shared" si="1"/>
        <v>38190.122583070697</v>
      </c>
      <c r="J20" s="715">
        <f t="shared" si="1"/>
        <v>0</v>
      </c>
      <c r="K20" s="715">
        <f t="shared" si="1"/>
        <v>0</v>
      </c>
      <c r="L20" s="715">
        <f t="shared" si="1"/>
        <v>0</v>
      </c>
      <c r="M20" s="715">
        <f t="shared" si="1"/>
        <v>0</v>
      </c>
      <c r="N20" s="715">
        <f t="shared" si="1"/>
        <v>14964.943941866823</v>
      </c>
      <c r="O20" s="715">
        <f t="shared" si="1"/>
        <v>0</v>
      </c>
      <c r="P20" s="715">
        <f t="shared" si="1"/>
        <v>0</v>
      </c>
      <c r="Q20" s="716">
        <f t="shared" si="1"/>
        <v>0</v>
      </c>
      <c r="R20" s="717">
        <f t="shared" si="1"/>
        <v>360207.7930272076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1858.6141228591448</v>
      </c>
      <c r="D22" s="711">
        <f>+landbouw!C8</f>
        <v>76752.857142857145</v>
      </c>
      <c r="E22" s="711">
        <f>+landbouw!D8</f>
        <v>0</v>
      </c>
      <c r="F22" s="711">
        <f>+landbouw!E8</f>
        <v>19.463809468129863</v>
      </c>
      <c r="G22" s="711">
        <f>+landbouw!F8</f>
        <v>9546.1380714768493</v>
      </c>
      <c r="H22" s="711">
        <f>+landbouw!G8</f>
        <v>0</v>
      </c>
      <c r="I22" s="711">
        <f>+landbouw!H8</f>
        <v>0</v>
      </c>
      <c r="J22" s="711">
        <f>+landbouw!I8</f>
        <v>0</v>
      </c>
      <c r="K22" s="711">
        <f>+landbouw!J8</f>
        <v>165.99090021390242</v>
      </c>
      <c r="L22" s="711">
        <f>+landbouw!K8</f>
        <v>0</v>
      </c>
      <c r="M22" s="711">
        <f>+landbouw!L8</f>
        <v>0</v>
      </c>
      <c r="N22" s="711">
        <f>+landbouw!M8</f>
        <v>0</v>
      </c>
      <c r="O22" s="711">
        <f>+landbouw!N8</f>
        <v>0</v>
      </c>
      <c r="P22" s="711">
        <f>+landbouw!O8</f>
        <v>0</v>
      </c>
      <c r="Q22" s="712">
        <f>+landbouw!P8</f>
        <v>0</v>
      </c>
      <c r="R22" s="713">
        <f>SUM(C22:Q22)</f>
        <v>88343.064046875166</v>
      </c>
      <c r="S22" s="67"/>
    </row>
    <row r="23" spans="1:19" s="457" customFormat="1" ht="17.25" thickTop="1" thickBot="1">
      <c r="A23" s="718" t="s">
        <v>116</v>
      </c>
      <c r="B23" s="852"/>
      <c r="C23" s="719">
        <f ca="1">C20+C15+C22</f>
        <v>106785.13237391169</v>
      </c>
      <c r="D23" s="719">
        <f t="shared" ref="D23:Q23" ca="1" si="2">D20+D15+D22</f>
        <v>76752.857142857145</v>
      </c>
      <c r="E23" s="719">
        <f t="shared" ca="1" si="2"/>
        <v>221853.21559388359</v>
      </c>
      <c r="F23" s="719">
        <f t="shared" si="2"/>
        <v>4378.6144350031873</v>
      </c>
      <c r="G23" s="719">
        <f t="shared" ca="1" si="2"/>
        <v>27894.195871626656</v>
      </c>
      <c r="H23" s="719">
        <f t="shared" si="2"/>
        <v>305685.3839911258</v>
      </c>
      <c r="I23" s="719">
        <f t="shared" si="2"/>
        <v>38190.122583070697</v>
      </c>
      <c r="J23" s="719">
        <f t="shared" si="2"/>
        <v>0</v>
      </c>
      <c r="K23" s="719">
        <f t="shared" si="2"/>
        <v>1468.7786689744146</v>
      </c>
      <c r="L23" s="719">
        <f t="shared" si="2"/>
        <v>0</v>
      </c>
      <c r="M23" s="719">
        <f t="shared" ca="1" si="2"/>
        <v>0</v>
      </c>
      <c r="N23" s="719">
        <f t="shared" si="2"/>
        <v>14964.943941866823</v>
      </c>
      <c r="O23" s="719">
        <f t="shared" ca="1" si="2"/>
        <v>22911.221722285311</v>
      </c>
      <c r="P23" s="719">
        <f t="shared" si="2"/>
        <v>93.8</v>
      </c>
      <c r="Q23" s="720">
        <f t="shared" si="2"/>
        <v>343.2</v>
      </c>
      <c r="R23" s="721">
        <f ca="1">R20+R15+R22</f>
        <v>821321.46632460528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7130.0071619111732</v>
      </c>
      <c r="D36" s="702">
        <f ca="1">tertiair!C20</f>
        <v>0</v>
      </c>
      <c r="E36" s="702">
        <f ca="1">tertiair!D20</f>
        <v>8076.7066971603326</v>
      </c>
      <c r="F36" s="702">
        <f>tertiair!E20</f>
        <v>99.703181588669537</v>
      </c>
      <c r="G36" s="702">
        <f ca="1">tertiair!F20</f>
        <v>1859.8233335277291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17166.240374187902</v>
      </c>
    </row>
    <row r="37" spans="1:18">
      <c r="A37" s="873" t="s">
        <v>226</v>
      </c>
      <c r="B37" s="880"/>
      <c r="C37" s="702">
        <f ca="1">huishoudens!B12</f>
        <v>7886.1901188729626</v>
      </c>
      <c r="D37" s="702">
        <f ca="1">huishoudens!C12</f>
        <v>0</v>
      </c>
      <c r="E37" s="702">
        <f>huishoudens!D12</f>
        <v>18133.972724248255</v>
      </c>
      <c r="F37" s="702">
        <f>huishoudens!E12</f>
        <v>510.99756316186517</v>
      </c>
      <c r="G37" s="702">
        <f>huishoudens!F12</f>
        <v>1119.0042242683601</v>
      </c>
      <c r="H37" s="702">
        <f>huishoudens!G12</f>
        <v>0</v>
      </c>
      <c r="I37" s="702">
        <f>huishoudens!H12</f>
        <v>0</v>
      </c>
      <c r="J37" s="702">
        <f>huishoudens!I12</f>
        <v>0</v>
      </c>
      <c r="K37" s="702">
        <f>huishoudens!J12</f>
        <v>387.91569472931195</v>
      </c>
      <c r="L37" s="702">
        <f>huishoudens!K12</f>
        <v>0</v>
      </c>
      <c r="M37" s="702">
        <f>huishoudens!L12</f>
        <v>0</v>
      </c>
      <c r="N37" s="702">
        <f>huishoudens!M12</f>
        <v>0</v>
      </c>
      <c r="O37" s="702">
        <f>huishoudens!N12</f>
        <v>0</v>
      </c>
      <c r="P37" s="702">
        <f>huishoudens!O12</f>
        <v>0</v>
      </c>
      <c r="Q37" s="812">
        <f>huishoudens!P12</f>
        <v>0</v>
      </c>
      <c r="R37" s="905">
        <f ca="1">SUM(C37:Q37)</f>
        <v>28038.080325280753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6735.9192150560975</v>
      </c>
      <c r="D39" s="702">
        <f ca="1">industrie!C22</f>
        <v>0</v>
      </c>
      <c r="E39" s="702">
        <f>industrie!D22</f>
        <v>18601.477442910036</v>
      </c>
      <c r="F39" s="702">
        <f>industrie!E22</f>
        <v>71.451323419746231</v>
      </c>
      <c r="G39" s="702">
        <f>industrie!F22</f>
        <v>1920.1038748439103</v>
      </c>
      <c r="H39" s="702">
        <f>industrie!G22</f>
        <v>0</v>
      </c>
      <c r="I39" s="702">
        <f>industrie!H22</f>
        <v>0</v>
      </c>
      <c r="J39" s="702">
        <f>industrie!I22</f>
        <v>0</v>
      </c>
      <c r="K39" s="702">
        <f>industrie!J22</f>
        <v>73.271175411909311</v>
      </c>
      <c r="L39" s="702">
        <f>industrie!K22</f>
        <v>0</v>
      </c>
      <c r="M39" s="702">
        <f>industrie!L22</f>
        <v>0</v>
      </c>
      <c r="N39" s="702">
        <f>industrie!M22</f>
        <v>0</v>
      </c>
      <c r="O39" s="702">
        <f>industrie!N22</f>
        <v>0</v>
      </c>
      <c r="P39" s="702">
        <f>industrie!O22</f>
        <v>0</v>
      </c>
      <c r="Q39" s="812">
        <f>industrie!P22</f>
        <v>0</v>
      </c>
      <c r="R39" s="906">
        <f ca="1">SUM(C39:Q39)</f>
        <v>27402.223031641701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21752.116495840233</v>
      </c>
      <c r="D41" s="747">
        <f t="shared" ref="D41:R41" ca="1" si="4">SUM(D35:D40)</f>
        <v>0</v>
      </c>
      <c r="E41" s="747">
        <f t="shared" ca="1" si="4"/>
        <v>44812.156864318626</v>
      </c>
      <c r="F41" s="747">
        <f t="shared" si="4"/>
        <v>682.15206817028093</v>
      </c>
      <c r="G41" s="747">
        <f t="shared" ca="1" si="4"/>
        <v>4898.9314326399999</v>
      </c>
      <c r="H41" s="747">
        <f t="shared" si="4"/>
        <v>0</v>
      </c>
      <c r="I41" s="747">
        <f t="shared" si="4"/>
        <v>0</v>
      </c>
      <c r="J41" s="747">
        <f t="shared" si="4"/>
        <v>0</v>
      </c>
      <c r="K41" s="747">
        <f t="shared" si="4"/>
        <v>461.18687014122128</v>
      </c>
      <c r="L41" s="747">
        <f t="shared" si="4"/>
        <v>0</v>
      </c>
      <c r="M41" s="747">
        <f t="shared" ca="1" si="4"/>
        <v>0</v>
      </c>
      <c r="N41" s="747">
        <f t="shared" si="4"/>
        <v>0</v>
      </c>
      <c r="O41" s="747">
        <f t="shared" ca="1" si="4"/>
        <v>0</v>
      </c>
      <c r="P41" s="747">
        <f t="shared" si="4"/>
        <v>0</v>
      </c>
      <c r="Q41" s="748">
        <f t="shared" si="4"/>
        <v>0</v>
      </c>
      <c r="R41" s="749">
        <f t="shared" ca="1" si="4"/>
        <v>72606.54373111036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1016.7659741563333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1016.7659741563333</v>
      </c>
    </row>
    <row r="45" spans="1:18" ht="15" thickBot="1">
      <c r="A45" s="876" t="s">
        <v>308</v>
      </c>
      <c r="B45" s="886"/>
      <c r="C45" s="711">
        <f ca="1">transport!B18</f>
        <v>0.50007932423802892</v>
      </c>
      <c r="D45" s="711">
        <f>transport!C18</f>
        <v>0</v>
      </c>
      <c r="E45" s="711">
        <f>transport!D18</f>
        <v>2.1926856458647572</v>
      </c>
      <c r="F45" s="711">
        <f>transport!E18</f>
        <v>307.37512382617723</v>
      </c>
      <c r="G45" s="711">
        <f>transport!F18</f>
        <v>0</v>
      </c>
      <c r="H45" s="711">
        <f>transport!G18</f>
        <v>80601.231551474266</v>
      </c>
      <c r="I45" s="711">
        <f>transport!H18</f>
        <v>9509.3405231846027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90420.639963455149</v>
      </c>
    </row>
    <row r="46" spans="1:18" ht="15.75" thickBot="1">
      <c r="A46" s="874" t="s">
        <v>231</v>
      </c>
      <c r="B46" s="887"/>
      <c r="C46" s="747">
        <f t="shared" ref="C46:R46" ca="1" si="5">SUM(C43:C45)</f>
        <v>0.50007932423802892</v>
      </c>
      <c r="D46" s="747">
        <f t="shared" ca="1" si="5"/>
        <v>0</v>
      </c>
      <c r="E46" s="747">
        <f t="shared" si="5"/>
        <v>2.1926856458647572</v>
      </c>
      <c r="F46" s="747">
        <f t="shared" si="5"/>
        <v>307.37512382617723</v>
      </c>
      <c r="G46" s="747">
        <f t="shared" si="5"/>
        <v>0</v>
      </c>
      <c r="H46" s="747">
        <f t="shared" si="5"/>
        <v>81617.997525630606</v>
      </c>
      <c r="I46" s="747">
        <f t="shared" si="5"/>
        <v>9509.3405231846027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91437.405937611489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385.3146092106706</v>
      </c>
      <c r="D48" s="702">
        <f ca="1">+landbouw!C12</f>
        <v>15648.294957983195</v>
      </c>
      <c r="E48" s="702">
        <f>+landbouw!D12</f>
        <v>0</v>
      </c>
      <c r="F48" s="702">
        <f>+landbouw!E12</f>
        <v>4.4182847492654789</v>
      </c>
      <c r="G48" s="702">
        <f>+landbouw!F12</f>
        <v>2548.818865084319</v>
      </c>
      <c r="H48" s="702">
        <f>+landbouw!G12</f>
        <v>0</v>
      </c>
      <c r="I48" s="702">
        <f>+landbouw!H12</f>
        <v>0</v>
      </c>
      <c r="J48" s="702">
        <f>+landbouw!I12</f>
        <v>0</v>
      </c>
      <c r="K48" s="702">
        <f>+landbouw!J12</f>
        <v>58.760778675721454</v>
      </c>
      <c r="L48" s="702">
        <f>+landbouw!K12</f>
        <v>0</v>
      </c>
      <c r="M48" s="702">
        <f>+landbouw!L12</f>
        <v>0</v>
      </c>
      <c r="N48" s="702">
        <f>+landbouw!M12</f>
        <v>0</v>
      </c>
      <c r="O48" s="702">
        <f>+landbouw!N12</f>
        <v>0</v>
      </c>
      <c r="P48" s="702">
        <f>+landbouw!O12</f>
        <v>0</v>
      </c>
      <c r="Q48" s="703">
        <f>+landbouw!P12</f>
        <v>0</v>
      </c>
      <c r="R48" s="745">
        <f ca="1">SUM(C48:Q48)</f>
        <v>18645.607495703171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22137.931184375142</v>
      </c>
      <c r="D53" s="757">
        <f t="shared" ref="D53:Q53" ca="1" si="6">D41+D46+D48</f>
        <v>15648.294957983195</v>
      </c>
      <c r="E53" s="757">
        <f t="shared" ca="1" si="6"/>
        <v>44814.349549964492</v>
      </c>
      <c r="F53" s="757">
        <f t="shared" si="6"/>
        <v>993.94547674572368</v>
      </c>
      <c r="G53" s="757">
        <f t="shared" ca="1" si="6"/>
        <v>7447.7502977243184</v>
      </c>
      <c r="H53" s="757">
        <f t="shared" si="6"/>
        <v>81617.997525630606</v>
      </c>
      <c r="I53" s="757">
        <f t="shared" si="6"/>
        <v>9509.3405231846027</v>
      </c>
      <c r="J53" s="757">
        <f t="shared" si="6"/>
        <v>0</v>
      </c>
      <c r="K53" s="757">
        <f t="shared" si="6"/>
        <v>519.94764881694277</v>
      </c>
      <c r="L53" s="757">
        <f t="shared" si="6"/>
        <v>0</v>
      </c>
      <c r="M53" s="757">
        <f t="shared" ca="1" si="6"/>
        <v>0</v>
      </c>
      <c r="N53" s="757">
        <f t="shared" si="6"/>
        <v>0</v>
      </c>
      <c r="O53" s="757">
        <f t="shared" ca="1" si="6"/>
        <v>0</v>
      </c>
      <c r="P53" s="757">
        <f>P41+P46+P48</f>
        <v>0</v>
      </c>
      <c r="Q53" s="758">
        <f t="shared" si="6"/>
        <v>0</v>
      </c>
      <c r="R53" s="759">
        <f ca="1">R41+R46+R48</f>
        <v>182689.55716442503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0.20731285987321194</v>
      </c>
      <c r="D55" s="823">
        <f t="shared" ca="1" si="7"/>
        <v>0.203878989532046</v>
      </c>
      <c r="E55" s="823">
        <f t="shared" ca="1" si="7"/>
        <v>0.20200000000000004</v>
      </c>
      <c r="F55" s="823">
        <f t="shared" si="7"/>
        <v>0.22700000000000004</v>
      </c>
      <c r="G55" s="823">
        <f t="shared" ca="1" si="7"/>
        <v>0.26700000000000007</v>
      </c>
      <c r="H55" s="823">
        <f t="shared" si="7"/>
        <v>0.26700000000000007</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2451.2332165048847</v>
      </c>
      <c r="C66" s="779">
        <f>'lokale energieproductie'!B6</f>
        <v>2451.2332165048847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53727</v>
      </c>
      <c r="C67" s="778">
        <f>B67*IFERROR(SUM(J67:L67)/SUM(D67:M67),0)</f>
        <v>7634.25</v>
      </c>
      <c r="D67" s="810">
        <f>'lokale energieproductie'!C7</f>
        <v>54226.76470588235</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8981.4705882352937</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10953.806470588235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56178.233216504887</v>
      </c>
      <c r="C69" s="787">
        <f>SUM(C64:C68)</f>
        <v>10085.483216504885</v>
      </c>
      <c r="D69" s="788">
        <f t="shared" ref="D69:M69" si="8">SUM(D67:D68)</f>
        <v>54226.76470588235</v>
      </c>
      <c r="E69" s="788">
        <f t="shared" si="8"/>
        <v>0</v>
      </c>
      <c r="F69" s="788">
        <f t="shared" si="8"/>
        <v>0</v>
      </c>
      <c r="G69" s="788">
        <f t="shared" si="8"/>
        <v>0</v>
      </c>
      <c r="H69" s="788">
        <f t="shared" si="8"/>
        <v>0</v>
      </c>
      <c r="I69" s="788">
        <f t="shared" si="8"/>
        <v>0</v>
      </c>
      <c r="J69" s="788">
        <f t="shared" si="8"/>
        <v>0</v>
      </c>
      <c r="K69" s="788">
        <f t="shared" si="8"/>
        <v>8981.4705882352937</v>
      </c>
      <c r="L69" s="788">
        <f t="shared" si="8"/>
        <v>0</v>
      </c>
      <c r="M69" s="918">
        <f t="shared" si="8"/>
        <v>0</v>
      </c>
      <c r="N69" s="789">
        <v>0</v>
      </c>
      <c r="O69" s="789">
        <f>SUM(O67:O68)</f>
        <v>10953.806470588235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76752.857142857145</v>
      </c>
      <c r="C78" s="801">
        <f>B78*IFERROR(SUM(I78:L78)/SUM(D78:M78),0)</f>
        <v>10906.071428571431</v>
      </c>
      <c r="D78" s="816">
        <f>'lokale energieproductie'!C16</f>
        <v>77466.806722689071</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12830.672268907565</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15648.294957983193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76752.857142857145</v>
      </c>
      <c r="C81" s="787">
        <f>SUM(C78:C80)</f>
        <v>10906.071428571431</v>
      </c>
      <c r="D81" s="787">
        <f t="shared" ref="D81:P81" si="9">SUM(D78:D80)</f>
        <v>77466.806722689071</v>
      </c>
      <c r="E81" s="787">
        <f t="shared" si="9"/>
        <v>0</v>
      </c>
      <c r="F81" s="787">
        <f t="shared" si="9"/>
        <v>0</v>
      </c>
      <c r="G81" s="787">
        <f t="shared" si="9"/>
        <v>0</v>
      </c>
      <c r="H81" s="787">
        <f t="shared" si="9"/>
        <v>0</v>
      </c>
      <c r="I81" s="787">
        <f t="shared" si="9"/>
        <v>0</v>
      </c>
      <c r="J81" s="787">
        <f t="shared" si="9"/>
        <v>0</v>
      </c>
      <c r="K81" s="787">
        <f t="shared" si="9"/>
        <v>12830.672268907565</v>
      </c>
      <c r="L81" s="787">
        <f t="shared" si="9"/>
        <v>0</v>
      </c>
      <c r="M81" s="787">
        <f t="shared" si="9"/>
        <v>0</v>
      </c>
      <c r="N81" s="787">
        <v>0</v>
      </c>
      <c r="O81" s="787">
        <f>SUM(O78:O80)</f>
        <v>15648.294957983193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38040.043071597131</v>
      </c>
      <c r="C4" s="461">
        <f>huishoudens!C8</f>
        <v>0</v>
      </c>
      <c r="D4" s="461">
        <f>huishoudens!D8</f>
        <v>89772.142199248774</v>
      </c>
      <c r="E4" s="461">
        <f>huishoudens!E8</f>
        <v>2251.0905866161461</v>
      </c>
      <c r="F4" s="461">
        <f>huishoudens!F8</f>
        <v>4191.0270571848687</v>
      </c>
      <c r="G4" s="461">
        <f>huishoudens!G8</f>
        <v>0</v>
      </c>
      <c r="H4" s="461">
        <f>huishoudens!H8</f>
        <v>0</v>
      </c>
      <c r="I4" s="461">
        <f>huishoudens!I8</f>
        <v>0</v>
      </c>
      <c r="J4" s="461">
        <f>huishoudens!J8</f>
        <v>1095.8070472579434</v>
      </c>
      <c r="K4" s="461">
        <f>huishoudens!K8</f>
        <v>0</v>
      </c>
      <c r="L4" s="461">
        <f>huishoudens!L8</f>
        <v>0</v>
      </c>
      <c r="M4" s="461">
        <f>huishoudens!M8</f>
        <v>0</v>
      </c>
      <c r="N4" s="461">
        <f>huishoudens!N8</f>
        <v>18865.753731203302</v>
      </c>
      <c r="O4" s="461">
        <f>huishoudens!O8</f>
        <v>93.8</v>
      </c>
      <c r="P4" s="462">
        <f>huishoudens!P8</f>
        <v>324.13333333333333</v>
      </c>
      <c r="Q4" s="463">
        <f>SUM(B4:P4)</f>
        <v>154633.79702644149</v>
      </c>
    </row>
    <row r="5" spans="1:17">
      <c r="A5" s="460" t="s">
        <v>156</v>
      </c>
      <c r="B5" s="461">
        <f ca="1">tertiair!B16</f>
        <v>33003.873209091958</v>
      </c>
      <c r="C5" s="461">
        <f ca="1">tertiair!C16</f>
        <v>0</v>
      </c>
      <c r="D5" s="461">
        <f ca="1">tertiair!D16</f>
        <v>39983.696520595702</v>
      </c>
      <c r="E5" s="461">
        <f>tertiair!E16</f>
        <v>439.22106426726668</v>
      </c>
      <c r="F5" s="461">
        <f ca="1">tertiair!F16</f>
        <v>6965.6304626506708</v>
      </c>
      <c r="G5" s="461">
        <f>tertiair!G16</f>
        <v>0</v>
      </c>
      <c r="H5" s="461">
        <f>tertiair!H16</f>
        <v>0</v>
      </c>
      <c r="I5" s="461">
        <f>tertiair!I16</f>
        <v>0</v>
      </c>
      <c r="J5" s="461">
        <f>tertiair!J16</f>
        <v>0</v>
      </c>
      <c r="K5" s="461">
        <f>tertiair!K16</f>
        <v>0</v>
      </c>
      <c r="L5" s="461">
        <f ca="1">tertiair!L16</f>
        <v>0</v>
      </c>
      <c r="M5" s="461">
        <f>tertiair!M16</f>
        <v>0</v>
      </c>
      <c r="N5" s="461">
        <f ca="1">tertiair!N16</f>
        <v>3404.3129640313978</v>
      </c>
      <c r="O5" s="461">
        <f>tertiair!O16</f>
        <v>0</v>
      </c>
      <c r="P5" s="462">
        <f>tertiair!P16</f>
        <v>19.066666666666666</v>
      </c>
      <c r="Q5" s="460">
        <f t="shared" ref="Q5:Q13" ca="1" si="0">SUM(B5:P5)</f>
        <v>83815.800887303674</v>
      </c>
    </row>
    <row r="6" spans="1:17">
      <c r="A6" s="460" t="s">
        <v>195</v>
      </c>
      <c r="B6" s="461">
        <f>'openbare verlichting'!B8</f>
        <v>1388.625</v>
      </c>
      <c r="C6" s="461"/>
      <c r="D6" s="461"/>
      <c r="E6" s="461"/>
      <c r="F6" s="461"/>
      <c r="G6" s="461"/>
      <c r="H6" s="461"/>
      <c r="I6" s="461"/>
      <c r="J6" s="461"/>
      <c r="K6" s="461"/>
      <c r="L6" s="461"/>
      <c r="M6" s="461"/>
      <c r="N6" s="461"/>
      <c r="O6" s="461"/>
      <c r="P6" s="462"/>
      <c r="Q6" s="460">
        <f t="shared" si="0"/>
        <v>1388.625</v>
      </c>
    </row>
    <row r="7" spans="1:17">
      <c r="A7" s="460" t="s">
        <v>112</v>
      </c>
      <c r="B7" s="461">
        <f>landbouw!B8</f>
        <v>1858.6141228591448</v>
      </c>
      <c r="C7" s="461">
        <f>landbouw!C8</f>
        <v>76752.857142857145</v>
      </c>
      <c r="D7" s="461">
        <f>landbouw!D8</f>
        <v>0</v>
      </c>
      <c r="E7" s="461">
        <f>landbouw!E8</f>
        <v>19.463809468129863</v>
      </c>
      <c r="F7" s="461">
        <f>landbouw!F8</f>
        <v>9546.1380714768493</v>
      </c>
      <c r="G7" s="461">
        <f>landbouw!G8</f>
        <v>0</v>
      </c>
      <c r="H7" s="461">
        <f>landbouw!H8</f>
        <v>0</v>
      </c>
      <c r="I7" s="461">
        <f>landbouw!I8</f>
        <v>0</v>
      </c>
      <c r="J7" s="461">
        <f>landbouw!J8</f>
        <v>165.99090021390242</v>
      </c>
      <c r="K7" s="461">
        <f>landbouw!K8</f>
        <v>0</v>
      </c>
      <c r="L7" s="461">
        <f>landbouw!L8</f>
        <v>0</v>
      </c>
      <c r="M7" s="461">
        <f>landbouw!M8</f>
        <v>0</v>
      </c>
      <c r="N7" s="461">
        <f>landbouw!N8</f>
        <v>0</v>
      </c>
      <c r="O7" s="461">
        <f>landbouw!O8</f>
        <v>0</v>
      </c>
      <c r="P7" s="462">
        <f>landbouw!P8</f>
        <v>0</v>
      </c>
      <c r="Q7" s="460">
        <f t="shared" si="0"/>
        <v>88343.064046875166</v>
      </c>
    </row>
    <row r="8" spans="1:17">
      <c r="A8" s="460" t="s">
        <v>656</v>
      </c>
      <c r="B8" s="461">
        <f>industrie!B18</f>
        <v>32491.5647740118</v>
      </c>
      <c r="C8" s="461">
        <f>industrie!C18</f>
        <v>0</v>
      </c>
      <c r="D8" s="461">
        <f>industrie!D18</f>
        <v>92086.521994604132</v>
      </c>
      <c r="E8" s="461">
        <f>industrie!E18</f>
        <v>314.76353929403626</v>
      </c>
      <c r="F8" s="461">
        <f>industrie!F18</f>
        <v>7191.4002803142703</v>
      </c>
      <c r="G8" s="461">
        <f>industrie!G18</f>
        <v>0</v>
      </c>
      <c r="H8" s="461">
        <f>industrie!H18</f>
        <v>0</v>
      </c>
      <c r="I8" s="461">
        <f>industrie!I18</f>
        <v>0</v>
      </c>
      <c r="J8" s="461">
        <f>industrie!J18</f>
        <v>206.98072150256868</v>
      </c>
      <c r="K8" s="461">
        <f>industrie!K18</f>
        <v>0</v>
      </c>
      <c r="L8" s="461">
        <f>industrie!L18</f>
        <v>0</v>
      </c>
      <c r="M8" s="461">
        <f>industrie!M18</f>
        <v>0</v>
      </c>
      <c r="N8" s="461">
        <f>industrie!N18</f>
        <v>641.15502705061328</v>
      </c>
      <c r="O8" s="461">
        <f>industrie!O18</f>
        <v>0</v>
      </c>
      <c r="P8" s="462">
        <f>industrie!P18</f>
        <v>0</v>
      </c>
      <c r="Q8" s="460">
        <f t="shared" si="0"/>
        <v>132932.38633677742</v>
      </c>
    </row>
    <row r="9" spans="1:17" s="466" customFormat="1">
      <c r="A9" s="464" t="s">
        <v>574</v>
      </c>
      <c r="B9" s="465">
        <f>transport!B14</f>
        <v>2.4121963516583902</v>
      </c>
      <c r="C9" s="465">
        <f>transport!C14</f>
        <v>0</v>
      </c>
      <c r="D9" s="465">
        <f>transport!D14</f>
        <v>10.854879434974045</v>
      </c>
      <c r="E9" s="465">
        <f>transport!E14</f>
        <v>1354.075435357609</v>
      </c>
      <c r="F9" s="465">
        <f>transport!F14</f>
        <v>0</v>
      </c>
      <c r="G9" s="465">
        <f>transport!G14</f>
        <v>301877.27172836801</v>
      </c>
      <c r="H9" s="465">
        <f>transport!H14</f>
        <v>38190.122583070697</v>
      </c>
      <c r="I9" s="465">
        <f>transport!I14</f>
        <v>0</v>
      </c>
      <c r="J9" s="465">
        <f>transport!J14</f>
        <v>0</v>
      </c>
      <c r="K9" s="465">
        <f>transport!K14</f>
        <v>0</v>
      </c>
      <c r="L9" s="465">
        <f>transport!L14</f>
        <v>0</v>
      </c>
      <c r="M9" s="465">
        <f>transport!M14</f>
        <v>14802.620660359948</v>
      </c>
      <c r="N9" s="465">
        <f>transport!N14</f>
        <v>0</v>
      </c>
      <c r="O9" s="465">
        <f>transport!O14</f>
        <v>0</v>
      </c>
      <c r="P9" s="465">
        <f>transport!P14</f>
        <v>0</v>
      </c>
      <c r="Q9" s="464">
        <f>SUM(B9:P9)</f>
        <v>356237.35748294293</v>
      </c>
    </row>
    <row r="10" spans="1:17">
      <c r="A10" s="460" t="s">
        <v>564</v>
      </c>
      <c r="B10" s="461">
        <f>transport!B54</f>
        <v>0</v>
      </c>
      <c r="C10" s="461">
        <f>transport!C54</f>
        <v>0</v>
      </c>
      <c r="D10" s="461">
        <f>transport!D54</f>
        <v>0</v>
      </c>
      <c r="E10" s="461">
        <f>transport!E54</f>
        <v>0</v>
      </c>
      <c r="F10" s="461">
        <f>transport!F54</f>
        <v>0</v>
      </c>
      <c r="G10" s="461">
        <f>transport!G54</f>
        <v>3808.1122627578025</v>
      </c>
      <c r="H10" s="461">
        <f>transport!H54</f>
        <v>0</v>
      </c>
      <c r="I10" s="461">
        <f>transport!I54</f>
        <v>0</v>
      </c>
      <c r="J10" s="461">
        <f>transport!J54</f>
        <v>0</v>
      </c>
      <c r="K10" s="461">
        <f>transport!K54</f>
        <v>0</v>
      </c>
      <c r="L10" s="461">
        <f>transport!L54</f>
        <v>0</v>
      </c>
      <c r="M10" s="461">
        <f>transport!M54</f>
        <v>162.32328150687584</v>
      </c>
      <c r="N10" s="461">
        <f>transport!N54</f>
        <v>0</v>
      </c>
      <c r="O10" s="461">
        <f>transport!O54</f>
        <v>0</v>
      </c>
      <c r="P10" s="462">
        <f>transport!P54</f>
        <v>0</v>
      </c>
      <c r="Q10" s="460">
        <f t="shared" si="0"/>
        <v>3970.4355442646784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106785.13237391169</v>
      </c>
      <c r="C14" s="471">
        <f t="shared" ref="C14:Q14" ca="1" si="1">SUM(C4:C13)</f>
        <v>76752.857142857145</v>
      </c>
      <c r="D14" s="471">
        <f t="shared" ca="1" si="1"/>
        <v>221853.21559388359</v>
      </c>
      <c r="E14" s="471">
        <f t="shared" si="1"/>
        <v>4378.6144350031882</v>
      </c>
      <c r="F14" s="471">
        <f t="shared" ca="1" si="1"/>
        <v>27894.19587162666</v>
      </c>
      <c r="G14" s="471">
        <f t="shared" si="1"/>
        <v>305685.3839911258</v>
      </c>
      <c r="H14" s="471">
        <f t="shared" si="1"/>
        <v>38190.122583070697</v>
      </c>
      <c r="I14" s="471">
        <f t="shared" si="1"/>
        <v>0</v>
      </c>
      <c r="J14" s="471">
        <f t="shared" si="1"/>
        <v>1468.7786689744146</v>
      </c>
      <c r="K14" s="471">
        <f t="shared" si="1"/>
        <v>0</v>
      </c>
      <c r="L14" s="471">
        <f t="shared" ca="1" si="1"/>
        <v>0</v>
      </c>
      <c r="M14" s="471">
        <f t="shared" si="1"/>
        <v>14964.943941866823</v>
      </c>
      <c r="N14" s="471">
        <f t="shared" ca="1" si="1"/>
        <v>22911.221722285311</v>
      </c>
      <c r="O14" s="471">
        <f t="shared" si="1"/>
        <v>93.8</v>
      </c>
      <c r="P14" s="472">
        <f t="shared" si="1"/>
        <v>343.2</v>
      </c>
      <c r="Q14" s="472">
        <f t="shared" ca="1" si="1"/>
        <v>821321.4663246054</v>
      </c>
    </row>
    <row r="16" spans="1:17">
      <c r="A16" s="474" t="s">
        <v>569</v>
      </c>
      <c r="B16" s="828">
        <f ca="1">huishoudens!B10</f>
        <v>0.20731285987321194</v>
      </c>
      <c r="C16" s="828">
        <f ca="1">huishoudens!C10</f>
        <v>0.203878989532046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7886.1901188729626</v>
      </c>
      <c r="C21" s="461">
        <f t="shared" ref="C21:C30" ca="1" si="3">C4*$C$16</f>
        <v>0</v>
      </c>
      <c r="D21" s="461">
        <f t="shared" ref="D21:D30" si="4">D4*$D$16</f>
        <v>18133.972724248255</v>
      </c>
      <c r="E21" s="461">
        <f t="shared" ref="E21:E30" si="5">E4*$E$16</f>
        <v>510.99756316186517</v>
      </c>
      <c r="F21" s="461">
        <f t="shared" ref="F21:F30" si="6">F4*$F$16</f>
        <v>1119.0042242683601</v>
      </c>
      <c r="G21" s="461">
        <f t="shared" ref="G21:G30" si="7">G4*$G$16</f>
        <v>0</v>
      </c>
      <c r="H21" s="461">
        <f t="shared" ref="H21:H30" si="8">H4*$H$16</f>
        <v>0</v>
      </c>
      <c r="I21" s="461">
        <f t="shared" ref="I21:I30" si="9">I4*$I$16</f>
        <v>0</v>
      </c>
      <c r="J21" s="461">
        <f t="shared" ref="J21:J30" si="10">J4*$J$16</f>
        <v>387.91569472931195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28038.080325280753</v>
      </c>
    </row>
    <row r="22" spans="1:17">
      <c r="A22" s="460" t="s">
        <v>156</v>
      </c>
      <c r="B22" s="461">
        <f t="shared" ca="1" si="2"/>
        <v>6842.1273418697347</v>
      </c>
      <c r="C22" s="461">
        <f t="shared" ca="1" si="3"/>
        <v>0</v>
      </c>
      <c r="D22" s="461">
        <f t="shared" ca="1" si="4"/>
        <v>8076.7066971603326</v>
      </c>
      <c r="E22" s="461">
        <f t="shared" si="5"/>
        <v>99.703181588669537</v>
      </c>
      <c r="F22" s="461">
        <f t="shared" ca="1" si="6"/>
        <v>1859.8233335277291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16878.360554146464</v>
      </c>
    </row>
    <row r="23" spans="1:17">
      <c r="A23" s="460" t="s">
        <v>195</v>
      </c>
      <c r="B23" s="461">
        <f t="shared" ca="1" si="2"/>
        <v>287.8798200414389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287.8798200414389</v>
      </c>
    </row>
    <row r="24" spans="1:17">
      <c r="A24" s="460" t="s">
        <v>112</v>
      </c>
      <c r="B24" s="461">
        <f t="shared" ca="1" si="2"/>
        <v>385.3146092106706</v>
      </c>
      <c r="C24" s="461">
        <f t="shared" ca="1" si="3"/>
        <v>15648.294957983195</v>
      </c>
      <c r="D24" s="461">
        <f t="shared" si="4"/>
        <v>0</v>
      </c>
      <c r="E24" s="461">
        <f t="shared" si="5"/>
        <v>4.4182847492654789</v>
      </c>
      <c r="F24" s="461">
        <f t="shared" si="6"/>
        <v>2548.818865084319</v>
      </c>
      <c r="G24" s="461">
        <f t="shared" si="7"/>
        <v>0</v>
      </c>
      <c r="H24" s="461">
        <f t="shared" si="8"/>
        <v>0</v>
      </c>
      <c r="I24" s="461">
        <f t="shared" si="9"/>
        <v>0</v>
      </c>
      <c r="J24" s="461">
        <f t="shared" si="10"/>
        <v>58.760778675721454</v>
      </c>
      <c r="K24" s="461">
        <f t="shared" si="11"/>
        <v>0</v>
      </c>
      <c r="L24" s="461">
        <f t="shared" si="12"/>
        <v>0</v>
      </c>
      <c r="M24" s="461">
        <f t="shared" si="13"/>
        <v>0</v>
      </c>
      <c r="N24" s="461">
        <f t="shared" si="14"/>
        <v>0</v>
      </c>
      <c r="O24" s="461">
        <f t="shared" si="15"/>
        <v>0</v>
      </c>
      <c r="P24" s="462">
        <f t="shared" si="16"/>
        <v>0</v>
      </c>
      <c r="Q24" s="460">
        <f t="shared" ca="1" si="17"/>
        <v>18645.607495703171</v>
      </c>
    </row>
    <row r="25" spans="1:17">
      <c r="A25" s="460" t="s">
        <v>656</v>
      </c>
      <c r="B25" s="461">
        <f t="shared" ca="1" si="2"/>
        <v>6735.9192150560975</v>
      </c>
      <c r="C25" s="461">
        <f t="shared" ca="1" si="3"/>
        <v>0</v>
      </c>
      <c r="D25" s="461">
        <f t="shared" si="4"/>
        <v>18601.477442910036</v>
      </c>
      <c r="E25" s="461">
        <f t="shared" si="5"/>
        <v>71.451323419746231</v>
      </c>
      <c r="F25" s="461">
        <f t="shared" si="6"/>
        <v>1920.1038748439103</v>
      </c>
      <c r="G25" s="461">
        <f t="shared" si="7"/>
        <v>0</v>
      </c>
      <c r="H25" s="461">
        <f t="shared" si="8"/>
        <v>0</v>
      </c>
      <c r="I25" s="461">
        <f t="shared" si="9"/>
        <v>0</v>
      </c>
      <c r="J25" s="461">
        <f t="shared" si="10"/>
        <v>73.271175411909311</v>
      </c>
      <c r="K25" s="461">
        <f t="shared" si="11"/>
        <v>0</v>
      </c>
      <c r="L25" s="461">
        <f t="shared" si="12"/>
        <v>0</v>
      </c>
      <c r="M25" s="461">
        <f t="shared" si="13"/>
        <v>0</v>
      </c>
      <c r="N25" s="461">
        <f t="shared" si="14"/>
        <v>0</v>
      </c>
      <c r="O25" s="461">
        <f t="shared" si="15"/>
        <v>0</v>
      </c>
      <c r="P25" s="462">
        <f t="shared" si="16"/>
        <v>0</v>
      </c>
      <c r="Q25" s="460">
        <f t="shared" ca="1" si="17"/>
        <v>27402.223031641701</v>
      </c>
    </row>
    <row r="26" spans="1:17" s="466" customFormat="1">
      <c r="A26" s="464" t="s">
        <v>574</v>
      </c>
      <c r="B26" s="822">
        <f t="shared" ca="1" si="2"/>
        <v>0.50007932423802892</v>
      </c>
      <c r="C26" s="465">
        <f t="shared" ca="1" si="3"/>
        <v>0</v>
      </c>
      <c r="D26" s="465">
        <f t="shared" si="4"/>
        <v>2.1926856458647572</v>
      </c>
      <c r="E26" s="465">
        <f t="shared" si="5"/>
        <v>307.37512382617723</v>
      </c>
      <c r="F26" s="465">
        <f t="shared" si="6"/>
        <v>0</v>
      </c>
      <c r="G26" s="465">
        <f t="shared" si="7"/>
        <v>80601.231551474266</v>
      </c>
      <c r="H26" s="465">
        <f t="shared" si="8"/>
        <v>9509.3405231846027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90420.639963455149</v>
      </c>
    </row>
    <row r="27" spans="1:17">
      <c r="A27" s="460" t="s">
        <v>564</v>
      </c>
      <c r="B27" s="461">
        <f t="shared" ca="1" si="2"/>
        <v>0</v>
      </c>
      <c r="C27" s="461">
        <f t="shared" ca="1" si="3"/>
        <v>0</v>
      </c>
      <c r="D27" s="461">
        <f t="shared" si="4"/>
        <v>0</v>
      </c>
      <c r="E27" s="461">
        <f t="shared" si="5"/>
        <v>0</v>
      </c>
      <c r="F27" s="461">
        <f t="shared" si="6"/>
        <v>0</v>
      </c>
      <c r="G27" s="461">
        <f t="shared" si="7"/>
        <v>1016.7659741563333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1016.7659741563333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22137.931184375146</v>
      </c>
      <c r="C31" s="471">
        <f t="shared" ca="1" si="18"/>
        <v>15648.294957983195</v>
      </c>
      <c r="D31" s="471">
        <f t="shared" ca="1" si="18"/>
        <v>44814.349549964492</v>
      </c>
      <c r="E31" s="471">
        <f t="shared" si="18"/>
        <v>993.94547674572368</v>
      </c>
      <c r="F31" s="471">
        <f t="shared" ca="1" si="18"/>
        <v>7447.7502977243194</v>
      </c>
      <c r="G31" s="471">
        <f t="shared" si="18"/>
        <v>81617.997525630606</v>
      </c>
      <c r="H31" s="471">
        <f t="shared" si="18"/>
        <v>9509.3405231846027</v>
      </c>
      <c r="I31" s="471">
        <f t="shared" si="18"/>
        <v>0</v>
      </c>
      <c r="J31" s="471">
        <f t="shared" si="18"/>
        <v>519.94764881694266</v>
      </c>
      <c r="K31" s="471">
        <f t="shared" si="18"/>
        <v>0</v>
      </c>
      <c r="L31" s="471">
        <f t="shared" ca="1" si="18"/>
        <v>0</v>
      </c>
      <c r="M31" s="471">
        <f t="shared" si="18"/>
        <v>0</v>
      </c>
      <c r="N31" s="471">
        <f t="shared" ca="1" si="18"/>
        <v>0</v>
      </c>
      <c r="O31" s="471">
        <f t="shared" si="18"/>
        <v>0</v>
      </c>
      <c r="P31" s="472">
        <f t="shared" si="18"/>
        <v>0</v>
      </c>
      <c r="Q31" s="472">
        <f t="shared" ca="1" si="18"/>
        <v>182689.557164425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0.20731285987321194</v>
      </c>
      <c r="C17" s="511">
        <f ca="1">'EF ele_warmte'!B22</f>
        <v>0.203878989532046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0.20731285987321194</v>
      </c>
      <c r="C17" s="511">
        <f ca="1">'EF ele_warmte'!B22</f>
        <v>0.203878989532046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0.20731285987321194</v>
      </c>
      <c r="C29" s="512">
        <f ca="1">'EF ele_warmte'!B22</f>
        <v>0.203878989532046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2018-06-27T08:59:13Z</dcterms:modified>
</cp:coreProperties>
</file>