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O22" i="14" l="1"/>
  <c r="R22" s="1"/>
  <c r="N12" i="17"/>
  <c r="O48" i="14" s="1"/>
  <c r="N7" i="48"/>
  <c r="N24" s="1"/>
  <c r="K81" i="14"/>
  <c r="C78"/>
  <c r="C81" s="1"/>
  <c r="R17"/>
  <c r="L12" i="17"/>
  <c r="M48" i="14" s="1"/>
  <c r="C14" i="48"/>
  <c r="D67" i="14"/>
  <c r="C9" i="18"/>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<sst xmlns="http://schemas.openxmlformats.org/spreadsheetml/2006/main" count="2038" uniqueCount="900">
  <si>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</si>
  <si>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</si>
  <si>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</si>
  <si>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</si>
  <si>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</si>
  <si>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</si>
  <si>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</si>
  <si>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</si>
  <si>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</si>
  <si>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</si>
  <si>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</si>
  <si>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</si>
  <si>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</si>
  <si>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</si>
  <si>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</si>
  <si>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</si>
  <si>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</si>
  <si>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</si>
  <si>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</si>
  <si>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</si>
  <si>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</si>
  <si>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</si>
  <si>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</si>
  <si>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</si>
  <si>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</si>
  <si>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</si>
  <si>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</si>
  <si>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</si>
  <si>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</si>
  <si>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</si>
  <si>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</si>
  <si>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</si>
  <si>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</si>
  <si>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</si>
  <si>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</si>
  <si>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</si>
  <si>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</si>
  <si>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</si>
  <si>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</si>
  <si>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</si>
  <si>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</si>
  <si>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</si>
  <si>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</si>
  <si>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</si>
  <si>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</si>
  <si>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</si>
  <si>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</si>
  <si>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</si>
  <si>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</si>
  <si>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</si>
  <si>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</si>
  <si>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</si>
  <si>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</si>
  <si>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</si>
  <si>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</si>
  <si>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</si>
  <si>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</si>
  <si>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</si>
  <si>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</si>
  <si>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</si>
  <si>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</si>
  <si>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</si>
  <si>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</si>
  <si>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</si>
  <si>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</si>
  <si>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</si>
  <si>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</si>
  <si>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</si>
  <si>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</si>
  <si>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</si>
  <si>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</si>
  <si>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</si>
  <si>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</si>
  <si>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</si>
  <si>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</si>
  <si>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</si>
  <si>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</si>
  <si>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</si>
  <si>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</si>
  <si>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</si>
  <si>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</si>
  <si>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</si>
  <si>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</si>
  <si>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</si>
  <si>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</si>
  <si>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</si>
  <si>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</si>
  <si>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</si>
  <si>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</si>
  <si>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</si>
  <si>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</si>
  <si>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</si>
  <si>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</si>
  <si>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</si>
  <si>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</si>
  <si>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</si>
  <si>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</si>
  <si>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</si>
  <si>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</si>
  <si>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</si>
  <si>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</si>
  <si>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</si>
  <si>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</si>
  <si>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</si>
  <si>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</si>
  <si>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</si>
  <si>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</si>
  <si>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</si>
  <si>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</si>
  <si>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</si>
  <si>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</si>
  <si>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</si>
  <si>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</si>
  <si>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</si>
  <si>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</si>
  <si>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</si>
  <si>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</si>
  <si>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</si>
  <si>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</si>
  <si>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</si>
  <si>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</si>
  <si>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</si>
  <si>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</si>
  <si>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</si>
  <si>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</si>
  <si>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</si>
  <si>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</si>
  <si>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</si>
  <si>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</si>
  <si>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</si>
  <si>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</si>
  <si>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</si>
  <si>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</si>
  <si>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</si>
  <si>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</si>
  <si>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</si>
  <si>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</si>
  <si>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</si>
  <si>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</si>
  <si>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</si>
  <si>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</si>
  <si>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</si>
  <si>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</si>
  <si>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</si>
  <si>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</si>
  <si>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</si>
  <si>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</si>
  <si>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</si>
  <si>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</si>
  <si>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</si>
  <si>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</si>
  <si>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</si>
  <si>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</si>
  <si>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</si>
  <si>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</si>
  <si>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</si>
  <si>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</si>
  <si>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</si>
  <si>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</si>
  <si>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</si>
  <si>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</si>
  <si>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</si>
  <si>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</si>
  <si>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</si>
  <si>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</si>
  <si>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</si>
  <si>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</si>
  <si>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</si>
  <si>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</si>
  <si>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</si>
  <si>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</si>
  <si>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</si>
  <si>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</si>
  <si>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</si>
  <si>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</si>
  <si>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</si>
  <si>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</si>
  <si>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</si>
  <si>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</si>
  <si>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</si>
  <si>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</si>
  <si>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</si>
  <si>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</si>
  <si>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</si>
  <si>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</si>
  <si>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</si>
  <si>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</si>
  <si>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</si>
  <si>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</si>
  <si>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</si>
  <si>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</si>
  <si>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</si>
  <si>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</si>
  <si>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</si>
  <si>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</si>
  <si>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</si>
  <si>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</si>
  <si>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</si>
  <si>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</si>
  <si>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</si>
  <si>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</si>
  <si>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</si>
  <si>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</si>
  <si>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</si>
  <si>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</si>
  <si>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</si>
  <si>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</si>
  <si>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</si>
  <si>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</si>
  <si>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</si>
  <si>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</si>
  <si>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</si>
  <si>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</si>
  <si>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</si>
  <si>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</si>
  <si>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</si>
  <si>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</si>
  <si>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</si>
  <si>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</si>
  <si>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</si>
  <si>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</si>
  <si>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</si>
  <si>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</si>
  <si>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</si>
  <si>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</si>
  <si>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</si>
  <si>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</si>
  <si>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</si>
  <si>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</si>
  <si>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</si>
  <si>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</si>
  <si>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</si>
  <si>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</si>
  <si>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</si>
  <si>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</si>
  <si>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</si>
  <si>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</si>
  <si>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</si>
  <si>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</si>
  <si>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</si>
  <si>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</si>
  <si>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</si>
  <si>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</si>
  <si>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</si>
  <si>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</si>
  <si>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</si>
  <si>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</si>
  <si>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</si>
  <si>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</si>
  <si>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</si>
  <si>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</si>
  <si>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</si>
  <si>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</si>
  <si>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</si>
  <si>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</si>
  <si>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</si>
  <si>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</si>
  <si>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</si>
  <si>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</si>
  <si>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</si>
  <si>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</si>
  <si>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</si>
  <si>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</si>
  <si>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</si>
  <si>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</si>
  <si>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</si>
  <si>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</si>
  <si>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</si>
  <si>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</si>
  <si>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</si>
  <si>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</si>
  <si>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</si>
  <si>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</si>
  <si>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</si>
  <si>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</si>
  <si>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</si>
  <si>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</si>
  <si>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</si>
  <si>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</si>
  <si>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</si>
  <si>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</si>
  <si>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</si>
  <si>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</si>
  <si>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</si>
  <si>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</si>
  <si>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</si>
  <si>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</si>
  <si>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</si>
  <si>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</si>
  <si>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</si>
  <si>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</si>
  <si>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</si>
  <si>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</si>
  <si>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</si>
  <si>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</si>
  <si>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</si>
  <si>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</si>
  <si>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</si>
  <si>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</si>
  <si>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</si>
  <si>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</si>
  <si>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</si>
  <si>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</si>
  <si>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</si>
  <si>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</si>
  <si>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</si>
  <si>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</si>
  <si>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</si>
  <si>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</si>
  <si>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</si>
  <si>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</si>
  <si>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</si>
  <si>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</si>
  <si>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</si>
  <si>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</si>
  <si>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</si>
  <si>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</si>
  <si>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</si>
  <si>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</si>
  <si>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</si>
  <si>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</si>
  <si>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</si>
  <si>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</si>
  <si>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</si>
  <si>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</si>
  <si>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</si>
  <si>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</si>
  <si>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</si>
  <si>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</si>
  <si>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</si>
  <si>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</si>
  <si>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</si>
  <si>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</si>
  <si>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</si>
  <si>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</si>
  <si>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</si>
  <si>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</si>
  <si>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</si>
  <si>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</si>
  <si>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</si>
  <si>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</si>
  <si>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</si>
  <si>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</si>
  <si>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</si>
  <si>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</si>
  <si>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</si>
  <si>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</si>
  <si>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</si>
  <si>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</si>
  <si>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</si>
  <si>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</si>
  <si>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</si>
  <si>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</si>
  <si>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</si>
  <si>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</si>
  <si>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</si>
  <si>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</si>
  <si>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</si>
  <si>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</si>
  <si>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</si>
  <si>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</si>
  <si>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</si>
  <si>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</si>
  <si>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</si>
  <si>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</si>
  <si>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</si>
  <si>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</si>
  <si>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</si>
  <si>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</si>
  <si>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</si>
  <si>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</si>
  <si>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</si>
  <si>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</si>
  <si>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</si>
  <si>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</si>
  <si>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</si>
  <si>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</si>
  <si>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</si>
  <si>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</si>
  <si>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</si>
  <si>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</si>
  <si>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</si>
  <si>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</si>
  <si>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</si>
  <si>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</si>
  <si>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</si>
  <si>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</si>
  <si>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</si>
  <si>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</si>
  <si>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</si>
  <si>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</si>
  <si>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</si>
  <si>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</si>
  <si>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</si>
  <si>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</si>
  <si>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</si>
  <si>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</si>
  <si>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</si>
  <si>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</si>
  <si>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</si>
  <si>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</si>
  <si>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</si>
  <si>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</si>
  <si>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</si>
  <si>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</si>
  <si>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</si>
  <si>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</si>
  <si>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</si>
  <si>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</si>
  <si>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</si>
  <si>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</si>
  <si>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</si>
  <si>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</si>
  <si>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</si>
  <si>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</si>
  <si>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</si>
  <si>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</si>
  <si>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</si>
  <si>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</si>
  <si>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</si>
  <si>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</si>
  <si>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</si>
  <si>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</si>
  <si>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</si>
  <si>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</si>
  <si>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</si>
  <si>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</si>
  <si>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</si>
  <si>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</si>
  <si>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</si>
  <si>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</si>
  <si>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</si>
  <si>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</si>
  <si>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</si>
  <si>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</si>
  <si>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</si>
  <si>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</si>
  <si>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</si>
  <si>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</si>
  <si>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</si>
  <si>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</si>
  <si>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</si>
  <si>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</si>
  <si>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</si>
  <si>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</si>
  <si>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</si>
  <si>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</si>
  <si>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</si>
  <si>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</si>
  <si>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</si>
  <si>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</si>
  <si>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</si>
  <si>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</si>
  <si>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</si>
  <si>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</si>
  <si>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</si>
  <si>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</si>
  <si>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</si>
  <si>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</si>
  <si>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</si>
  <si>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</si>
  <si>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</si>
  <si>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</si>
  <si>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</si>
  <si>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</si>
  <si>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</si>
  <si>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</si>
  <si>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</si>
  <si>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</si>
  <si>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</si>
  <si>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</si>
  <si>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</si>
  <si>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</si>
  <si>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</si>
  <si>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</si>
  <si>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</si>
  <si>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</si>
  <si>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</si>
  <si>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</si>
  <si>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</si>
  <si>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</si>
  <si>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</si>
  <si>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</si>
  <si>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</si>
  <si>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</si>
  <si>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</si>
  <si>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</si>
  <si>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</si>
  <si>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</si>
  <si>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</si>
  <si>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</si>
  <si>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</si>
  <si>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</si>
  <si>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</si>
  <si>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</si>
  <si>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</si>
  <si>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</si>
  <si>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</si>
  <si>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</si>
  <si>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</si>
  <si>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</si>
  <si>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</si>
  <si>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</si>
  <si>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</si>
  <si>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</si>
  <si>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</si>
  <si>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</si>
  <si>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</si>
  <si>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</si>
  <si>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</si>
  <si>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</si>
  <si>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</si>
  <si>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</si>
  <si>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</si>
  <si>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</si>
  <si>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</si>
  <si>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</si>
  <si>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</si>
  <si>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</si>
  <si>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</si>
  <si>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</si>
  <si>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</si>
  <si>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</si>
  <si>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</si>
  <si>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</si>
  <si>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</si>
  <si>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</si>
  <si>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</si>
  <si>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</si>
  <si>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</si>
  <si>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</si>
  <si>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</si>
  <si>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</si>
  <si>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</si>
  <si>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</si>
  <si>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</si>
  <si>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</si>
  <si>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</si>
  <si>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</si>
  <si>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</si>
  <si>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</si>
  <si>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</si>
  <si>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</si>
  <si>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</si>
  <si>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</si>
  <si>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</si>
  <si>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</si>
  <si>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</si>
  <si>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</si>
  <si>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</si>
  <si>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</si>
  <si>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</si>
  <si>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</si>
  <si>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</si>
  <si>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</si>
  <si>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</si>
  <si>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</si>
  <si>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</si>
  <si>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</si>
  <si>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</si>
  <si>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</si>
  <si>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</si>
  <si>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</si>
  <si>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</si>
  <si>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</si>
  <si>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</si>
  <si>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</si>
  <si>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</si>
  <si>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</si>
  <si>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</si>
  <si>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</si>
  <si>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</si>
  <si>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</si>
  <si>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</si>
  <si>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</si>
  <si>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</si>
  <si>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</si>
  <si>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</si>
  <si>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</si>
  <si>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</si>
  <si>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</si>
  <si>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</si>
  <si>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</si>
  <si>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</si>
  <si>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</si>
  <si>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</si>
  <si>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</si>
  <si>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</si>
  <si>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</si>
  <si>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</si>
  <si>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</si>
  <si>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</si>
  <si>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</si>
  <si>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</si>
  <si>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</si>
  <si>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</si>
  <si>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</si>
  <si>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</si>
  <si>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</si>
  <si>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</si>
  <si>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</si>
  <si>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</si>
  <si>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</si>
  <si>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</si>
  <si>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</si>
  <si>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</si>
  <si>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</si>
  <si>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</si>
  <si>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</si>
  <si>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</si>
  <si>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</si>
  <si>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</si>
  <si>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</si>
  <si>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</si>
  <si>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</si>
  <si>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</si>
  <si>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</si>
  <si>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</si>
  <si>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</si>
  <si>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</si>
  <si>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</si>
  <si>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</si>
  <si>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</si>
  <si>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</si>
  <si>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</si>
  <si>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</si>
  <si>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</si>
  <si>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</si>
  <si>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</si>
  <si>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</si>
  <si>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</si>
  <si>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</si>
  <si>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</si>
  <si>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</si>
  <si>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</si>
  <si>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</si>
  <si>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</si>
  <si>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</si>
  <si>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</si>
  <si>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</si>
  <si>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</si>
  <si>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</si>
  <si>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</si>
  <si>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</si>
  <si>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</si>
  <si>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</si>
  <si>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</si>
  <si>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</si>
  <si>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</si>
  <si>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</si>
  <si>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</si>
  <si>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</si>
  <si>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</si>
  <si>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</si>
  <si>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</si>
  <si>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</si>
  <si>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</si>
  <si>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</si>
  <si>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</si>
  <si>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</si>
  <si>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</si>
  <si>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</si>
  <si>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</si>
  <si>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</si>
  <si>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</si>
  <si>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</si>
  <si>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</si>
  <si>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</si>
  <si>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</si>
  <si>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</si>
  <si>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</si>
  <si>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</si>
  <si>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</si>
  <si>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</si>
  <si>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</si>
  <si>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</si>
  <si>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</si>
  <si>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</si>
  <si>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</si>
  <si>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</si>
  <si>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</si>
  <si>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</si>
  <si>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</si>
  <si>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</si>
  <si>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</si>
  <si>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</si>
  <si>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</si>
  <si>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</si>
  <si>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</si>
  <si>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</si>
  <si>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</si>
  <si>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</si>
  <si>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</si>
  <si>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</si>
  <si>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</si>
  <si>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</si>
  <si>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</si>
  <si>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</si>
  <si>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</si>
  <si>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</si>
  <si>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</si>
  <si>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</si>
  <si>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</si>
  <si>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</si>
  <si>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</si>
  <si>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</si>
  <si>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</si>
  <si>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</si>
  <si>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</si>
  <si>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</si>
  <si>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</si>
  <si>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</si>
  <si>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</si>
  <si>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</si>
  <si>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</si>
  <si>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</si>
  <si>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</si>
  <si>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</si>
  <si>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</si>
  <si>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</si>
  <si>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</si>
  <si>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</si>
  <si>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</si>
  <si>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</si>
  <si>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</si>
  <si>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</si>
  <si>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</si>
  <si>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</si>
  <si>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</si>
  <si>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</si>
  <si>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</si>
  <si>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</si>
  <si>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</si>
  <si>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</si>
  <si>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</si>
  <si>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</si>
  <si>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</si>
  <si>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</si>
  <si>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</si>
  <si>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</si>
  <si>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</si>
  <si>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</si>
  <si>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</si>
  <si>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</si>
  <si>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</si>
  <si>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</si>
  <si>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</si>
  <si>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</si>
  <si>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</si>
  <si>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</si>
  <si>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</si>
  <si>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</si>
  <si>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</si>
  <si>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</si>
  <si>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</si>
  <si>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</si>
  <si>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</si>
  <si>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</si>
  <si>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</si>
  <si>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</si>
  <si>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</si>
  <si>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</si>
  <si>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</si>
  <si>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</si>
  <si>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</si>
  <si>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</si>
  <si>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</si>
  <si>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</si>
  <si>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</si>
  <si>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</si>
  <si>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</si>
  <si>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</si>
  <si>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</si>
  <si>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</si>
  <si>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</si>
  <si>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</si>
  <si>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</si>
  <si>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</si>
  <si>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</si>
  <si>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</si>
  <si>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</si>
  <si>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</si>
  <si>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</si>
  <si>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</si>
  <si>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</si>
  <si>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</si>
  <si>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</si>
  <si>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</si>
  <si>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</si>
  <si>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</si>
  <si>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</si>
  <si>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</si>
  <si>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</si>
  <si>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</si>
  <si>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</si>
  <si>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</si>
  <si>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</si>
  <si>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</si>
  <si>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</si>
  <si>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</si>
  <si>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</si>
  <si>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</si>
  <si>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</si>
  <si>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</si>
  <si>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</si>
  <si>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</si>
  <si>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</si>
  <si>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</si>
  <si>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</si>
  <si>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</si>
  <si>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</si>
  <si>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</si>
  <si>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</si>
  <si>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</si>
  <si>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</si>
  <si>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</si>
  <si>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</si>
  <si>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</si>
  <si>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</si>
  <si>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</si>
  <si>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</si>
  <si>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</si>
  <si>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</si>
  <si>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</si>
  <si>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</si>
  <si>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</si>
  <si>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</si>
  <si>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</si>
  <si>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</si>
  <si>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</si>
  <si>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</si>
  <si>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</si>
  <si>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</si>
  <si>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</si>
  <si>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</si>
  <si>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</si>
  <si>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</si>
  <si>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</si>
  <si>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</si>
  <si>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</si>
  <si>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</si>
  <si>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</si>
  <si>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</si>
  <si>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</si>
  <si>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</si>
  <si>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</si>
  <si>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</si>
  <si>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</si>
  <si>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</si>
  <si>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</si>
  <si>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</si>
  <si>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</si>
  <si>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</si>
  <si>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</si>
  <si>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</si>
  <si>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</si>
  <si>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</si>
  <si>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</si>
  <si>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</si>
  <si>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</si>
  <si>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</si>
  <si>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</si>
  <si>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</si>
  <si>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</si>
  <si>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</si>
  <si>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</si>
  <si>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</si>
  <si>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</si>
  <si>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</si>
  <si>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</si>
  <si>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</si>
  <si>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</si>
  <si>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</si>
  <si>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</si>
  <si>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</si>
  <si>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</si>
  <si>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</si>
  <si>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</si>
  <si>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</si>
  <si>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</si>
  <si>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</si>
  <si>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</si>
  <si>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</si>
  <si>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</si>
  <si>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</si>
  <si>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11022</t>
  </si>
  <si>
    <t>KALMTHOUT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</si>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</sst>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11022</v>
      </c>
      <c r="B6" s="396"/>
      <c r="C6" s="397"/>
    </row>
    <row r="7" spans="1:7" s="394" customFormat="1" ht="15.75" customHeight="1">
      <c r="A7" s="398" t="str">
        <f>txtMunicipality</f>
        <v>KALMTHOUT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6997</v>
      </c>
      <c r="C9" s="336">
        <v>7223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3097</v>
      </c>
    </row>
    <row r="15" spans="1:6">
      <c r="A15" s="1194" t="s">
        <v>185</v>
      </c>
      <c r="B15" s="333">
        <v>614</v>
      </c>
    </row>
    <row r="16" spans="1:6">
      <c r="A16" s="1194" t="s">
        <v>6</v>
      </c>
      <c r="B16" s="333">
        <v>3301</v>
      </c>
    </row>
    <row r="17" spans="1:6">
      <c r="A17" s="1194" t="s">
        <v>7</v>
      </c>
      <c r="B17" s="333">
        <v>199</v>
      </c>
    </row>
    <row r="18" spans="1:6">
      <c r="A18" s="1194" t="s">
        <v>8</v>
      </c>
      <c r="B18" s="333">
        <v>1583</v>
      </c>
    </row>
    <row r="19" spans="1:6">
      <c r="A19" s="1194" t="s">
        <v>9</v>
      </c>
      <c r="B19" s="333">
        <v>1501</v>
      </c>
    </row>
    <row r="20" spans="1:6">
      <c r="A20" s="1194" t="s">
        <v>10</v>
      </c>
      <c r="B20" s="333">
        <v>850</v>
      </c>
    </row>
    <row r="21" spans="1:6">
      <c r="A21" s="1194" t="s">
        <v>11</v>
      </c>
      <c r="B21" s="333">
        <v>8820</v>
      </c>
    </row>
    <row r="22" spans="1:6">
      <c r="A22" s="1194" t="s">
        <v>12</v>
      </c>
      <c r="B22" s="333">
        <v>19462</v>
      </c>
    </row>
    <row r="23" spans="1:6">
      <c r="A23" s="1194" t="s">
        <v>13</v>
      </c>
      <c r="B23" s="333">
        <v>385</v>
      </c>
    </row>
    <row r="24" spans="1:6">
      <c r="A24" s="1194" t="s">
        <v>14</v>
      </c>
      <c r="B24" s="333">
        <v>20</v>
      </c>
    </row>
    <row r="25" spans="1:6">
      <c r="A25" s="1194" t="s">
        <v>15</v>
      </c>
      <c r="B25" s="333">
        <v>1911</v>
      </c>
    </row>
    <row r="26" spans="1:6">
      <c r="A26" s="1194" t="s">
        <v>16</v>
      </c>
      <c r="B26" s="333">
        <v>51</v>
      </c>
    </row>
    <row r="27" spans="1:6">
      <c r="A27" s="1194" t="s">
        <v>17</v>
      </c>
      <c r="B27" s="333">
        <v>335</v>
      </c>
    </row>
    <row r="28" spans="1:6">
      <c r="A28" s="1194" t="s">
        <v>18</v>
      </c>
      <c r="B28" s="333">
        <v>129864</v>
      </c>
    </row>
    <row r="29" spans="1:6">
      <c r="A29" s="1194" t="s">
        <v>888</v>
      </c>
      <c r="B29" s="333">
        <v>239</v>
      </c>
    </row>
    <row r="30" spans="1:6">
      <c r="A30" s="1190" t="s">
        <v>889</v>
      </c>
      <c r="B30" s="1190">
        <v>79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199453.91946989301</v>
      </c>
      <c r="E38" s="333">
        <v>5</v>
      </c>
      <c r="F38" s="333">
        <v>97915.754531450002</v>
      </c>
    </row>
    <row r="39" spans="1:6">
      <c r="A39" s="1194" t="s">
        <v>30</v>
      </c>
      <c r="B39" s="1194" t="s">
        <v>31</v>
      </c>
      <c r="C39" s="333">
        <v>5101</v>
      </c>
      <c r="D39" s="333">
        <v>111039055.02006</v>
      </c>
      <c r="E39" s="333">
        <v>6816</v>
      </c>
      <c r="F39" s="333">
        <v>35422022.138605602</v>
      </c>
    </row>
    <row r="40" spans="1:6">
      <c r="A40" s="1194" t="s">
        <v>30</v>
      </c>
      <c r="B40" s="1194" t="s">
        <v>29</v>
      </c>
      <c r="C40" s="333">
        <v>0</v>
      </c>
      <c r="D40" s="333">
        <v>0</v>
      </c>
      <c r="E40" s="333">
        <v>0</v>
      </c>
      <c r="F40" s="333">
        <v>0</v>
      </c>
    </row>
    <row r="41" spans="1:6">
      <c r="A41" s="1194" t="s">
        <v>32</v>
      </c>
      <c r="B41" s="1194" t="s">
        <v>33</v>
      </c>
      <c r="C41" s="333">
        <v>62</v>
      </c>
      <c r="D41" s="333">
        <v>3926675.9014844401</v>
      </c>
      <c r="E41" s="333">
        <v>140</v>
      </c>
      <c r="F41" s="333">
        <v>1750068.5371628101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219579.76762892699</v>
      </c>
      <c r="E44" s="333">
        <v>10</v>
      </c>
      <c r="F44" s="333">
        <v>849081.111901636</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83025.209670009106</v>
      </c>
      <c r="E47" s="333">
        <v>4</v>
      </c>
      <c r="F47" s="333">
        <v>122055.54151752499</v>
      </c>
    </row>
    <row r="48" spans="1:6">
      <c r="A48" s="1194" t="s">
        <v>32</v>
      </c>
      <c r="B48" s="1194" t="s">
        <v>29</v>
      </c>
      <c r="C48" s="333">
        <v>26</v>
      </c>
      <c r="D48" s="333">
        <v>9904638.3314819206</v>
      </c>
      <c r="E48" s="333">
        <v>26</v>
      </c>
      <c r="F48" s="333">
        <v>6727718.5481192302</v>
      </c>
    </row>
    <row r="49" spans="1:6">
      <c r="A49" s="1194" t="s">
        <v>32</v>
      </c>
      <c r="B49" s="1194" t="s">
        <v>40</v>
      </c>
      <c r="C49" s="333">
        <v>0</v>
      </c>
      <c r="D49" s="333">
        <v>0</v>
      </c>
      <c r="E49" s="333">
        <v>0</v>
      </c>
      <c r="F49" s="333">
        <v>0</v>
      </c>
    </row>
    <row r="50" spans="1:6">
      <c r="A50" s="1194" t="s">
        <v>32</v>
      </c>
      <c r="B50" s="1194" t="s">
        <v>41</v>
      </c>
      <c r="C50" s="333">
        <v>10</v>
      </c>
      <c r="D50" s="333">
        <v>1862395.48896519</v>
      </c>
      <c r="E50" s="333">
        <v>15</v>
      </c>
      <c r="F50" s="333">
        <v>6735848.9172051996</v>
      </c>
    </row>
    <row r="51" spans="1:6">
      <c r="A51" s="1194" t="s">
        <v>42</v>
      </c>
      <c r="B51" s="1194" t="s">
        <v>43</v>
      </c>
      <c r="C51" s="333">
        <v>23</v>
      </c>
      <c r="D51" s="333">
        <v>718842.83928124898</v>
      </c>
      <c r="E51" s="333">
        <v>104</v>
      </c>
      <c r="F51" s="333">
        <v>2960397.58033096</v>
      </c>
    </row>
    <row r="52" spans="1:6">
      <c r="A52" s="1194" t="s">
        <v>42</v>
      </c>
      <c r="B52" s="1194" t="s">
        <v>29</v>
      </c>
      <c r="C52" s="333">
        <v>6</v>
      </c>
      <c r="D52" s="333">
        <v>39124508.698946297</v>
      </c>
      <c r="E52" s="333">
        <v>9</v>
      </c>
      <c r="F52" s="333">
        <v>176202.029819535</v>
      </c>
    </row>
    <row r="53" spans="1:6">
      <c r="A53" s="1194" t="s">
        <v>44</v>
      </c>
      <c r="B53" s="1194" t="s">
        <v>45</v>
      </c>
      <c r="C53" s="333">
        <v>176</v>
      </c>
      <c r="D53" s="333">
        <v>3960643.91034206</v>
      </c>
      <c r="E53" s="333">
        <v>262</v>
      </c>
      <c r="F53" s="333">
        <v>1870163.5133721901</v>
      </c>
    </row>
    <row r="54" spans="1:6">
      <c r="A54" s="1194" t="s">
        <v>46</v>
      </c>
      <c r="B54" s="1194" t="s">
        <v>47</v>
      </c>
      <c r="C54" s="333">
        <v>0</v>
      </c>
      <c r="D54" s="333">
        <v>0</v>
      </c>
      <c r="E54" s="333">
        <v>1</v>
      </c>
      <c r="F54" s="333">
        <v>1044266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16</v>
      </c>
      <c r="D57" s="333">
        <v>400742.085171276</v>
      </c>
      <c r="E57" s="333">
        <v>101</v>
      </c>
      <c r="F57" s="333">
        <v>2855872.0309555298</v>
      </c>
    </row>
    <row r="58" spans="1:6">
      <c r="A58" s="1194" t="s">
        <v>49</v>
      </c>
      <c r="B58" s="1194" t="s">
        <v>51</v>
      </c>
      <c r="C58" s="333">
        <v>11</v>
      </c>
      <c r="D58" s="333">
        <v>301010.86280302098</v>
      </c>
      <c r="E58" s="333">
        <v>21</v>
      </c>
      <c r="F58" s="333">
        <v>384325.94040872599</v>
      </c>
    </row>
    <row r="59" spans="1:6">
      <c r="A59" s="1194" t="s">
        <v>49</v>
      </c>
      <c r="B59" s="1194" t="s">
        <v>52</v>
      </c>
      <c r="C59" s="333">
        <v>96</v>
      </c>
      <c r="D59" s="333">
        <v>3377260.7474213601</v>
      </c>
      <c r="E59" s="333">
        <v>200</v>
      </c>
      <c r="F59" s="333">
        <v>6859350.7722435798</v>
      </c>
    </row>
    <row r="60" spans="1:6">
      <c r="A60" s="1194" t="s">
        <v>49</v>
      </c>
      <c r="B60" s="1194" t="s">
        <v>53</v>
      </c>
      <c r="C60" s="333">
        <v>52</v>
      </c>
      <c r="D60" s="333">
        <v>2530785.9889877099</v>
      </c>
      <c r="E60" s="333">
        <v>65</v>
      </c>
      <c r="F60" s="333">
        <v>1699292.92963166</v>
      </c>
    </row>
    <row r="61" spans="1:6">
      <c r="A61" s="1194" t="s">
        <v>49</v>
      </c>
      <c r="B61" s="1194" t="s">
        <v>54</v>
      </c>
      <c r="C61" s="333">
        <v>205</v>
      </c>
      <c r="D61" s="333">
        <v>13695312.686341301</v>
      </c>
      <c r="E61" s="333">
        <v>303</v>
      </c>
      <c r="F61" s="333">
        <v>3569081.8911790699</v>
      </c>
    </row>
    <row r="62" spans="1:6">
      <c r="A62" s="1194" t="s">
        <v>49</v>
      </c>
      <c r="B62" s="1194" t="s">
        <v>55</v>
      </c>
      <c r="C62" s="333">
        <v>16</v>
      </c>
      <c r="D62" s="333">
        <v>3472673.3679074598</v>
      </c>
      <c r="E62" s="333">
        <v>18</v>
      </c>
      <c r="F62" s="333">
        <v>513793.48332628602</v>
      </c>
    </row>
    <row r="63" spans="1:6">
      <c r="A63" s="1194" t="s">
        <v>49</v>
      </c>
      <c r="B63" s="1194" t="s">
        <v>29</v>
      </c>
      <c r="C63" s="333">
        <v>95</v>
      </c>
      <c r="D63" s="333">
        <v>4633538.4330013301</v>
      </c>
      <c r="E63" s="333">
        <v>109</v>
      </c>
      <c r="F63" s="333">
        <v>3096129.9398661698</v>
      </c>
    </row>
    <row r="64" spans="1:6">
      <c r="A64" s="1194" t="s">
        <v>56</v>
      </c>
      <c r="B64" s="1194" t="s">
        <v>57</v>
      </c>
      <c r="C64" s="333">
        <v>0</v>
      </c>
      <c r="D64" s="333">
        <v>0</v>
      </c>
      <c r="E64" s="333">
        <v>0</v>
      </c>
      <c r="F64" s="333">
        <v>0</v>
      </c>
    </row>
    <row r="65" spans="1:6">
      <c r="A65" s="1194" t="s">
        <v>56</v>
      </c>
      <c r="B65" s="1194" t="s">
        <v>29</v>
      </c>
      <c r="C65" s="333">
        <v>3</v>
      </c>
      <c r="D65" s="333">
        <v>71735.692744462795</v>
      </c>
      <c r="E65" s="333">
        <v>2</v>
      </c>
      <c r="F65" s="333">
        <v>11292.9302376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181353.85669553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74465467</v>
      </c>
      <c r="E73" s="333">
        <v>77604211.091920674</v>
      </c>
      <c r="F73" s="333">
        <v>74849788</v>
      </c>
    </row>
    <row r="74" spans="1:6">
      <c r="A74" s="1194" t="s">
        <v>64</v>
      </c>
      <c r="B74" s="1194" t="s">
        <v>775</v>
      </c>
      <c r="C74" s="1205" t="s">
        <v>776</v>
      </c>
      <c r="D74" s="333">
        <v>4845278.0534616578</v>
      </c>
      <c r="E74" s="333">
        <v>5236336.1568123801</v>
      </c>
      <c r="F74" s="333">
        <v>4996435.3916246155</v>
      </c>
    </row>
    <row r="75" spans="1:6">
      <c r="A75" s="1194" t="s">
        <v>65</v>
      </c>
      <c r="B75" s="1194" t="s">
        <v>773</v>
      </c>
      <c r="C75" s="1205" t="s">
        <v>777</v>
      </c>
      <c r="D75" s="333">
        <v>16544008</v>
      </c>
      <c r="E75" s="333">
        <v>17211145.04554322</v>
      </c>
      <c r="F75" s="333">
        <v>16618430</v>
      </c>
    </row>
    <row r="76" spans="1:6">
      <c r="A76" s="1194" t="s">
        <v>65</v>
      </c>
      <c r="B76" s="1194" t="s">
        <v>775</v>
      </c>
      <c r="C76" s="1205" t="s">
        <v>778</v>
      </c>
      <c r="D76" s="333">
        <v>617263.0534616576</v>
      </c>
      <c r="E76" s="333">
        <v>684521.36145321722</v>
      </c>
      <c r="F76" s="333">
        <v>647552.39162461541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282125.89307668468</v>
      </c>
      <c r="C83" s="333">
        <v>260072.80184118077</v>
      </c>
      <c r="D83" s="333">
        <v>263053.21675076918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1659.577530113761</v>
      </c>
    </row>
    <row r="92" spans="1:6">
      <c r="A92" s="1190" t="s">
        <v>69</v>
      </c>
      <c r="B92" s="336">
        <v>691.48718724296305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3771</v>
      </c>
    </row>
    <row r="98" spans="1:6">
      <c r="A98" s="1194" t="s">
        <v>72</v>
      </c>
      <c r="B98" s="333">
        <v>6</v>
      </c>
    </row>
    <row r="99" spans="1:6">
      <c r="A99" s="1194" t="s">
        <v>73</v>
      </c>
      <c r="B99" s="333">
        <v>60</v>
      </c>
    </row>
    <row r="100" spans="1:6">
      <c r="A100" s="1194" t="s">
        <v>74</v>
      </c>
      <c r="B100" s="333">
        <v>624</v>
      </c>
    </row>
    <row r="101" spans="1:6">
      <c r="A101" s="1194" t="s">
        <v>75</v>
      </c>
      <c r="B101" s="333">
        <v>113</v>
      </c>
    </row>
    <row r="102" spans="1:6">
      <c r="A102" s="1194" t="s">
        <v>76</v>
      </c>
      <c r="B102" s="333">
        <v>88</v>
      </c>
    </row>
    <row r="103" spans="1:6">
      <c r="A103" s="1194" t="s">
        <v>77</v>
      </c>
      <c r="B103" s="333">
        <v>105</v>
      </c>
    </row>
    <row r="104" spans="1:6">
      <c r="A104" s="1194" t="s">
        <v>78</v>
      </c>
      <c r="B104" s="333">
        <v>1450</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10</v>
      </c>
    </row>
    <row r="124" spans="1:6">
      <c r="A124" s="1190" t="s">
        <v>89</v>
      </c>
      <c r="B124" s="333">
        <v>1</v>
      </c>
      <c r="C124" s="333">
        <v>2</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61</v>
      </c>
    </row>
    <row r="130" spans="1:6">
      <c r="A130" s="1194" t="s">
        <v>296</v>
      </c>
      <c r="B130" s="333">
        <v>0</v>
      </c>
    </row>
    <row r="131" spans="1:6">
      <c r="A131" s="1194" t="s">
        <v>297</v>
      </c>
      <c r="B131" s="333">
        <v>2</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76425.811544612792</v>
      </c>
      <c r="C3" s="43" t="s">
        <v>171</v>
      </c>
      <c r="D3" s="43"/>
      <c r="E3" s="156"/>
      <c r="F3" s="43"/>
      <c r="G3" s="43"/>
      <c r="H3" s="43"/>
      <c r="I3" s="43"/>
      <c r="J3" s="43"/>
      <c r="K3" s="96"/>
    </row>
    <row r="4" spans="1:11">
      <c r="A4" s="364" t="s">
        <v>172</v>
      </c>
      <c r="B4" s="49">
        <f>IF(ISERROR('SEAP template'!B69),0,'SEAP template'!B69)</f>
        <v>11414.064717356723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2153.7952941176468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0.21617554343269282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3076.8504201680662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12947.142857142855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0.23764705882352938</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1044.2660000000001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1044.2660000000001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0.21617554343269282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225.74477003828443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35422.0221386056</v>
      </c>
      <c r="C5" s="17">
        <f>IF(ISERROR('Eigen informatie GS &amp; warmtenet'!B57),0,'Eigen informatie GS &amp; warmtenet'!B57)</f>
        <v>0</v>
      </c>
      <c r="D5" s="30">
        <f>(SUM(HH_hh_gas_kWh,HH_rest_gas_kWh)/1000)*0.902</f>
        <v>100157.22762809412</v>
      </c>
      <c r="E5" s="17">
        <f>B46*B57</f>
        <v>2522.5604377586133</v>
      </c>
      <c r="F5" s="17">
        <f>B51*B62</f>
        <v>5768.9327827408706</v>
      </c>
      <c r="G5" s="18"/>
      <c r="H5" s="17"/>
      <c r="I5" s="17"/>
      <c r="J5" s="17">
        <f>B50*B61+C50*C61</f>
        <v>0</v>
      </c>
      <c r="K5" s="17"/>
      <c r="L5" s="17"/>
      <c r="M5" s="17"/>
      <c r="N5" s="17">
        <f>B48*B59+C48*C59</f>
        <v>13745.75738494056</v>
      </c>
      <c r="O5" s="17">
        <f>B69*B70*B71</f>
        <v>114.12333333333335</v>
      </c>
      <c r="P5" s="17">
        <f>B77*B78*B79/1000-B77*B78*B79/1000/B80</f>
        <v>266.93333333333334</v>
      </c>
    </row>
    <row r="6" spans="1:16">
      <c r="A6" s="16" t="s">
        <v>633</v>
      </c>
      <c r="B6" s="830">
        <f>kWh_PV_kleiner_dan_10kW</f>
        <v>1659.577530113761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37081.599668719362</v>
      </c>
      <c r="C8" s="21">
        <f>C5</f>
        <v>0</v>
      </c>
      <c r="D8" s="21">
        <f>D5</f>
        <v>100157.22762809412</v>
      </c>
      <c r="E8" s="21">
        <f>E5</f>
        <v>2522.5604377586133</v>
      </c>
      <c r="F8" s="21">
        <f>F5</f>
        <v>5768.9327827408706</v>
      </c>
      <c r="G8" s="21"/>
      <c r="H8" s="21"/>
      <c r="I8" s="21"/>
      <c r="J8" s="21">
        <f>J5</f>
        <v>0</v>
      </c>
      <c r="K8" s="21"/>
      <c r="L8" s="21">
        <f>L5</f>
        <v>0</v>
      </c>
      <c r="M8" s="21">
        <f>M5</f>
        <v>0</v>
      </c>
      <c r="N8" s="21">
        <f>N5</f>
        <v>13745.75738494056</v>
      </c>
      <c r="O8" s="21">
        <f>O5</f>
        <v>114.12333333333335</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0.21617554343269282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8016.1349597389699</v>
      </c>
      <c r="C12" s="23">
        <f ca="1">C10*C8</f>
        <v>0</v>
      </c>
      <c r="D12" s="23">
        <f>D8*D10</f>
        <v>20231.759980875013</v>
      </c>
      <c r="E12" s="23">
        <f>E10*E8</f>
        <v>572.62121937120526</v>
      </c>
      <c r="F12" s="23">
        <f>F10*F8</f>
        <v>1540.3050529918125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3771</v>
      </c>
      <c r="C18" s="167" t="s">
        <v>111</v>
      </c>
      <c r="D18" s="229"/>
      <c r="E18" s="15"/>
    </row>
    <row r="19" spans="1:7">
      <c r="A19" s="172" t="s">
        <v>72</v>
      </c>
      <c r="B19" s="37">
        <f>aantalw2001_ander</f>
        <v>6</v>
      </c>
      <c r="C19" s="167" t="s">
        <v>111</v>
      </c>
      <c r="D19" s="230"/>
      <c r="E19" s="15"/>
    </row>
    <row r="20" spans="1:7">
      <c r="A20" s="172" t="s">
        <v>73</v>
      </c>
      <c r="B20" s="37">
        <f>aantalw2001_propaan</f>
        <v>60</v>
      </c>
      <c r="C20" s="168">
        <f>IF(ISERROR(B20/SUM($B$20,$B$21,$B$22)*100),0,B20/SUM($B$20,$B$21,$B$22)*100)</f>
        <v>7.5282308657465489</v>
      </c>
      <c r="D20" s="230"/>
      <c r="E20" s="15"/>
    </row>
    <row r="21" spans="1:7">
      <c r="A21" s="172" t="s">
        <v>74</v>
      </c>
      <c r="B21" s="37">
        <f>aantalw2001_elektriciteit</f>
        <v>624</v>
      </c>
      <c r="C21" s="168">
        <f>IF(ISERROR(B21/SUM($B$20,$B$21,$B$22)*100),0,B21/SUM($B$20,$B$21,$B$22)*100)</f>
        <v>78.29360100376411</v>
      </c>
      <c r="D21" s="230"/>
      <c r="E21" s="15"/>
    </row>
    <row r="22" spans="1:7">
      <c r="A22" s="172" t="s">
        <v>75</v>
      </c>
      <c r="B22" s="37">
        <f>aantalw2001_hout</f>
        <v>113</v>
      </c>
      <c r="C22" s="168">
        <f>IF(ISERROR(B22/SUM($B$20,$B$21,$B$22)*100),0,B22/SUM($B$20,$B$21,$B$22)*100)</f>
        <v>14.178168130489336</v>
      </c>
      <c r="D22" s="230"/>
      <c r="E22" s="15"/>
    </row>
    <row r="23" spans="1:7">
      <c r="A23" s="172" t="s">
        <v>76</v>
      </c>
      <c r="B23" s="37">
        <f>aantalw2001_niet_gespec</f>
        <v>88</v>
      </c>
      <c r="C23" s="167" t="s">
        <v>111</v>
      </c>
      <c r="D23" s="229"/>
      <c r="E23" s="15"/>
    </row>
    <row r="24" spans="1:7">
      <c r="A24" s="172" t="s">
        <v>77</v>
      </c>
      <c r="B24" s="37">
        <f>aantalw2001_steenkool</f>
        <v>105</v>
      </c>
      <c r="C24" s="167" t="s">
        <v>111</v>
      </c>
      <c r="D24" s="230"/>
      <c r="E24" s="15"/>
    </row>
    <row r="25" spans="1:7">
      <c r="A25" s="172" t="s">
        <v>78</v>
      </c>
      <c r="B25" s="37">
        <f>aantalw2001_stookolie</f>
        <v>1450</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6997</v>
      </c>
      <c r="C28" s="36"/>
      <c r="D28" s="229"/>
    </row>
    <row r="29" spans="1:7" s="15" customFormat="1">
      <c r="A29" s="231" t="s">
        <v>714</v>
      </c>
      <c r="B29" s="37">
        <f>SUM(HH_hh_gas_aantal,HH_rest_gas_aantal)</f>
        <v>5101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5101</v>
      </c>
      <c r="C32" s="168">
        <f>IF(ISERROR(B32/SUM($B$32,$B$34,$B$35,$B$36,$B$38,$B$39)*100),0,B32/SUM($B$32,$B$34,$B$35,$B$36,$B$38,$B$39)*100)</f>
        <v>73.048832879851062</v>
      </c>
      <c r="D32" s="234"/>
      <c r="G32" s="15"/>
    </row>
    <row r="33" spans="1:7">
      <c r="A33" s="172" t="s">
        <v>72</v>
      </c>
      <c r="B33" s="34" t="s">
        <v>111</v>
      </c>
      <c r="C33" s="168"/>
      <c r="D33" s="234"/>
      <c r="G33" s="15"/>
    </row>
    <row r="34" spans="1:7">
      <c r="A34" s="172" t="s">
        <v>73</v>
      </c>
      <c r="B34" s="33">
        <f>IF((($B$28-$B$32-$B$39-$B$77-$B$38)*C20/100)&lt;0,0,($B$28-$B$32-$B$39-$B$77-$B$38)*C20/100)</f>
        <v>122.63488080301127</v>
      </c>
      <c r="C34" s="168">
        <f>IF(ISERROR(B34/SUM($B$32,$B$34,$B$35,$B$36,$B$38,$B$39)*100),0,B34/SUM($B$32,$B$34,$B$35,$B$36,$B$38,$B$39)*100)</f>
        <v>1.756191906100691</v>
      </c>
      <c r="D34" s="234"/>
      <c r="G34" s="15"/>
    </row>
    <row r="35" spans="1:7">
      <c r="A35" s="172" t="s">
        <v>74</v>
      </c>
      <c r="B35" s="33">
        <f>IF((($B$28-$B$32-$B$39-$B$77-$B$38)*C21/100)&lt;0,0,($B$28-$B$32-$B$39-$B$77-$B$38)*C21/100)</f>
        <v>1275.4027603513175</v>
      </c>
      <c r="C35" s="168">
        <f>IF(ISERROR(B35/SUM($B$32,$B$34,$B$35,$B$36,$B$38,$B$39)*100),0,B35/SUM($B$32,$B$34,$B$35,$B$36,$B$38,$B$39)*100)</f>
        <v>18.264395823447192</v>
      </c>
      <c r="D35" s="234"/>
      <c r="G35" s="15"/>
    </row>
    <row r="36" spans="1:7">
      <c r="A36" s="172" t="s">
        <v>75</v>
      </c>
      <c r="B36" s="33">
        <f>IF((($B$28-$B$32-$B$39-$B$77-$B$38)*C22/100)&lt;0,0,($B$28-$B$32-$B$39-$B$77-$B$38)*C22/100)</f>
        <v>230.9623588456713</v>
      </c>
      <c r="C36" s="168">
        <f>IF(ISERROR(B36/SUM($B$32,$B$34,$B$35,$B$36,$B$38,$B$39)*100),0,B36/SUM($B$32,$B$34,$B$35,$B$36,$B$38,$B$39)*100)</f>
        <v>3.307494756489636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253</v>
      </c>
      <c r="C39" s="168">
        <f>IF(ISERROR(B39/SUM($B$32,$B$34,$B$35,$B$36,$B$38,$B$39)*100),0,B39/SUM($B$32,$B$34,$B$35,$B$36,$B$38,$B$39)*100)</f>
        <v>3.6230846341114127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5101</v>
      </c>
      <c r="C44" s="34" t="s">
        <v>111</v>
      </c>
      <c r="D44" s="175"/>
    </row>
    <row r="45" spans="1:7">
      <c r="A45" s="172" t="s">
        <v>72</v>
      </c>
      <c r="B45" s="33" t="str">
        <f t="shared" si="0"/>
        <v>-</v>
      </c>
      <c r="C45" s="34" t="s">
        <v>111</v>
      </c>
      <c r="D45" s="175"/>
    </row>
    <row r="46" spans="1:7">
      <c r="A46" s="172" t="s">
        <v>73</v>
      </c>
      <c r="B46" s="33">
        <f t="shared" si="0"/>
        <v>122.63488080301127</v>
      </c>
      <c r="C46" s="34" t="s">
        <v>111</v>
      </c>
      <c r="D46" s="175"/>
    </row>
    <row r="47" spans="1:7">
      <c r="A47" s="172" t="s">
        <v>74</v>
      </c>
      <c r="B47" s="33">
        <f t="shared" si="0"/>
        <v>1275.4027603513175</v>
      </c>
      <c r="C47" s="34" t="s">
        <v>111</v>
      </c>
      <c r="D47" s="175"/>
    </row>
    <row r="48" spans="1:7">
      <c r="A48" s="172" t="s">
        <v>75</v>
      </c>
      <c r="B48" s="33">
        <f t="shared" si="0"/>
        <v>230.9623588456713</v>
      </c>
      <c r="C48" s="33">
        <f>B48*10</f>
        <v>2309.6235884567132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253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18977.846987611021</v>
      </c>
      <c r="C5" s="17">
        <f>IF(ISERROR('Eigen informatie GS &amp; warmtenet'!B58),0,'Eigen informatie GS &amp; warmtenet'!B58)</f>
        <v>0</v>
      </c>
      <c r="D5" s="30">
        <f>SUM(D6:D12)</f>
        <v>25627.01440281338</v>
      </c>
      <c r="E5" s="17">
        <f>SUM(E6:E12)</f>
        <v>340.37300147993267</v>
      </c>
      <c r="F5" s="17">
        <f>SUM(F6:F12)</f>
        <v>3729.2968677336139</v>
      </c>
      <c r="G5" s="18"/>
      <c r="H5" s="17"/>
      <c r="I5" s="17"/>
      <c r="J5" s="17">
        <f>SUM(J6:J12)</f>
        <v>0</v>
      </c>
      <c r="K5" s="17"/>
      <c r="L5" s="17"/>
      <c r="M5" s="17"/>
      <c r="N5" s="17">
        <f>SUM(N6:N12)</f>
        <v>781.66336041082229</v>
      </c>
      <c r="O5" s="17">
        <f>B38*B39*B40</f>
        <v>0</v>
      </c>
      <c r="P5" s="17">
        <f>B46*B47*B48/1000-B46*B47*B48/1000/B49</f>
        <v>38.133333333333333</v>
      </c>
      <c r="R5" s="32"/>
    </row>
    <row r="6" spans="1:18">
      <c r="A6" s="32" t="s">
        <v>54</v>
      </c>
      <c r="B6" s="37">
        <f>B26</f>
        <v>3569.0818911790698</v>
      </c>
      <c r="C6" s="33"/>
      <c r="D6" s="37">
        <f>IF(ISERROR(TER_kantoor_gas_kWh/1000),0,TER_kantoor_gas_kWh/1000)*0.902</f>
        <v>12353.172043079852</v>
      </c>
      <c r="E6" s="33">
        <f>$C$26*'E Balans VL '!I12/100/3.6*1000000</f>
        <v>124.93190605514776</v>
      </c>
      <c r="F6" s="33">
        <f>$C$26*('E Balans VL '!L12+'E Balans VL '!N12)/100/3.6*1000000</f>
        <v>541.14944214007051</v>
      </c>
      <c r="G6" s="34"/>
      <c r="H6" s="33"/>
      <c r="I6" s="33"/>
      <c r="J6" s="33">
        <f>$C$26*('E Balans VL '!D12+'E Balans VL '!E12)/100/3.6*1000000</f>
        <v>0</v>
      </c>
      <c r="K6" s="33"/>
      <c r="L6" s="33"/>
      <c r="M6" s="33"/>
      <c r="N6" s="33">
        <f>$C$26*'E Balans VL '!Y12/100/3.6*1000000</f>
        <v>27.58788592692602</v>
      </c>
      <c r="O6" s="33"/>
      <c r="P6" s="33"/>
      <c r="R6" s="32"/>
    </row>
    <row r="7" spans="1:18">
      <c r="A7" s="32" t="s">
        <v>53</v>
      </c>
      <c r="B7" s="37">
        <f t="shared" ref="B7:B12" si="0">B27</f>
        <v>1699.2929296316599</v>
      </c>
      <c r="C7" s="33"/>
      <c r="D7" s="37">
        <f>IF(ISERROR(TER_horeca_gas_kWh/1000),0,TER_horeca_gas_kWh/1000)*0.902</f>
        <v>2282.7689620669144</v>
      </c>
      <c r="E7" s="33">
        <f>$C$27*'E Balans VL '!I9/100/3.6*1000000</f>
        <v>95.862716324352135</v>
      </c>
      <c r="F7" s="33">
        <f>$C$27*('E Balans VL '!L9+'E Balans VL '!N9)/100/3.6*1000000</f>
        <v>296.02623234964949</v>
      </c>
      <c r="G7" s="34"/>
      <c r="H7" s="33"/>
      <c r="I7" s="33"/>
      <c r="J7" s="33">
        <f>$C$27*('E Balans VL '!D9+'E Balans VL '!E9)/100/3.6*1000000</f>
        <v>0</v>
      </c>
      <c r="K7" s="33"/>
      <c r="L7" s="33"/>
      <c r="M7" s="33"/>
      <c r="N7" s="33">
        <f>$C$27*'E Balans VL '!Y9/100/3.6*1000000</f>
        <v>0</v>
      </c>
      <c r="O7" s="33"/>
      <c r="P7" s="33"/>
      <c r="R7" s="32"/>
    </row>
    <row r="8" spans="1:18">
      <c r="A8" s="6" t="s">
        <v>52</v>
      </c>
      <c r="B8" s="37">
        <f t="shared" si="0"/>
        <v>6859.3507722435797</v>
      </c>
      <c r="C8" s="33"/>
      <c r="D8" s="37">
        <f>IF(ISERROR(TER_handel_gas_kWh/1000),0,TER_handel_gas_kWh/1000)*0.902</f>
        <v>3046.2891941740668</v>
      </c>
      <c r="E8" s="33">
        <f>$C$28*'E Balans VL '!I13/100/3.6*1000000</f>
        <v>35.215209964767467</v>
      </c>
      <c r="F8" s="33">
        <f>$C$28*('E Balans VL '!L13+'E Balans VL '!N13)/100/3.6*1000000</f>
        <v>1057.6059012304008</v>
      </c>
      <c r="G8" s="34"/>
      <c r="H8" s="33"/>
      <c r="I8" s="33"/>
      <c r="J8" s="33">
        <f>$C$28*('E Balans VL '!D13+'E Balans VL '!E13)/100/3.6*1000000</f>
        <v>0</v>
      </c>
      <c r="K8" s="33"/>
      <c r="L8" s="33"/>
      <c r="M8" s="33"/>
      <c r="N8" s="33">
        <f>$C$28*'E Balans VL '!Y13/100/3.6*1000000</f>
        <v>3.208202085824821</v>
      </c>
      <c r="O8" s="33"/>
      <c r="P8" s="33"/>
      <c r="R8" s="32"/>
    </row>
    <row r="9" spans="1:18">
      <c r="A9" s="32" t="s">
        <v>51</v>
      </c>
      <c r="B9" s="37">
        <f t="shared" si="0"/>
        <v>384.32594040872601</v>
      </c>
      <c r="C9" s="33"/>
      <c r="D9" s="37">
        <f>IF(ISERROR(TER_gezond_gas_kWh/1000),0,TER_gezond_gas_kWh/1000)*0.902</f>
        <v>271.51179824832491</v>
      </c>
      <c r="E9" s="33">
        <f>$C$29*'E Balans VL '!I10/100/3.6*1000000</f>
        <v>0.1593003652281654</v>
      </c>
      <c r="F9" s="33">
        <f>$C$29*('E Balans VL '!L10+'E Balans VL '!N10)/100/3.6*1000000</f>
        <v>94.653967153428269</v>
      </c>
      <c r="G9" s="34"/>
      <c r="H9" s="33"/>
      <c r="I9" s="33"/>
      <c r="J9" s="33">
        <f>$C$29*('E Balans VL '!D10+'E Balans VL '!E10)/100/3.6*1000000</f>
        <v>0</v>
      </c>
      <c r="K9" s="33"/>
      <c r="L9" s="33"/>
      <c r="M9" s="33"/>
      <c r="N9" s="33">
        <f>$C$29*'E Balans VL '!Y10/100/3.6*1000000</f>
        <v>3.3215273799199387</v>
      </c>
      <c r="O9" s="33"/>
      <c r="P9" s="33"/>
      <c r="R9" s="32"/>
    </row>
    <row r="10" spans="1:18">
      <c r="A10" s="32" t="s">
        <v>50</v>
      </c>
      <c r="B10" s="37">
        <f t="shared" si="0"/>
        <v>2855.8720309555297</v>
      </c>
      <c r="C10" s="33"/>
      <c r="D10" s="37">
        <f>IF(ISERROR(TER_ander_gas_kWh/1000),0,TER_ander_gas_kWh/1000)*0.902</f>
        <v>361.46936082449099</v>
      </c>
      <c r="E10" s="33">
        <f>$C$30*'E Balans VL '!I14/100/3.6*1000000</f>
        <v>17.409466362771486</v>
      </c>
      <c r="F10" s="33">
        <f>$C$30*('E Balans VL '!L14+'E Balans VL '!N14)/100/3.6*1000000</f>
        <v>757.13079641544607</v>
      </c>
      <c r="G10" s="34"/>
      <c r="H10" s="33"/>
      <c r="I10" s="33"/>
      <c r="J10" s="33">
        <f>$C$30*('E Balans VL '!D14+'E Balans VL '!E14)/100/3.6*1000000</f>
        <v>0</v>
      </c>
      <c r="K10" s="33"/>
      <c r="L10" s="33"/>
      <c r="M10" s="33"/>
      <c r="N10" s="33">
        <f>$C$30*'E Balans VL '!Y14/100/3.6*1000000</f>
        <v>658.21679228283961</v>
      </c>
      <c r="O10" s="33"/>
      <c r="P10" s="33"/>
      <c r="R10" s="32"/>
    </row>
    <row r="11" spans="1:18">
      <c r="A11" s="32" t="s">
        <v>55</v>
      </c>
      <c r="B11" s="37">
        <f t="shared" si="0"/>
        <v>513.79348332628604</v>
      </c>
      <c r="C11" s="33"/>
      <c r="D11" s="37">
        <f>IF(ISERROR(TER_onderwijs_gas_kWh/1000),0,TER_onderwijs_gas_kWh/1000)*0.902</f>
        <v>3132.3513778525289</v>
      </c>
      <c r="E11" s="33">
        <f>$C$31*'E Balans VL '!I11/100/3.6*1000000</f>
        <v>0.39153738780393982</v>
      </c>
      <c r="F11" s="33">
        <f>$C$31*('E Balans VL '!L11+'E Balans VL '!N11)/100/3.6*1000000</f>
        <v>371.80912158934069</v>
      </c>
      <c r="G11" s="34"/>
      <c r="H11" s="33"/>
      <c r="I11" s="33"/>
      <c r="J11" s="33">
        <f>$C$31*('E Balans VL '!D11+'E Balans VL '!E11)/100/3.6*1000000</f>
        <v>0</v>
      </c>
      <c r="K11" s="33"/>
      <c r="L11" s="33"/>
      <c r="M11" s="33"/>
      <c r="N11" s="33">
        <f>$C$31*'E Balans VL '!Y11/100/3.6*1000000</f>
        <v>1.5142721897675244</v>
      </c>
      <c r="O11" s="33"/>
      <c r="P11" s="33"/>
      <c r="R11" s="32"/>
    </row>
    <row r="12" spans="1:18">
      <c r="A12" s="32" t="s">
        <v>261</v>
      </c>
      <c r="B12" s="37">
        <f t="shared" si="0"/>
        <v>3096.1299398661699</v>
      </c>
      <c r="C12" s="33"/>
      <c r="D12" s="37">
        <f>IF(ISERROR(TER_rest_gas_kWh/1000),0,TER_rest_gas_kWh/1000)*0.902</f>
        <v>4179.4516665671999</v>
      </c>
      <c r="E12" s="33">
        <f>$C$32*'E Balans VL '!I8/100/3.6*1000000</f>
        <v>66.402865019861736</v>
      </c>
      <c r="F12" s="33">
        <f>$C$32*('E Balans VL '!L8+'E Balans VL '!N8)/100/3.6*1000000</f>
        <v>610.92140685527806</v>
      </c>
      <c r="G12" s="34"/>
      <c r="H12" s="33"/>
      <c r="I12" s="33"/>
      <c r="J12" s="33">
        <f>$C$32*('E Balans VL '!D8+'E Balans VL '!E8)/100/3.6*1000000</f>
        <v>0</v>
      </c>
      <c r="K12" s="33"/>
      <c r="L12" s="33"/>
      <c r="M12" s="33"/>
      <c r="N12" s="33">
        <f>$C$32*'E Balans VL '!Y8/100/3.6*1000000</f>
        <v>87.814680545544306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18977.846987611021</v>
      </c>
      <c r="C16" s="21">
        <f ca="1">C5+C13+C14</f>
        <v>0</v>
      </c>
      <c r="D16" s="21">
        <f t="shared" ref="D16:N16" ca="1" si="1">MAX((D5+D13+D14),0)</f>
        <v>25627.01440281338</v>
      </c>
      <c r="E16" s="21">
        <f t="shared" si="1"/>
        <v>340.37300147993267</v>
      </c>
      <c r="F16" s="21">
        <f t="shared" ca="1" si="1"/>
        <v>3729.2968677336139</v>
      </c>
      <c r="G16" s="21">
        <f t="shared" si="1"/>
        <v>0</v>
      </c>
      <c r="H16" s="21">
        <f t="shared" si="1"/>
        <v>0</v>
      </c>
      <c r="I16" s="21">
        <f t="shared" si="1"/>
        <v>0</v>
      </c>
      <c r="J16" s="21">
        <f t="shared" si="1"/>
        <v>0</v>
      </c>
      <c r="K16" s="21">
        <f t="shared" si="1"/>
        <v>0</v>
      </c>
      <c r="L16" s="21">
        <f t="shared" ca="1" si="1"/>
        <v>0</v>
      </c>
      <c r="M16" s="21">
        <f t="shared" si="1"/>
        <v>0</v>
      </c>
      <c r="N16" s="21">
        <f t="shared" ca="1" si="1"/>
        <v>781.66336041082229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0.21617554343269282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4102.5463857293053</v>
      </c>
      <c r="C20" s="23">
        <f t="shared" ref="C20:P20" ca="1" si="2">C16*C18</f>
        <v>0</v>
      </c>
      <c r="D20" s="23">
        <f t="shared" ca="1" si="2"/>
        <v>5176.6569093683029</v>
      </c>
      <c r="E20" s="23">
        <f t="shared" si="2"/>
        <v>77.264671335944712</v>
      </c>
      <c r="F20" s="23">
        <f t="shared" ca="1" si="2"/>
        <v>995.72226368487497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3569.0818911790698</v>
      </c>
      <c r="C26" s="39">
        <f>IF(ISERROR(B26*3.6/1000000/'E Balans VL '!Z12*100),0,B26*3.6/1000000/'E Balans VL '!Z12*100)</f>
        <v>7.5105409523075151E-2</v>
      </c>
      <c r="D26" s="238" t="s">
        <v>720</v>
      </c>
      <c r="F26" s="6"/>
    </row>
    <row r="27" spans="1:18">
      <c r="A27" s="232" t="s">
        <v>53</v>
      </c>
      <c r="B27" s="33">
        <f>IF(ISERROR(TER_horeca_ele_kWh/1000),0,TER_horeca_ele_kWh/1000)</f>
        <v>1699.2929296316599</v>
      </c>
      <c r="C27" s="39">
        <f>IF(ISERROR(B27*3.6/1000000/'E Balans VL '!Z9*100),0,B27*3.6/1000000/'E Balans VL '!Z9*100)</f>
        <v>0.14387435738299958</v>
      </c>
      <c r="D27" s="238" t="s">
        <v>720</v>
      </c>
      <c r="F27" s="6"/>
    </row>
    <row r="28" spans="1:18">
      <c r="A28" s="172" t="s">
        <v>52</v>
      </c>
      <c r="B28" s="33">
        <f>IF(ISERROR(TER_handel_ele_kWh/1000),0,TER_handel_ele_kWh/1000)</f>
        <v>6859.3507722435797</v>
      </c>
      <c r="C28" s="39">
        <f>IF(ISERROR(B28*3.6/1000000/'E Balans VL '!Z13*100),0,B28*3.6/1000000/'E Balans VL '!Z13*100)</f>
        <v>0.18990017762508452</v>
      </c>
      <c r="D28" s="238" t="s">
        <v>720</v>
      </c>
      <c r="F28" s="6"/>
    </row>
    <row r="29" spans="1:18">
      <c r="A29" s="232" t="s">
        <v>51</v>
      </c>
      <c r="B29" s="33">
        <f>IF(ISERROR(TER_gezond_ele_kWh/1000),0,TER_gezond_ele_kWh/1000)</f>
        <v>384.32594040872601</v>
      </c>
      <c r="C29" s="39">
        <f>IF(ISERROR(B29*3.6/1000000/'E Balans VL '!Z10*100),0,B29*3.6/1000000/'E Balans VL '!Z10*100)</f>
        <v>4.9958111503325332E-2</v>
      </c>
      <c r="D29" s="238" t="s">
        <v>720</v>
      </c>
      <c r="F29" s="6"/>
    </row>
    <row r="30" spans="1:18">
      <c r="A30" s="232" t="s">
        <v>50</v>
      </c>
      <c r="B30" s="33">
        <f>IF(ISERROR(TER_ander_ele_kWh/1000),0,TER_ander_ele_kWh/1000)</f>
        <v>2855.8720309555297</v>
      </c>
      <c r="C30" s="39">
        <f>IF(ISERROR(B30*3.6/1000000/'E Balans VL '!Z14*100),0,B30*3.6/1000000/'E Balans VL '!Z14*100)</f>
        <v>0.22135627274628469</v>
      </c>
      <c r="D30" s="238" t="s">
        <v>720</v>
      </c>
      <c r="F30" s="6"/>
    </row>
    <row r="31" spans="1:18">
      <c r="A31" s="232" t="s">
        <v>55</v>
      </c>
      <c r="B31" s="33">
        <f>IF(ISERROR(TER_onderwijs_ele_kWh/1000),0,TER_onderwijs_ele_kWh/1000)</f>
        <v>513.79348332628604</v>
      </c>
      <c r="C31" s="39">
        <f>IF(ISERROR(B31*3.6/1000000/'E Balans VL '!Z11*100),0,B31*3.6/1000000/'E Balans VL '!Z11*100)</f>
        <v>9.8297448216002892E-2</v>
      </c>
      <c r="D31" s="238" t="s">
        <v>720</v>
      </c>
    </row>
    <row r="32" spans="1:18">
      <c r="A32" s="232" t="s">
        <v>261</v>
      </c>
      <c r="B32" s="33">
        <f>IF(ISERROR(TER_rest_ele_kWh/1000),0,TER_rest_ele_kWh/1000)</f>
        <v>3096.1299398661699</v>
      </c>
      <c r="C32" s="39">
        <f>IF(ISERROR(B32*3.6/1000000/'E Balans VL '!Z8*100),0,B32*3.6/1000000/'E Balans VL '!Z8*100)</f>
        <v>2.552996892056322E-2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16184.772655906401</v>
      </c>
      <c r="C5" s="17">
        <f>IF(ISERROR('Eigen informatie GS &amp; warmtenet'!B59),0,'Eigen informatie GS &amp; warmtenet'!B59)</f>
        <v>0</v>
      </c>
      <c r="D5" s="30">
        <f>SUM(D6:D15)</f>
        <v>14428.675858705901</v>
      </c>
      <c r="E5" s="17">
        <f>SUM(E6:E15)</f>
        <v>161.28733633663211</v>
      </c>
      <c r="F5" s="17">
        <f>SUM(F6:F15)</f>
        <v>3918.8727771309386</v>
      </c>
      <c r="G5" s="18"/>
      <c r="H5" s="17"/>
      <c r="I5" s="17"/>
      <c r="J5" s="17">
        <f>SUM(J6:J15)</f>
        <v>90.718954892865042</v>
      </c>
      <c r="K5" s="17"/>
      <c r="L5" s="17"/>
      <c r="M5" s="17"/>
      <c r="N5" s="17">
        <f>SUM(N6:N15)</f>
        <v>352.50179186371673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849.08111190163595</v>
      </c>
      <c r="C8" s="33"/>
      <c r="D8" s="37">
        <f>IF( ISERROR(IND_metaal_Gas_kWH/1000),0,IND_metaal_Gas_kWH/1000)*0.902</f>
        <v>198.06095040129216</v>
      </c>
      <c r="E8" s="33">
        <f>C30*'E Balans VL '!I18/100/3.6*1000000</f>
        <v>5.9663056320833014</v>
      </c>
      <c r="F8" s="33">
        <f>C30*'E Balans VL '!L18/100/3.6*1000000+C30*'E Balans VL '!N18/100/3.6*1000000</f>
        <v>93.224138473340048</v>
      </c>
      <c r="G8" s="34"/>
      <c r="H8" s="33"/>
      <c r="I8" s="33"/>
      <c r="J8" s="40">
        <f>C30*'E Balans VL '!D18/100/3.6*1000000+C30*'E Balans VL '!E18/100/3.6*1000000</f>
        <v>17.518373440973448</v>
      </c>
      <c r="K8" s="33"/>
      <c r="L8" s="33"/>
      <c r="M8" s="33"/>
      <c r="N8" s="33">
        <f>C30*'E Balans VL '!Y18/100/3.6*1000000</f>
        <v>3.1824171581634193</v>
      </c>
      <c r="O8" s="33"/>
      <c r="P8" s="33"/>
      <c r="R8" s="32"/>
    </row>
    <row r="9" spans="1:18">
      <c r="A9" s="6" t="s">
        <v>33</v>
      </c>
      <c r="B9" s="37">
        <f t="shared" si="0"/>
        <v>1750.0685371628101</v>
      </c>
      <c r="C9" s="33"/>
      <c r="D9" s="37">
        <f>IF( ISERROR(IND_andere_gas_kWh/1000),0,IND_andere_gas_kWh/1000)*0.902</f>
        <v>3541.861663138965</v>
      </c>
      <c r="E9" s="33">
        <f>C31*'E Balans VL '!I19/100/3.6*1000000</f>
        <v>29.394544984058417</v>
      </c>
      <c r="F9" s="33">
        <f>C31*'E Balans VL '!L19/100/3.6*1000000+C31*'E Balans VL '!N19/100/3.6*1000000</f>
        <v>1368.1039058926081</v>
      </c>
      <c r="G9" s="34"/>
      <c r="H9" s="33"/>
      <c r="I9" s="33"/>
      <c r="J9" s="40">
        <f>C31*'E Balans VL '!D19/100/3.6*1000000+C31*'E Balans VL '!E19/100/3.6*1000000</f>
        <v>0.15784073352348255</v>
      </c>
      <c r="K9" s="33"/>
      <c r="L9" s="33"/>
      <c r="M9" s="33"/>
      <c r="N9" s="33">
        <f>C31*'E Balans VL '!Y19/100/3.6*1000000</f>
        <v>129.7081559815874</v>
      </c>
      <c r="O9" s="33"/>
      <c r="P9" s="33"/>
      <c r="R9" s="32"/>
    </row>
    <row r="10" spans="1:18">
      <c r="A10" s="6" t="s">
        <v>41</v>
      </c>
      <c r="B10" s="37">
        <f t="shared" si="0"/>
        <v>6735.8489172051995</v>
      </c>
      <c r="C10" s="33"/>
      <c r="D10" s="37">
        <f>IF( ISERROR(IND_voed_gas_kWh/1000),0,IND_voed_gas_kWh/1000)*0.902</f>
        <v>1679.8807310466013</v>
      </c>
      <c r="E10" s="33">
        <f>C32*'E Balans VL '!I20/100/3.6*1000000</f>
        <v>61.455086438697265</v>
      </c>
      <c r="F10" s="33">
        <f>C32*'E Balans VL '!L20/100/3.6*1000000+C32*'E Balans VL '!N20/100/3.6*1000000</f>
        <v>1086.7031153696121</v>
      </c>
      <c r="G10" s="34"/>
      <c r="H10" s="33"/>
      <c r="I10" s="33"/>
      <c r="J10" s="40">
        <f>C32*'E Balans VL '!D20/100/3.6*1000000+C32*'E Balans VL '!E20/100/3.6*1000000</f>
        <v>27.7426420773694</v>
      </c>
      <c r="K10" s="33"/>
      <c r="L10" s="33"/>
      <c r="M10" s="33"/>
      <c r="N10" s="33">
        <f>C32*'E Balans VL '!Y20/100/3.6*1000000</f>
        <v>98.540158292771693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122.055541517525</v>
      </c>
      <c r="C13" s="33"/>
      <c r="D13" s="37">
        <f>IF( ISERROR(IND_papier_gas_kWh/1000),0,IND_papier_gas_kWh/1000)*0.902</f>
        <v>74.888739122348213</v>
      </c>
      <c r="E13" s="33">
        <f>C35*'E Balans VL '!I23/100/3.6*1000000</f>
        <v>3.7553304759005499</v>
      </c>
      <c r="F13" s="33">
        <f>C35*'E Balans VL '!L23/100/3.6*1000000+C35*'E Balans VL '!N23/100/3.6*1000000</f>
        <v>25.916657053325405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6727.71854811923</v>
      </c>
      <c r="C15" s="33"/>
      <c r="D15" s="37">
        <f>IF( ISERROR(IND_rest_gas_kWh/1000),0,IND_rest_gas_kWh/1000)*0.902</f>
        <v>8933.9837749966937</v>
      </c>
      <c r="E15" s="33">
        <f>C37*'E Balans VL '!I15/100/3.6*1000000</f>
        <v>60.71606880589259</v>
      </c>
      <c r="F15" s="33">
        <f>C37*'E Balans VL '!L15/100/3.6*1000000+C37*'E Balans VL '!N15/100/3.6*1000000</f>
        <v>1344.9249603420528</v>
      </c>
      <c r="G15" s="34"/>
      <c r="H15" s="33"/>
      <c r="I15" s="33"/>
      <c r="J15" s="40">
        <f>C37*'E Balans VL '!D15/100/3.6*1000000+C37*'E Balans VL '!E15/100/3.6*1000000</f>
        <v>45.300098640998705</v>
      </c>
      <c r="K15" s="33"/>
      <c r="L15" s="33"/>
      <c r="M15" s="33"/>
      <c r="N15" s="33">
        <f>C37*'E Balans VL '!Y15/100/3.6*1000000</f>
        <v>121.07106043119423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16184.772655906401</v>
      </c>
      <c r="C18" s="21">
        <f>C5+C16</f>
        <v>0</v>
      </c>
      <c r="D18" s="21">
        <f>MAX((D5+D16),0)</f>
        <v>14428.675858705901</v>
      </c>
      <c r="E18" s="21">
        <f>MAX((E5+E16),0)</f>
        <v>161.28733633663211</v>
      </c>
      <c r="F18" s="21">
        <f>MAX((F5+F16),0)</f>
        <v>3918.8727771309386</v>
      </c>
      <c r="G18" s="21"/>
      <c r="H18" s="21"/>
      <c r="I18" s="21"/>
      <c r="J18" s="21">
        <f>MAX((J5+J16),0)</f>
        <v>90.718954892865042</v>
      </c>
      <c r="K18" s="21"/>
      <c r="L18" s="21">
        <f>MAX((L5+L16),0)</f>
        <v>0</v>
      </c>
      <c r="M18" s="21"/>
      <c r="N18" s="21">
        <f>MAX((N5+N16),0)</f>
        <v>352.50179186371673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0.21617554343269282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3498.7520242251535</v>
      </c>
      <c r="C22" s="23">
        <f ca="1">C18*C20</f>
        <v>0</v>
      </c>
      <c r="D22" s="23">
        <f>D18*D20</f>
        <v>2914.592523458592</v>
      </c>
      <c r="E22" s="23">
        <f>E18*E20</f>
        <v>36.612225348415492</v>
      </c>
      <c r="F22" s="23">
        <f>F18*F20</f>
        <v>1046.3390314939606</v>
      </c>
      <c r="G22" s="23"/>
      <c r="H22" s="23"/>
      <c r="I22" s="23"/>
      <c r="J22" s="23">
        <f>J18*J20</f>
        <v>32.114510032074222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849.08111190163595</v>
      </c>
      <c r="C30" s="39">
        <f>IF(ISERROR(B30*3.6/1000000/'E Balans VL '!Z18*100),0,B30*3.6/1000000/'E Balans VL '!Z18*100)</f>
        <v>5.6523848111667573E-2</v>
      </c>
      <c r="D30" s="238" t="s">
        <v>720</v>
      </c>
    </row>
    <row r="31" spans="1:18">
      <c r="A31" s="6" t="s">
        <v>33</v>
      </c>
      <c r="B31" s="37">
        <f>IF( ISERROR(IND_ander_ele_kWh/1000),0,IND_ander_ele_kWh/1000)</f>
        <v>1750.0685371628101</v>
      </c>
      <c r="C31" s="39">
        <f>IF(ISERROR(B31*3.6/1000000/'E Balans VL '!Z19*100),0,B31*3.6/1000000/'E Balans VL '!Z19*100)</f>
        <v>7.7573602823827609E-2</v>
      </c>
      <c r="D31" s="238" t="s">
        <v>720</v>
      </c>
    </row>
    <row r="32" spans="1:18">
      <c r="A32" s="172" t="s">
        <v>41</v>
      </c>
      <c r="B32" s="37">
        <f>IF( ISERROR(IND_voed_ele_kWh/1000),0,IND_voed_ele_kWh/1000)</f>
        <v>6735.8489172051995</v>
      </c>
      <c r="C32" s="39">
        <f>IF(ISERROR(B32*3.6/1000000/'E Balans VL '!Z20*100),0,B32*3.6/1000000/'E Balans VL '!Z20*100)</f>
        <v>0.22499667648435751</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122.055541517525</v>
      </c>
      <c r="C35" s="39">
        <f>IF(ISERROR(B35*3.6/1000000/'E Balans VL '!Z22*100),0,B35*3.6/1000000/'E Balans VL '!Z22*100)</f>
        <v>2.3738462121245262E-2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6727.71854811923</v>
      </c>
      <c r="C37" s="39">
        <f>IF(ISERROR(B37*3.6/1000000/'E Balans VL '!Z15*100),0,B37*3.6/1000000/'E Balans VL '!Z15*100)</f>
        <v>5.0043265606948613E-2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3136.5996101504952</v>
      </c>
      <c r="C5" s="17">
        <f>'Eigen informatie GS &amp; warmtenet'!B60</f>
        <v>0</v>
      </c>
      <c r="D5" s="30">
        <f>IF(ISERROR(SUM(LB_lb_gas_kWh,LB_rest_gas_kWh,onbekend_gas_kWh)/1000),0,SUM(LB_lb_gas_kWh,LB_rest_gas_kWh,onbekend_gas_kWh)/1000)*0.902</f>
        <v>39511.203894609782</v>
      </c>
      <c r="E5" s="17">
        <f>B17*'E Balans VL '!I25/3.6*1000000/100</f>
        <v>32.847150163620249</v>
      </c>
      <c r="F5" s="17">
        <f>B17*('E Balans VL '!L25/3.6*1000000+'E Balans VL '!N25/3.6*1000000)/100</f>
        <v>16110.075020508319</v>
      </c>
      <c r="G5" s="18"/>
      <c r="H5" s="17"/>
      <c r="I5" s="17"/>
      <c r="J5" s="17">
        <f>('E Balans VL '!D25+'E Balans VL '!E25)/3.6*1000000*landbouw!B17/100</f>
        <v>280.12645900835724</v>
      </c>
      <c r="K5" s="17"/>
      <c r="L5" s="17">
        <f>L6*(-1)</f>
        <v>0</v>
      </c>
      <c r="M5" s="17"/>
      <c r="N5" s="17">
        <f>N6*(-1)</f>
        <v>0</v>
      </c>
      <c r="O5" s="17"/>
      <c r="P5" s="17"/>
      <c r="R5" s="32"/>
    </row>
    <row r="6" spans="1:18">
      <c r="A6" s="16" t="s">
        <v>497</v>
      </c>
      <c r="B6" s="17" t="s">
        <v>212</v>
      </c>
      <c r="C6" s="17">
        <f>'lokale energieproductie'!O91+'lokale energieproductie'!O60</f>
        <v>12947.142857142855</v>
      </c>
      <c r="D6" s="311">
        <f>('lokale energieproductie'!P60+'lokale energieproductie'!P91)*(-1)</f>
        <v>-25894.28571428571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3136.5996101504952</v>
      </c>
      <c r="C8" s="21">
        <f>C5+C6</f>
        <v>12947.142857142855</v>
      </c>
      <c r="D8" s="21">
        <f>MAX((D5+D6),0)</f>
        <v>13616.918180324072</v>
      </c>
      <c r="E8" s="21">
        <f>MAX((E5+E6),0)</f>
        <v>32.847150163620249</v>
      </c>
      <c r="F8" s="21">
        <f>MAX((F5+F6),0)</f>
        <v>16110.075020508319</v>
      </c>
      <c r="G8" s="21"/>
      <c r="H8" s="21"/>
      <c r="I8" s="21"/>
      <c r="J8" s="21">
        <f>MAX((J5+J6),0)</f>
        <v>280.12645900835724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0.21617554343269282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678.0561252550558</v>
      </c>
      <c r="C12" s="23">
        <f ca="1">C8*C10</f>
        <v>3076.8504201680662</v>
      </c>
      <c r="D12" s="23">
        <f>D8*D10</f>
        <v>2750.6174724254624</v>
      </c>
      <c r="E12" s="23">
        <f>E8*E10</f>
        <v>7.456303087141797</v>
      </c>
      <c r="F12" s="23">
        <f>F8*F10</f>
        <v>4301.3900304757217</v>
      </c>
      <c r="G12" s="23"/>
      <c r="H12" s="23"/>
      <c r="I12" s="23"/>
      <c r="J12" s="23">
        <f>J8*J10</f>
        <v>99.164766488958463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0.48278322756373193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716.45959140265973</v>
      </c>
      <c r="C26" s="248">
        <f>B26*'GWP N2O_CH4'!B5</f>
        <v>15045.651419455855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278.65264310089981</v>
      </c>
      <c r="C27" s="248">
        <f>B27*'GWP N2O_CH4'!B5</f>
        <v>5851.7055051188963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8.4456773823100644</v>
      </c>
      <c r="C28" s="248">
        <f>B28*'GWP N2O_CH4'!B4</f>
        <v>2618.1599885161199</v>
      </c>
      <c r="D28" s="50"/>
    </row>
    <row r="29" spans="1:4">
      <c r="A29" s="41" t="s">
        <v>278</v>
      </c>
      <c r="B29" s="248">
        <f>B34*'ha_N2O bodem landbouw'!B4</f>
        <v>27.863902146909961</v>
      </c>
      <c r="C29" s="248">
        <f>B29*'GWP N2O_CH4'!B4</f>
        <v>8637.8096655420886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4.6048757858175183E-3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2.6158400118414938E-6</v>
      </c>
      <c r="C5" s="446" t="s">
        <v>212</v>
      </c>
      <c r="D5" s="431">
        <f>SUM(D6:D11)</f>
        <v>1.29042487750218E-5</v>
      </c>
      <c r="E5" s="431">
        <f>SUM(E6:E11)</f>
        <v>1.3093476745463493E-3</v>
      </c>
      <c r="F5" s="444" t="s">
        <v>212</v>
      </c>
      <c r="G5" s="431">
        <f>SUM(G6:G11)</f>
        <v>0.21217195051395574</v>
      </c>
      <c r="H5" s="431">
        <f>SUM(H6:H11)</f>
        <v>4.2934092191346189E-2</v>
      </c>
      <c r="I5" s="446" t="s">
        <v>212</v>
      </c>
      <c r="J5" s="446" t="s">
        <v>212</v>
      </c>
      <c r="K5" s="446" t="s">
        <v>212</v>
      </c>
      <c r="L5" s="446" t="s">
        <v>212</v>
      </c>
      <c r="M5" s="431">
        <f>SUM(M6:M11)</f>
        <v>1.1148423045857791E-2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2.1403238297887376E-6</v>
      </c>
      <c r="C6" s="432"/>
      <c r="D6" s="432">
        <f>vkm_2011_GW_PW*SUMIFS(TableVerdeelsleutelVkm[CNG],TableVerdeelsleutelVkm[Voertuigtype],"Lichte voertuigen")*SUMIFS(TableECFTransport[EnergieConsumptieFactor (PJ per km)],TableECFTransport[Index],CONCATENATE($A6,"_CNG_CNG"))</f>
        <v>9.2266872392519644E-6</v>
      </c>
      <c r="E6" s="434">
        <f>vkm_2011_GW_PW*SUMIFS(TableVerdeelsleutelVkm[LPG],TableVerdeelsleutelVkm[Voertuigtype],"Lichte voertuigen")*SUMIFS(TableECFTransport[EnergieConsumptieFactor (PJ per km)],TableECFTransport[Index],CONCATENATE($A6,"_LPG_LPG"))</f>
        <v>9.5998019347948323E-4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0.1180801992113331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3.108806947400564E-2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6.5372686738773382E-3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4.5311655851676437E-2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1.5536738878596241E-5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1.9573786334718055E-3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4.7551618205275626E-7</v>
      </c>
      <c r="C8" s="432"/>
      <c r="D8" s="434">
        <f>vkm_2011_NGW_PW*SUMIFS(TableVerdeelsleutelVkm[CNG],TableVerdeelsleutelVkm[Voertuigtype],"Lichte voertuigen")*SUMIFS(TableECFTransport[EnergieConsumptieFactor (PJ per km)],TableECFTransport[Index],CONCATENATE($A8,"_CNG_CNG"))</f>
        <v>3.6775615357698344E-6</v>
      </c>
      <c r="E8" s="434">
        <f>vkm_2011_NGW_PW*SUMIFS(TableVerdeelsleutelVkm[LPG],TableVerdeelsleutelVkm[Voertuigtype],"Lichte voertuigen")*SUMIFS(TableECFTransport[EnergieConsumptieFactor (PJ per km)],TableECFTransport[Index],CONCATENATE($A8,"_LPG_LPG"))</f>
        <v>3.4936748106686614E-4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4.0759063098798752E-2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1.1828096723645426E-2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2.3072988736028378E-3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8.0210323521474353E-3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2.3892548165308183E-6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3.4647686490580899E-4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0.72662222551152611</v>
      </c>
      <c r="C14" s="21"/>
      <c r="D14" s="21">
        <f t="shared" ref="D14:M14" si="0">((D5)*10^9/3600)+D12</f>
        <v>3.5845135486171666</v>
      </c>
      <c r="E14" s="21">
        <f t="shared" si="0"/>
        <v>363.70768737398595</v>
      </c>
      <c r="F14" s="21"/>
      <c r="G14" s="21">
        <f t="shared" si="0"/>
        <v>58936.65292054326</v>
      </c>
      <c r="H14" s="21">
        <f t="shared" si="0"/>
        <v>11926.136719818387</v>
      </c>
      <c r="I14" s="21"/>
      <c r="J14" s="21"/>
      <c r="K14" s="21"/>
      <c r="L14" s="21"/>
      <c r="M14" s="21">
        <f t="shared" si="0"/>
        <v>3096.7841794049418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0.21617554343269282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0.15707795447022682</v>
      </c>
      <c r="C18" s="23"/>
      <c r="D18" s="23">
        <f t="shared" ref="D18:M18" si="1">D14*D16</f>
        <v>0.72407173682066772</v>
      </c>
      <c r="E18" s="23">
        <f t="shared" si="1"/>
        <v>82.56164503389482</v>
      </c>
      <c r="F18" s="23"/>
      <c r="G18" s="23">
        <f t="shared" si="1"/>
        <v>15736.086329785052</v>
      </c>
      <c r="H18" s="23">
        <f t="shared" si="1"/>
        <v>2969.6080432347785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3.7044215553504434E-3</v>
      </c>
      <c r="H50" s="322">
        <f t="shared" si="2"/>
        <v>0</v>
      </c>
      <c r="I50" s="322">
        <f t="shared" si="2"/>
        <v>0</v>
      </c>
      <c r="J50" s="322">
        <f t="shared" si="2"/>
        <v>0</v>
      </c>
      <c r="K50" s="322">
        <f t="shared" si="2"/>
        <v>0</v>
      </c>
      <c r="L50" s="322">
        <f t="shared" si="2"/>
        <v>0</v>
      </c>
      <c r="M50" s="322">
        <f t="shared" si="2"/>
        <v>1.5790339713194865E-4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3.7044215553504434E-3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1.5790339713194865E-4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1029.0059875973454</v>
      </c>
      <c r="H54" s="21">
        <f t="shared" si="3"/>
        <v>0</v>
      </c>
      <c r="I54" s="21">
        <f t="shared" si="3"/>
        <v>0</v>
      </c>
      <c r="J54" s="21">
        <f t="shared" si="3"/>
        <v>0</v>
      </c>
      <c r="K54" s="21">
        <f t="shared" si="3"/>
        <v>0</v>
      </c>
      <c r="L54" s="21">
        <f t="shared" si="3"/>
        <v>0</v>
      </c>
      <c r="M54" s="21">
        <f t="shared" si="3"/>
        <v>43.862054758874621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0.21617554343269282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274.74459868849124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2351.064717356724</v>
      </c>
      <c r="C6" s="1124"/>
      <c r="D6" s="1127"/>
      <c r="E6" s="1127"/>
      <c r="F6" s="1130"/>
      <c r="G6" s="1133"/>
      <c r="H6" s="1121"/>
      <c r="I6" s="1127"/>
      <c r="J6" s="1127"/>
      <c r="K6" s="1127"/>
      <c r="L6" s="1157"/>
      <c r="M6" s="559"/>
      <c r="N6" s="1169"/>
      <c r="O6" s="1170"/>
      <c r="Q6" s="557"/>
      <c r="R6" s="1154"/>
      <c r="S6" s="1154"/>
    </row>
    <row r="7" spans="1:19" s="547" customFormat="1">
      <c r="A7" s="560" t="s">
        <v>253</v>
      </c>
      <c r="B7" s="561">
        <f>N57</f>
        <v>9062.9999999999982</v>
      </c>
      <c r="C7" s="562">
        <f>B100</f>
        <v>10662.352941176468</v>
      </c>
      <c r="D7" s="563"/>
      <c r="E7" s="563">
        <f>E100</f>
        <v>0</v>
      </c>
      <c r="F7" s="564"/>
      <c r="G7" s="565"/>
      <c r="H7" s="563">
        <f>I100</f>
        <v>0</v>
      </c>
      <c r="I7" s="563">
        <f>G100+F100</f>
        <v>0</v>
      </c>
      <c r="J7" s="563">
        <f>H100+D100+C100</f>
        <v>0</v>
      </c>
      <c r="K7" s="563"/>
      <c r="L7" s="566"/>
      <c r="M7" s="567">
        <f>C7*$C$11+D7*$D$11+E7*$E$11+F7*$F$11+G7*$G$11+H7*$H$11+I7*$I$11+J7*$J$11</f>
        <v>2153.7952941176468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11414.064717356723</v>
      </c>
      <c r="C9" s="578">
        <f t="shared" ref="C9:L9" si="0">SUM(C7:C8)</f>
        <v>10662.352941176468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2153.7952941176468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12947.142857142855</v>
      </c>
      <c r="C16" s="594">
        <f>B101</f>
        <v>15231.932773109238</v>
      </c>
      <c r="D16" s="595"/>
      <c r="E16" s="595">
        <f>E101</f>
        <v>0</v>
      </c>
      <c r="F16" s="596"/>
      <c r="G16" s="597"/>
      <c r="H16" s="594">
        <f>I101</f>
        <v>0</v>
      </c>
      <c r="I16" s="595">
        <f>G101+F101</f>
        <v>0</v>
      </c>
      <c r="J16" s="595">
        <f>H101+D101+C101</f>
        <v>0</v>
      </c>
      <c r="K16" s="595"/>
      <c r="L16" s="598"/>
      <c r="M16" s="599">
        <f>C16*$C$21+E16*$E$21+H16*$H$21+I16*$I$21+J16*$J$21+D16*$D$21+F16*$F$21+G16*$G$21+K16*$K$21+L16*$L$21</f>
        <v>3076.8504201680662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12947.142857142855</v>
      </c>
      <c r="C19" s="577">
        <f>SUM(C16:C18)</f>
        <v>15231.932773109238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3076.8504201680662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11022</v>
      </c>
      <c r="C27" s="839">
        <v>2920</v>
      </c>
      <c r="D27" s="656" t="s">
        <v>894</v>
      </c>
      <c r="E27" s="655" t="s">
        <v>895</v>
      </c>
      <c r="F27" s="655" t="s">
        <v>896</v>
      </c>
      <c r="G27" s="655" t="s">
        <v>897</v>
      </c>
      <c r="H27" s="655" t="s">
        <v>898</v>
      </c>
      <c r="I27" s="655" t="s">
        <v>895</v>
      </c>
      <c r="J27" s="838">
        <v>39002</v>
      </c>
      <c r="K27" s="838">
        <v>39007</v>
      </c>
      <c r="L27" s="655" t="s">
        <v>899</v>
      </c>
      <c r="M27" s="655">
        <v>2014</v>
      </c>
      <c r="N27" s="655">
        <v>9062.9999999999982</v>
      </c>
      <c r="O27" s="655">
        <v>12947.142857142855</v>
      </c>
      <c r="P27" s="655">
        <v>25894.28571428571</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2014</v>
      </c>
      <c r="N57" s="613">
        <f>SUM(N27:N56)</f>
        <v>9062.9999999999982</v>
      </c>
      <c r="O57" s="613">
        <f t="shared" ref="O57:W57" si="2">SUM(O27:O56)</f>
        <v>12947.142857142855</v>
      </c>
      <c r="P57" s="613">
        <f t="shared" si="2"/>
        <v>25894.28571428571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2014</v>
      </c>
      <c r="N60" s="618">
        <f t="shared" ref="N60:W60" si="4">SUMIF($Z$27:$Z$56,"landbouw",N27:N56)</f>
        <v>9062.9999999999982</v>
      </c>
      <c r="O60" s="618">
        <f t="shared" si="4"/>
        <v>12947.142857142855</v>
      </c>
      <c r="P60" s="618">
        <f t="shared" si="4"/>
        <v>25894.28571428571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10662.352941176468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15231.932773109238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20022.112987611021</v>
      </c>
      <c r="D10" s="702">
        <f ca="1">tertiair!C16</f>
        <v>0</v>
      </c>
      <c r="E10" s="702">
        <f ca="1">tertiair!D16</f>
        <v>25627.01440281338</v>
      </c>
      <c r="F10" s="702">
        <f>tertiair!E16</f>
        <v>340.37300147993267</v>
      </c>
      <c r="G10" s="702">
        <f ca="1">tertiair!F16</f>
        <v>3729.2968677336139</v>
      </c>
      <c r="H10" s="702">
        <f>tertiair!G16</f>
        <v>0</v>
      </c>
      <c r="I10" s="702">
        <f>tertiair!H16</f>
        <v>0</v>
      </c>
      <c r="J10" s="702">
        <f>tertiair!I16</f>
        <v>0</v>
      </c>
      <c r="K10" s="702">
        <f>tertiair!J16</f>
        <v>0</v>
      </c>
      <c r="L10" s="702">
        <f>tertiair!K16</f>
        <v>0</v>
      </c>
      <c r="M10" s="702">
        <f ca="1">tertiair!L16</f>
        <v>0</v>
      </c>
      <c r="N10" s="702">
        <f>tertiair!M16</f>
        <v>0</v>
      </c>
      <c r="O10" s="702">
        <f ca="1">tertiair!N16</f>
        <v>781.66336041082229</v>
      </c>
      <c r="P10" s="702">
        <f>tertiair!O16</f>
        <v>0</v>
      </c>
      <c r="Q10" s="703">
        <f>tertiair!P16</f>
        <v>38.133333333333333</v>
      </c>
      <c r="R10" s="705">
        <f ca="1">SUM(C10:Q10)</f>
        <v>50538.593953382093</v>
      </c>
      <c r="S10" s="67"/>
    </row>
    <row r="11" spans="1:19" s="457" customFormat="1">
      <c r="A11" s="858" t="s">
        <v>226</v>
      </c>
      <c r="B11" s="863"/>
      <c r="C11" s="702">
        <f>huishoudens!B8</f>
        <v>37081.599668719362</v>
      </c>
      <c r="D11" s="702">
        <f>huishoudens!C8</f>
        <v>0</v>
      </c>
      <c r="E11" s="702">
        <f>huishoudens!D8</f>
        <v>100157.22762809412</v>
      </c>
      <c r="F11" s="702">
        <f>huishoudens!E8</f>
        <v>2522.5604377586133</v>
      </c>
      <c r="G11" s="702">
        <f>huishoudens!F8</f>
        <v>5768.9327827408706</v>
      </c>
      <c r="H11" s="702">
        <f>huishoudens!G8</f>
        <v>0</v>
      </c>
      <c r="I11" s="702">
        <f>huishoudens!H8</f>
        <v>0</v>
      </c>
      <c r="J11" s="702">
        <f>huishoudens!I8</f>
        <v>0</v>
      </c>
      <c r="K11" s="702">
        <f>huishoudens!J8</f>
        <v>0</v>
      </c>
      <c r="L11" s="702">
        <f>huishoudens!K8</f>
        <v>0</v>
      </c>
      <c r="M11" s="702">
        <f>huishoudens!L8</f>
        <v>0</v>
      </c>
      <c r="N11" s="702">
        <f>huishoudens!M8</f>
        <v>0</v>
      </c>
      <c r="O11" s="702">
        <f>huishoudens!N8</f>
        <v>13745.75738494056</v>
      </c>
      <c r="P11" s="702">
        <f>huishoudens!O8</f>
        <v>114.12333333333335</v>
      </c>
      <c r="Q11" s="703">
        <f>huishoudens!P8</f>
        <v>266.93333333333334</v>
      </c>
      <c r="R11" s="705">
        <f>SUM(C11:Q11)</f>
        <v>159657.13456892018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16184.772655906401</v>
      </c>
      <c r="D13" s="702">
        <f>industrie!C18</f>
        <v>0</v>
      </c>
      <c r="E13" s="702">
        <f>industrie!D18</f>
        <v>14428.675858705901</v>
      </c>
      <c r="F13" s="702">
        <f>industrie!E18</f>
        <v>161.28733633663211</v>
      </c>
      <c r="G13" s="702">
        <f>industrie!F18</f>
        <v>3918.8727771309386</v>
      </c>
      <c r="H13" s="702">
        <f>industrie!G18</f>
        <v>0</v>
      </c>
      <c r="I13" s="702">
        <f>industrie!H18</f>
        <v>0</v>
      </c>
      <c r="J13" s="702">
        <f>industrie!I18</f>
        <v>0</v>
      </c>
      <c r="K13" s="702">
        <f>industrie!J18</f>
        <v>90.718954892865042</v>
      </c>
      <c r="L13" s="702">
        <f>industrie!K18</f>
        <v>0</v>
      </c>
      <c r="M13" s="702">
        <f>industrie!L18</f>
        <v>0</v>
      </c>
      <c r="N13" s="702">
        <f>industrie!M18</f>
        <v>0</v>
      </c>
      <c r="O13" s="702">
        <f>industrie!N18</f>
        <v>352.50179186371673</v>
      </c>
      <c r="P13" s="702">
        <f>industrie!O18</f>
        <v>0</v>
      </c>
      <c r="Q13" s="703">
        <f>industrie!P18</f>
        <v>0</v>
      </c>
      <c r="R13" s="705">
        <f>SUM(C13:Q13)</f>
        <v>35136.829374836459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73288.485312236779</v>
      </c>
      <c r="D15" s="707">
        <f t="shared" ref="D15:Q15" ca="1" si="0">SUM(D9:D14)</f>
        <v>0</v>
      </c>
      <c r="E15" s="707">
        <f t="shared" ca="1" si="0"/>
        <v>140212.9178896134</v>
      </c>
      <c r="F15" s="707">
        <f t="shared" si="0"/>
        <v>3024.2207755751779</v>
      </c>
      <c r="G15" s="707">
        <f t="shared" ca="1" si="0"/>
        <v>13417.102427605423</v>
      </c>
      <c r="H15" s="707">
        <f t="shared" si="0"/>
        <v>0</v>
      </c>
      <c r="I15" s="707">
        <f t="shared" si="0"/>
        <v>0</v>
      </c>
      <c r="J15" s="707">
        <f t="shared" si="0"/>
        <v>0</v>
      </c>
      <c r="K15" s="707">
        <f t="shared" si="0"/>
        <v>90.718954892865042</v>
      </c>
      <c r="L15" s="707">
        <f t="shared" si="0"/>
        <v>0</v>
      </c>
      <c r="M15" s="707">
        <f t="shared" ca="1" si="0"/>
        <v>0</v>
      </c>
      <c r="N15" s="707">
        <f t="shared" si="0"/>
        <v>0</v>
      </c>
      <c r="O15" s="707">
        <f t="shared" ca="1" si="0"/>
        <v>14879.9225372151</v>
      </c>
      <c r="P15" s="707">
        <f t="shared" si="0"/>
        <v>114.12333333333335</v>
      </c>
      <c r="Q15" s="708">
        <f t="shared" si="0"/>
        <v>305.06666666666666</v>
      </c>
      <c r="R15" s="709">
        <f ca="1">SUM(R9:R14)</f>
        <v>245332.55789713876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1029.0059875973454</v>
      </c>
      <c r="I18" s="702">
        <f>transport!H54</f>
        <v>0</v>
      </c>
      <c r="J18" s="702">
        <f>transport!I54</f>
        <v>0</v>
      </c>
      <c r="K18" s="702">
        <f>transport!J54</f>
        <v>0</v>
      </c>
      <c r="L18" s="702">
        <f>transport!K54</f>
        <v>0</v>
      </c>
      <c r="M18" s="702">
        <f>transport!L54</f>
        <v>0</v>
      </c>
      <c r="N18" s="702">
        <f>transport!M54</f>
        <v>43.862054758874621</v>
      </c>
      <c r="O18" s="702">
        <f>transport!N54</f>
        <v>0</v>
      </c>
      <c r="P18" s="702">
        <f>transport!O54</f>
        <v>0</v>
      </c>
      <c r="Q18" s="703">
        <f>transport!P54</f>
        <v>0</v>
      </c>
      <c r="R18" s="705">
        <f>SUM(C18:Q18)</f>
        <v>1072.86804235622</v>
      </c>
      <c r="S18" s="67"/>
    </row>
    <row r="19" spans="1:19" s="457" customFormat="1" ht="15" thickBot="1">
      <c r="A19" s="858" t="s">
        <v>308</v>
      </c>
      <c r="B19" s="863"/>
      <c r="C19" s="711">
        <f>transport!B14</f>
        <v>0.72662222551152611</v>
      </c>
      <c r="D19" s="711">
        <f>transport!C14</f>
        <v>0</v>
      </c>
      <c r="E19" s="711">
        <f>transport!D14</f>
        <v>3.5845135486171666</v>
      </c>
      <c r="F19" s="711">
        <f>transport!E14</f>
        <v>363.70768737398595</v>
      </c>
      <c r="G19" s="711">
        <f>transport!F14</f>
        <v>0</v>
      </c>
      <c r="H19" s="711">
        <f>transport!G14</f>
        <v>58936.65292054326</v>
      </c>
      <c r="I19" s="711">
        <f>transport!H14</f>
        <v>11926.136719818387</v>
      </c>
      <c r="J19" s="711">
        <f>transport!I14</f>
        <v>0</v>
      </c>
      <c r="K19" s="711">
        <f>transport!J14</f>
        <v>0</v>
      </c>
      <c r="L19" s="711">
        <f>transport!K14</f>
        <v>0</v>
      </c>
      <c r="M19" s="711">
        <f>transport!L14</f>
        <v>0</v>
      </c>
      <c r="N19" s="711">
        <f>transport!M14</f>
        <v>3096.7841794049418</v>
      </c>
      <c r="O19" s="711">
        <f>transport!N14</f>
        <v>0</v>
      </c>
      <c r="P19" s="711">
        <f>transport!O14</f>
        <v>0</v>
      </c>
      <c r="Q19" s="712">
        <f>transport!P14</f>
        <v>0</v>
      </c>
      <c r="R19" s="713">
        <f>SUM(C19:Q19)</f>
        <v>74327.592642914708</v>
      </c>
      <c r="S19" s="67"/>
    </row>
    <row r="20" spans="1:19" s="457" customFormat="1" ht="15.75" thickBot="1">
      <c r="A20" s="714" t="s">
        <v>231</v>
      </c>
      <c r="B20" s="866"/>
      <c r="C20" s="861">
        <f>SUM(C17:C19)</f>
        <v>0.72662222551152611</v>
      </c>
      <c r="D20" s="715">
        <f t="shared" ref="D20:R20" si="1">SUM(D17:D19)</f>
        <v>0</v>
      </c>
      <c r="E20" s="715">
        <f t="shared" si="1"/>
        <v>3.5845135486171666</v>
      </c>
      <c r="F20" s="715">
        <f t="shared" si="1"/>
        <v>363.70768737398595</v>
      </c>
      <c r="G20" s="715">
        <f t="shared" si="1"/>
        <v>0</v>
      </c>
      <c r="H20" s="715">
        <f t="shared" si="1"/>
        <v>59965.658908140605</v>
      </c>
      <c r="I20" s="715">
        <f t="shared" si="1"/>
        <v>11926.136719818387</v>
      </c>
      <c r="J20" s="715">
        <f t="shared" si="1"/>
        <v>0</v>
      </c>
      <c r="K20" s="715">
        <f t="shared" si="1"/>
        <v>0</v>
      </c>
      <c r="L20" s="715">
        <f t="shared" si="1"/>
        <v>0</v>
      </c>
      <c r="M20" s="715">
        <f t="shared" si="1"/>
        <v>0</v>
      </c>
      <c r="N20" s="715">
        <f t="shared" si="1"/>
        <v>3140.6462341638166</v>
      </c>
      <c r="O20" s="715">
        <f t="shared" si="1"/>
        <v>0</v>
      </c>
      <c r="P20" s="715">
        <f t="shared" si="1"/>
        <v>0</v>
      </c>
      <c r="Q20" s="716">
        <f t="shared" si="1"/>
        <v>0</v>
      </c>
      <c r="R20" s="717">
        <f t="shared" si="1"/>
        <v>75400.460685270926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3136.5996101504952</v>
      </c>
      <c r="D22" s="711">
        <f>+landbouw!C8</f>
        <v>12947.142857142855</v>
      </c>
      <c r="E22" s="711">
        <f>+landbouw!D8</f>
        <v>13616.918180324072</v>
      </c>
      <c r="F22" s="711">
        <f>+landbouw!E8</f>
        <v>32.847150163620249</v>
      </c>
      <c r="G22" s="711">
        <f>+landbouw!F8</f>
        <v>16110.075020508319</v>
      </c>
      <c r="H22" s="711">
        <f>+landbouw!G8</f>
        <v>0</v>
      </c>
      <c r="I22" s="711">
        <f>+landbouw!H8</f>
        <v>0</v>
      </c>
      <c r="J22" s="711">
        <f>+landbouw!I8</f>
        <v>0</v>
      </c>
      <c r="K22" s="711">
        <f>+landbouw!J8</f>
        <v>280.12645900835724</v>
      </c>
      <c r="L22" s="711">
        <f>+landbouw!K8</f>
        <v>0</v>
      </c>
      <c r="M22" s="711">
        <f>+landbouw!L8</f>
        <v>0</v>
      </c>
      <c r="N22" s="711">
        <f>+landbouw!M8</f>
        <v>0</v>
      </c>
      <c r="O22" s="711">
        <f>+landbouw!N8</f>
        <v>0</v>
      </c>
      <c r="P22" s="711">
        <f>+landbouw!O8</f>
        <v>0</v>
      </c>
      <c r="Q22" s="712">
        <f>+landbouw!P8</f>
        <v>0</v>
      </c>
      <c r="R22" s="713">
        <f>SUM(C22:Q22)</f>
        <v>46123.709277297719</v>
      </c>
      <c r="S22" s="67"/>
    </row>
    <row r="23" spans="1:19" s="457" customFormat="1" ht="17.25" thickTop="1" thickBot="1">
      <c r="A23" s="718" t="s">
        <v>116</v>
      </c>
      <c r="B23" s="852"/>
      <c r="C23" s="719">
        <f ca="1">C20+C15+C22</f>
        <v>76425.811544612792</v>
      </c>
      <c r="D23" s="719">
        <f t="shared" ref="D23:Q23" ca="1" si="2">D20+D15+D22</f>
        <v>12947.142857142855</v>
      </c>
      <c r="E23" s="719">
        <f t="shared" ca="1" si="2"/>
        <v>153833.42058348609</v>
      </c>
      <c r="F23" s="719">
        <f t="shared" si="2"/>
        <v>3420.7756131127844</v>
      </c>
      <c r="G23" s="719">
        <f t="shared" ca="1" si="2"/>
        <v>29527.17744811374</v>
      </c>
      <c r="H23" s="719">
        <f t="shared" si="2"/>
        <v>59965.658908140605</v>
      </c>
      <c r="I23" s="719">
        <f t="shared" si="2"/>
        <v>11926.136719818387</v>
      </c>
      <c r="J23" s="719">
        <f t="shared" si="2"/>
        <v>0</v>
      </c>
      <c r="K23" s="719">
        <f t="shared" si="2"/>
        <v>370.84541390122229</v>
      </c>
      <c r="L23" s="719">
        <f t="shared" si="2"/>
        <v>0</v>
      </c>
      <c r="M23" s="719">
        <f t="shared" ca="1" si="2"/>
        <v>0</v>
      </c>
      <c r="N23" s="719">
        <f t="shared" si="2"/>
        <v>3140.6462341638166</v>
      </c>
      <c r="O23" s="719">
        <f t="shared" ca="1" si="2"/>
        <v>14879.9225372151</v>
      </c>
      <c r="P23" s="719">
        <f t="shared" si="2"/>
        <v>114.12333333333335</v>
      </c>
      <c r="Q23" s="720">
        <f t="shared" si="2"/>
        <v>305.06666666666666</v>
      </c>
      <c r="R23" s="721">
        <f ca="1">R20+R15+R22</f>
        <v>366856.72785970743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4328.2911557675898</v>
      </c>
      <c r="D36" s="702">
        <f ca="1">tertiair!C20</f>
        <v>0</v>
      </c>
      <c r="E36" s="702">
        <f ca="1">tertiair!D20</f>
        <v>5176.6569093683029</v>
      </c>
      <c r="F36" s="702">
        <f>tertiair!E20</f>
        <v>77.264671335944712</v>
      </c>
      <c r="G36" s="702">
        <f ca="1">tertiair!F20</f>
        <v>995.72226368487497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10577.935000156713</v>
      </c>
    </row>
    <row r="37" spans="1:18">
      <c r="A37" s="873" t="s">
        <v>226</v>
      </c>
      <c r="B37" s="880"/>
      <c r="C37" s="702">
        <f ca="1">huishoudens!B12</f>
        <v>8016.1349597389699</v>
      </c>
      <c r="D37" s="702">
        <f ca="1">huishoudens!C12</f>
        <v>0</v>
      </c>
      <c r="E37" s="702">
        <f>huishoudens!D12</f>
        <v>20231.759980875013</v>
      </c>
      <c r="F37" s="702">
        <f>huishoudens!E12</f>
        <v>572.62121937120526</v>
      </c>
      <c r="G37" s="702">
        <f>huishoudens!F12</f>
        <v>1540.3050529918125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30360.821212977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3498.7520242251535</v>
      </c>
      <c r="D39" s="702">
        <f ca="1">industrie!C22</f>
        <v>0</v>
      </c>
      <c r="E39" s="702">
        <f>industrie!D22</f>
        <v>2914.592523458592</v>
      </c>
      <c r="F39" s="702">
        <f>industrie!E22</f>
        <v>36.612225348415492</v>
      </c>
      <c r="G39" s="702">
        <f>industrie!F22</f>
        <v>1046.3390314939606</v>
      </c>
      <c r="H39" s="702">
        <f>industrie!G22</f>
        <v>0</v>
      </c>
      <c r="I39" s="702">
        <f>industrie!H22</f>
        <v>0</v>
      </c>
      <c r="J39" s="702">
        <f>industrie!I22</f>
        <v>0</v>
      </c>
      <c r="K39" s="702">
        <f>industrie!J22</f>
        <v>32.114510032074222</v>
      </c>
      <c r="L39" s="702">
        <f>industrie!K22</f>
        <v>0</v>
      </c>
      <c r="M39" s="702">
        <f>industrie!L22</f>
        <v>0</v>
      </c>
      <c r="N39" s="702">
        <f>industrie!M22</f>
        <v>0</v>
      </c>
      <c r="O39" s="702">
        <f>industrie!N22</f>
        <v>0</v>
      </c>
      <c r="P39" s="702">
        <f>industrie!O22</f>
        <v>0</v>
      </c>
      <c r="Q39" s="812">
        <f>industrie!P22</f>
        <v>0</v>
      </c>
      <c r="R39" s="906">
        <f ca="1">SUM(C39:Q39)</f>
        <v>7528.4103145581967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15843.178139731714</v>
      </c>
      <c r="D41" s="747">
        <f t="shared" ref="D41:R41" ca="1" si="4">SUM(D35:D40)</f>
        <v>0</v>
      </c>
      <c r="E41" s="747">
        <f t="shared" ca="1" si="4"/>
        <v>28323.009413701908</v>
      </c>
      <c r="F41" s="747">
        <f t="shared" si="4"/>
        <v>686.49811605556545</v>
      </c>
      <c r="G41" s="747">
        <f t="shared" ca="1" si="4"/>
        <v>3582.3663481706481</v>
      </c>
      <c r="H41" s="747">
        <f t="shared" si="4"/>
        <v>0</v>
      </c>
      <c r="I41" s="747">
        <f t="shared" si="4"/>
        <v>0</v>
      </c>
      <c r="J41" s="747">
        <f t="shared" si="4"/>
        <v>0</v>
      </c>
      <c r="K41" s="747">
        <f t="shared" si="4"/>
        <v>32.114510032074222</v>
      </c>
      <c r="L41" s="747">
        <f t="shared" si="4"/>
        <v>0</v>
      </c>
      <c r="M41" s="747">
        <f t="shared" ca="1" si="4"/>
        <v>0</v>
      </c>
      <c r="N41" s="747">
        <f t="shared" si="4"/>
        <v>0</v>
      </c>
      <c r="O41" s="747">
        <f t="shared" ca="1" si="4"/>
        <v>0</v>
      </c>
      <c r="P41" s="747">
        <f t="shared" si="4"/>
        <v>0</v>
      </c>
      <c r="Q41" s="748">
        <f t="shared" si="4"/>
        <v>0</v>
      </c>
      <c r="R41" s="749">
        <f t="shared" ca="1" si="4"/>
        <v>48467.166527691908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274.74459868849124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274.74459868849124</v>
      </c>
    </row>
    <row r="45" spans="1:18" ht="15" thickBot="1">
      <c r="A45" s="876" t="s">
        <v>308</v>
      </c>
      <c r="B45" s="886"/>
      <c r="C45" s="711">
        <f ca="1">transport!B18</f>
        <v>0.15707795447022682</v>
      </c>
      <c r="D45" s="711">
        <f>transport!C18</f>
        <v>0</v>
      </c>
      <c r="E45" s="711">
        <f>transport!D18</f>
        <v>0.72407173682066772</v>
      </c>
      <c r="F45" s="711">
        <f>transport!E18</f>
        <v>82.56164503389482</v>
      </c>
      <c r="G45" s="711">
        <f>transport!F18</f>
        <v>0</v>
      </c>
      <c r="H45" s="711">
        <f>transport!G18</f>
        <v>15736.086329785052</v>
      </c>
      <c r="I45" s="711">
        <f>transport!H18</f>
        <v>2969.6080432347785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18789.137167745015</v>
      </c>
    </row>
    <row r="46" spans="1:18" ht="15.75" thickBot="1">
      <c r="A46" s="874" t="s">
        <v>231</v>
      </c>
      <c r="B46" s="887"/>
      <c r="C46" s="747">
        <f t="shared" ref="C46:R46" ca="1" si="5">SUM(C43:C45)</f>
        <v>0.15707795447022682</v>
      </c>
      <c r="D46" s="747">
        <f t="shared" ca="1" si="5"/>
        <v>0</v>
      </c>
      <c r="E46" s="747">
        <f t="shared" si="5"/>
        <v>0.72407173682066772</v>
      </c>
      <c r="F46" s="747">
        <f t="shared" si="5"/>
        <v>82.56164503389482</v>
      </c>
      <c r="G46" s="747">
        <f t="shared" si="5"/>
        <v>0</v>
      </c>
      <c r="H46" s="747">
        <f t="shared" si="5"/>
        <v>16010.830928473542</v>
      </c>
      <c r="I46" s="747">
        <f t="shared" si="5"/>
        <v>2969.6080432347785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19063.881766433507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678.0561252550558</v>
      </c>
      <c r="D48" s="702">
        <f ca="1">+landbouw!C12</f>
        <v>3076.8504201680662</v>
      </c>
      <c r="E48" s="702">
        <f>+landbouw!D12</f>
        <v>2750.6174724254624</v>
      </c>
      <c r="F48" s="702">
        <f>+landbouw!E12</f>
        <v>7.456303087141797</v>
      </c>
      <c r="G48" s="702">
        <f>+landbouw!F12</f>
        <v>4301.3900304757217</v>
      </c>
      <c r="H48" s="702">
        <f>+landbouw!G12</f>
        <v>0</v>
      </c>
      <c r="I48" s="702">
        <f>+landbouw!H12</f>
        <v>0</v>
      </c>
      <c r="J48" s="702">
        <f>+landbouw!I12</f>
        <v>0</v>
      </c>
      <c r="K48" s="702">
        <f>+landbouw!J12</f>
        <v>99.164766488958463</v>
      </c>
      <c r="L48" s="702">
        <f>+landbouw!K12</f>
        <v>0</v>
      </c>
      <c r="M48" s="702">
        <f>+landbouw!L12</f>
        <v>0</v>
      </c>
      <c r="N48" s="702">
        <f>+landbouw!M12</f>
        <v>0</v>
      </c>
      <c r="O48" s="702">
        <f>+landbouw!N12</f>
        <v>0</v>
      </c>
      <c r="P48" s="702">
        <f>+landbouw!O12</f>
        <v>0</v>
      </c>
      <c r="Q48" s="703">
        <f>+landbouw!P12</f>
        <v>0</v>
      </c>
      <c r="R48" s="745">
        <f ca="1">SUM(C48:Q48)</f>
        <v>10913.535117900406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16521.391342941239</v>
      </c>
      <c r="D53" s="757">
        <f t="shared" ref="D53:Q53" ca="1" si="6">D41+D46+D48</f>
        <v>3076.8504201680662</v>
      </c>
      <c r="E53" s="757">
        <f t="shared" ca="1" si="6"/>
        <v>31074.350957864193</v>
      </c>
      <c r="F53" s="757">
        <f t="shared" si="6"/>
        <v>776.51606417660207</v>
      </c>
      <c r="G53" s="757">
        <f t="shared" ca="1" si="6"/>
        <v>7883.7563786463697</v>
      </c>
      <c r="H53" s="757">
        <f t="shared" si="6"/>
        <v>16010.830928473542</v>
      </c>
      <c r="I53" s="757">
        <f t="shared" si="6"/>
        <v>2969.6080432347785</v>
      </c>
      <c r="J53" s="757">
        <f t="shared" si="6"/>
        <v>0</v>
      </c>
      <c r="K53" s="757">
        <f t="shared" si="6"/>
        <v>131.27927652103267</v>
      </c>
      <c r="L53" s="757">
        <f t="shared" si="6"/>
        <v>0</v>
      </c>
      <c r="M53" s="757">
        <f t="shared" ca="1" si="6"/>
        <v>0</v>
      </c>
      <c r="N53" s="757">
        <f t="shared" si="6"/>
        <v>0</v>
      </c>
      <c r="O53" s="757">
        <f t="shared" ca="1" si="6"/>
        <v>0</v>
      </c>
      <c r="P53" s="757">
        <f>P41+P46+P48</f>
        <v>0</v>
      </c>
      <c r="Q53" s="758">
        <f t="shared" si="6"/>
        <v>0</v>
      </c>
      <c r="R53" s="759">
        <f ca="1">R41+R46+R48</f>
        <v>78444.583412025822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0.21617554343269282</v>
      </c>
      <c r="D55" s="823">
        <f t="shared" ca="1" si="7"/>
        <v>0.23764705882352938</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2351.064717356724</v>
      </c>
      <c r="C66" s="779">
        <f>'lokale energieproductie'!B6</f>
        <v>2351.064717356724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9062.9999999999982</v>
      </c>
      <c r="C67" s="778">
        <f>B67*IFERROR(SUM(J67:L67)/SUM(D67:M67),0)</f>
        <v>0</v>
      </c>
      <c r="D67" s="810">
        <f>'lokale energieproductie'!C7</f>
        <v>10662.352941176468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2153.7952941176468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11414.064717356723</v>
      </c>
      <c r="C69" s="787">
        <f>SUM(C64:C68)</f>
        <v>2351.064717356724</v>
      </c>
      <c r="D69" s="788">
        <f t="shared" ref="D69:M69" si="8">SUM(D67:D68)</f>
        <v>10662.352941176468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2153.7952941176468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12947.142857142855</v>
      </c>
      <c r="C78" s="801">
        <f>B78*IFERROR(SUM(I78:L78)/SUM(D78:M78),0)</f>
        <v>0</v>
      </c>
      <c r="D78" s="816">
        <f>'lokale energieproductie'!C16</f>
        <v>15231.932773109238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3076.8504201680662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12947.142857142855</v>
      </c>
      <c r="C81" s="787">
        <f>SUM(C78:C80)</f>
        <v>0</v>
      </c>
      <c r="D81" s="787">
        <f t="shared" ref="D81:P81" si="9">SUM(D78:D80)</f>
        <v>15231.932773109238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3076.8504201680662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37081.599668719362</v>
      </c>
      <c r="C4" s="461">
        <f>huishoudens!C8</f>
        <v>0</v>
      </c>
      <c r="D4" s="461">
        <f>huishoudens!D8</f>
        <v>100157.22762809412</v>
      </c>
      <c r="E4" s="461">
        <f>huishoudens!E8</f>
        <v>2522.5604377586133</v>
      </c>
      <c r="F4" s="461">
        <f>huishoudens!F8</f>
        <v>5768.9327827408706</v>
      </c>
      <c r="G4" s="461">
        <f>huishoudens!G8</f>
        <v>0</v>
      </c>
      <c r="H4" s="461">
        <f>huishoudens!H8</f>
        <v>0</v>
      </c>
      <c r="I4" s="461">
        <f>huishoudens!I8</f>
        <v>0</v>
      </c>
      <c r="J4" s="461">
        <f>huishoudens!J8</f>
        <v>0</v>
      </c>
      <c r="K4" s="461">
        <f>huishoudens!K8</f>
        <v>0</v>
      </c>
      <c r="L4" s="461">
        <f>huishoudens!L8</f>
        <v>0</v>
      </c>
      <c r="M4" s="461">
        <f>huishoudens!M8</f>
        <v>0</v>
      </c>
      <c r="N4" s="461">
        <f>huishoudens!N8</f>
        <v>13745.75738494056</v>
      </c>
      <c r="O4" s="461">
        <f>huishoudens!O8</f>
        <v>114.12333333333335</v>
      </c>
      <c r="P4" s="462">
        <f>huishoudens!P8</f>
        <v>266.93333333333334</v>
      </c>
      <c r="Q4" s="463">
        <f>SUM(B4:P4)</f>
        <v>159657.13456892018</v>
      </c>
    </row>
    <row r="5" spans="1:17">
      <c r="A5" s="460" t="s">
        <v>156</v>
      </c>
      <c r="B5" s="461">
        <f ca="1">tertiair!B16</f>
        <v>18977.846987611021</v>
      </c>
      <c r="C5" s="461">
        <f ca="1">tertiair!C16</f>
        <v>0</v>
      </c>
      <c r="D5" s="461">
        <f ca="1">tertiair!D16</f>
        <v>25627.01440281338</v>
      </c>
      <c r="E5" s="461">
        <f>tertiair!E16</f>
        <v>340.37300147993267</v>
      </c>
      <c r="F5" s="461">
        <f ca="1">tertiair!F16</f>
        <v>3729.2968677336139</v>
      </c>
      <c r="G5" s="461">
        <f>tertiair!G16</f>
        <v>0</v>
      </c>
      <c r="H5" s="461">
        <f>tertiair!H16</f>
        <v>0</v>
      </c>
      <c r="I5" s="461">
        <f>tertiair!I16</f>
        <v>0</v>
      </c>
      <c r="J5" s="461">
        <f>tertiair!J16</f>
        <v>0</v>
      </c>
      <c r="K5" s="461">
        <f>tertiair!K16</f>
        <v>0</v>
      </c>
      <c r="L5" s="461">
        <f ca="1">tertiair!L16</f>
        <v>0</v>
      </c>
      <c r="M5" s="461">
        <f>tertiair!M16</f>
        <v>0</v>
      </c>
      <c r="N5" s="461">
        <f ca="1">tertiair!N16</f>
        <v>781.66336041082229</v>
      </c>
      <c r="O5" s="461">
        <f>tertiair!O16</f>
        <v>0</v>
      </c>
      <c r="P5" s="462">
        <f>tertiair!P16</f>
        <v>38.133333333333333</v>
      </c>
      <c r="Q5" s="460">
        <f t="shared" ref="Q5:Q13" ca="1" si="0">SUM(B5:P5)</f>
        <v>49494.32795338209</v>
      </c>
    </row>
    <row r="6" spans="1:17">
      <c r="A6" s="460" t="s">
        <v>195</v>
      </c>
      <c r="B6" s="461">
        <f>'openbare verlichting'!B8</f>
        <v>1044.2660000000001</v>
      </c>
      <c r="C6" s="461"/>
      <c r="D6" s="461"/>
      <c r="E6" s="461"/>
      <c r="F6" s="461"/>
      <c r="G6" s="461"/>
      <c r="H6" s="461"/>
      <c r="I6" s="461"/>
      <c r="J6" s="461"/>
      <c r="K6" s="461"/>
      <c r="L6" s="461"/>
      <c r="M6" s="461"/>
      <c r="N6" s="461"/>
      <c r="O6" s="461"/>
      <c r="P6" s="462"/>
      <c r="Q6" s="460">
        <f t="shared" si="0"/>
        <v>1044.2660000000001</v>
      </c>
    </row>
    <row r="7" spans="1:17">
      <c r="A7" s="460" t="s">
        <v>112</v>
      </c>
      <c r="B7" s="461">
        <f>landbouw!B8</f>
        <v>3136.5996101504952</v>
      </c>
      <c r="C7" s="461">
        <f>landbouw!C8</f>
        <v>12947.142857142855</v>
      </c>
      <c r="D7" s="461">
        <f>landbouw!D8</f>
        <v>13616.918180324072</v>
      </c>
      <c r="E7" s="461">
        <f>landbouw!E8</f>
        <v>32.847150163620249</v>
      </c>
      <c r="F7" s="461">
        <f>landbouw!F8</f>
        <v>16110.075020508319</v>
      </c>
      <c r="G7" s="461">
        <f>landbouw!G8</f>
        <v>0</v>
      </c>
      <c r="H7" s="461">
        <f>landbouw!H8</f>
        <v>0</v>
      </c>
      <c r="I7" s="461">
        <f>landbouw!I8</f>
        <v>0</v>
      </c>
      <c r="J7" s="461">
        <f>landbouw!J8</f>
        <v>280.12645900835724</v>
      </c>
      <c r="K7" s="461">
        <f>landbouw!K8</f>
        <v>0</v>
      </c>
      <c r="L7" s="461">
        <f>landbouw!L8</f>
        <v>0</v>
      </c>
      <c r="M7" s="461">
        <f>landbouw!M8</f>
        <v>0</v>
      </c>
      <c r="N7" s="461">
        <f>landbouw!N8</f>
        <v>0</v>
      </c>
      <c r="O7" s="461">
        <f>landbouw!O8</f>
        <v>0</v>
      </c>
      <c r="P7" s="462">
        <f>landbouw!P8</f>
        <v>0</v>
      </c>
      <c r="Q7" s="460">
        <f t="shared" si="0"/>
        <v>46123.709277297719</v>
      </c>
    </row>
    <row r="8" spans="1:17">
      <c r="A8" s="460" t="s">
        <v>656</v>
      </c>
      <c r="B8" s="461">
        <f>industrie!B18</f>
        <v>16184.772655906401</v>
      </c>
      <c r="C8" s="461">
        <f>industrie!C18</f>
        <v>0</v>
      </c>
      <c r="D8" s="461">
        <f>industrie!D18</f>
        <v>14428.675858705901</v>
      </c>
      <c r="E8" s="461">
        <f>industrie!E18</f>
        <v>161.28733633663211</v>
      </c>
      <c r="F8" s="461">
        <f>industrie!F18</f>
        <v>3918.8727771309386</v>
      </c>
      <c r="G8" s="461">
        <f>industrie!G18</f>
        <v>0</v>
      </c>
      <c r="H8" s="461">
        <f>industrie!H18</f>
        <v>0</v>
      </c>
      <c r="I8" s="461">
        <f>industrie!I18</f>
        <v>0</v>
      </c>
      <c r="J8" s="461">
        <f>industrie!J18</f>
        <v>90.718954892865042</v>
      </c>
      <c r="K8" s="461">
        <f>industrie!K18</f>
        <v>0</v>
      </c>
      <c r="L8" s="461">
        <f>industrie!L18</f>
        <v>0</v>
      </c>
      <c r="M8" s="461">
        <f>industrie!M18</f>
        <v>0</v>
      </c>
      <c r="N8" s="461">
        <f>industrie!N18</f>
        <v>352.50179186371673</v>
      </c>
      <c r="O8" s="461">
        <f>industrie!O18</f>
        <v>0</v>
      </c>
      <c r="P8" s="462">
        <f>industrie!P18</f>
        <v>0</v>
      </c>
      <c r="Q8" s="460">
        <f t="shared" si="0"/>
        <v>35136.829374836459</v>
      </c>
    </row>
    <row r="9" spans="1:17" s="466" customFormat="1">
      <c r="A9" s="464" t="s">
        <v>574</v>
      </c>
      <c r="B9" s="465">
        <f>transport!B14</f>
        <v>0.72662222551152611</v>
      </c>
      <c r="C9" s="465">
        <f>transport!C14</f>
        <v>0</v>
      </c>
      <c r="D9" s="465">
        <f>transport!D14</f>
        <v>3.5845135486171666</v>
      </c>
      <c r="E9" s="465">
        <f>transport!E14</f>
        <v>363.70768737398595</v>
      </c>
      <c r="F9" s="465">
        <f>transport!F14</f>
        <v>0</v>
      </c>
      <c r="G9" s="465">
        <f>transport!G14</f>
        <v>58936.65292054326</v>
      </c>
      <c r="H9" s="465">
        <f>transport!H14</f>
        <v>11926.136719818387</v>
      </c>
      <c r="I9" s="465">
        <f>transport!I14</f>
        <v>0</v>
      </c>
      <c r="J9" s="465">
        <f>transport!J14</f>
        <v>0</v>
      </c>
      <c r="K9" s="465">
        <f>transport!K14</f>
        <v>0</v>
      </c>
      <c r="L9" s="465">
        <f>transport!L14</f>
        <v>0</v>
      </c>
      <c r="M9" s="465">
        <f>transport!M14</f>
        <v>3096.7841794049418</v>
      </c>
      <c r="N9" s="465">
        <f>transport!N14</f>
        <v>0</v>
      </c>
      <c r="O9" s="465">
        <f>transport!O14</f>
        <v>0</v>
      </c>
      <c r="P9" s="465">
        <f>transport!P14</f>
        <v>0</v>
      </c>
      <c r="Q9" s="464">
        <f>SUM(B9:P9)</f>
        <v>74327.592642914708</v>
      </c>
    </row>
    <row r="10" spans="1:17">
      <c r="A10" s="460" t="s">
        <v>564</v>
      </c>
      <c r="B10" s="461">
        <f>transport!B54</f>
        <v>0</v>
      </c>
      <c r="C10" s="461">
        <f>transport!C54</f>
        <v>0</v>
      </c>
      <c r="D10" s="461">
        <f>transport!D54</f>
        <v>0</v>
      </c>
      <c r="E10" s="461">
        <f>transport!E54</f>
        <v>0</v>
      </c>
      <c r="F10" s="461">
        <f>transport!F54</f>
        <v>0</v>
      </c>
      <c r="G10" s="461">
        <f>transport!G54</f>
        <v>1029.0059875973454</v>
      </c>
      <c r="H10" s="461">
        <f>transport!H54</f>
        <v>0</v>
      </c>
      <c r="I10" s="461">
        <f>transport!I54</f>
        <v>0</v>
      </c>
      <c r="J10" s="461">
        <f>transport!J54</f>
        <v>0</v>
      </c>
      <c r="K10" s="461">
        <f>transport!K54</f>
        <v>0</v>
      </c>
      <c r="L10" s="461">
        <f>transport!L54</f>
        <v>0</v>
      </c>
      <c r="M10" s="461">
        <f>transport!M54</f>
        <v>43.862054758874621</v>
      </c>
      <c r="N10" s="461">
        <f>transport!N54</f>
        <v>0</v>
      </c>
      <c r="O10" s="461">
        <f>transport!O54</f>
        <v>0</v>
      </c>
      <c r="P10" s="462">
        <f>transport!P54</f>
        <v>0</v>
      </c>
      <c r="Q10" s="460">
        <f t="shared" si="0"/>
        <v>1072.86804235622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76425.811544612792</v>
      </c>
      <c r="C14" s="471">
        <f t="shared" ref="C14:Q14" ca="1" si="1">SUM(C4:C13)</f>
        <v>12947.142857142855</v>
      </c>
      <c r="D14" s="471">
        <f t="shared" ca="1" si="1"/>
        <v>153833.42058348606</v>
      </c>
      <c r="E14" s="471">
        <f t="shared" si="1"/>
        <v>3420.7756131127844</v>
      </c>
      <c r="F14" s="471">
        <f t="shared" ca="1" si="1"/>
        <v>29527.177448113744</v>
      </c>
      <c r="G14" s="471">
        <f t="shared" si="1"/>
        <v>59965.658908140605</v>
      </c>
      <c r="H14" s="471">
        <f t="shared" si="1"/>
        <v>11926.136719818387</v>
      </c>
      <c r="I14" s="471">
        <f t="shared" si="1"/>
        <v>0</v>
      </c>
      <c r="J14" s="471">
        <f t="shared" si="1"/>
        <v>370.84541390122229</v>
      </c>
      <c r="K14" s="471">
        <f t="shared" si="1"/>
        <v>0</v>
      </c>
      <c r="L14" s="471">
        <f t="shared" ca="1" si="1"/>
        <v>0</v>
      </c>
      <c r="M14" s="471">
        <f t="shared" si="1"/>
        <v>3140.6462341638166</v>
      </c>
      <c r="N14" s="471">
        <f t="shared" ca="1" si="1"/>
        <v>14879.9225372151</v>
      </c>
      <c r="O14" s="471">
        <f t="shared" si="1"/>
        <v>114.12333333333335</v>
      </c>
      <c r="P14" s="472">
        <f t="shared" si="1"/>
        <v>305.06666666666666</v>
      </c>
      <c r="Q14" s="472">
        <f t="shared" ca="1" si="1"/>
        <v>366856.72785970743</v>
      </c>
    </row>
    <row r="16" spans="1:17">
      <c r="A16" s="474" t="s">
        <v>569</v>
      </c>
      <c r="B16" s="828">
        <f ca="1">huishoudens!B10</f>
        <v>0.21617554343269282</v>
      </c>
      <c r="C16" s="828">
        <f ca="1">huishoudens!C10</f>
        <v>0.23764705882352938</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8016.1349597389699</v>
      </c>
      <c r="C21" s="461">
        <f t="shared" ref="C21:C30" ca="1" si="3">C4*$C$16</f>
        <v>0</v>
      </c>
      <c r="D21" s="461">
        <f t="shared" ref="D21:D30" si="4">D4*$D$16</f>
        <v>20231.759980875013</v>
      </c>
      <c r="E21" s="461">
        <f t="shared" ref="E21:E30" si="5">E4*$E$16</f>
        <v>572.62121937120526</v>
      </c>
      <c r="F21" s="461">
        <f t="shared" ref="F21:F30" si="6">F4*$F$16</f>
        <v>1540.3050529918125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30360.821212977</v>
      </c>
    </row>
    <row r="22" spans="1:17">
      <c r="A22" s="460" t="s">
        <v>156</v>
      </c>
      <c r="B22" s="461">
        <f t="shared" ca="1" si="2"/>
        <v>4102.5463857293053</v>
      </c>
      <c r="C22" s="461">
        <f t="shared" ca="1" si="3"/>
        <v>0</v>
      </c>
      <c r="D22" s="461">
        <f t="shared" ca="1" si="4"/>
        <v>5176.6569093683029</v>
      </c>
      <c r="E22" s="461">
        <f t="shared" si="5"/>
        <v>77.264671335944712</v>
      </c>
      <c r="F22" s="461">
        <f t="shared" ca="1" si="6"/>
        <v>995.72226368487497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10352.190230118427</v>
      </c>
    </row>
    <row r="23" spans="1:17">
      <c r="A23" s="460" t="s">
        <v>195</v>
      </c>
      <c r="B23" s="461">
        <f t="shared" ca="1" si="2"/>
        <v>225.74477003828443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225.74477003828443</v>
      </c>
    </row>
    <row r="24" spans="1:17">
      <c r="A24" s="460" t="s">
        <v>112</v>
      </c>
      <c r="B24" s="461">
        <f t="shared" ca="1" si="2"/>
        <v>678.0561252550558</v>
      </c>
      <c r="C24" s="461">
        <f t="shared" ca="1" si="3"/>
        <v>3076.8504201680662</v>
      </c>
      <c r="D24" s="461">
        <f t="shared" si="4"/>
        <v>2750.6174724254624</v>
      </c>
      <c r="E24" s="461">
        <f t="shared" si="5"/>
        <v>7.456303087141797</v>
      </c>
      <c r="F24" s="461">
        <f t="shared" si="6"/>
        <v>4301.3900304757217</v>
      </c>
      <c r="G24" s="461">
        <f t="shared" si="7"/>
        <v>0</v>
      </c>
      <c r="H24" s="461">
        <f t="shared" si="8"/>
        <v>0</v>
      </c>
      <c r="I24" s="461">
        <f t="shared" si="9"/>
        <v>0</v>
      </c>
      <c r="J24" s="461">
        <f t="shared" si="10"/>
        <v>99.164766488958463</v>
      </c>
      <c r="K24" s="461">
        <f t="shared" si="11"/>
        <v>0</v>
      </c>
      <c r="L24" s="461">
        <f t="shared" si="12"/>
        <v>0</v>
      </c>
      <c r="M24" s="461">
        <f t="shared" si="13"/>
        <v>0</v>
      </c>
      <c r="N24" s="461">
        <f t="shared" si="14"/>
        <v>0</v>
      </c>
      <c r="O24" s="461">
        <f t="shared" si="15"/>
        <v>0</v>
      </c>
      <c r="P24" s="462">
        <f t="shared" si="16"/>
        <v>0</v>
      </c>
      <c r="Q24" s="460">
        <f t="shared" ca="1" si="17"/>
        <v>10913.535117900406</v>
      </c>
    </row>
    <row r="25" spans="1:17">
      <c r="A25" s="460" t="s">
        <v>656</v>
      </c>
      <c r="B25" s="461">
        <f t="shared" ca="1" si="2"/>
        <v>3498.7520242251535</v>
      </c>
      <c r="C25" s="461">
        <f t="shared" ca="1" si="3"/>
        <v>0</v>
      </c>
      <c r="D25" s="461">
        <f t="shared" si="4"/>
        <v>2914.592523458592</v>
      </c>
      <c r="E25" s="461">
        <f t="shared" si="5"/>
        <v>36.612225348415492</v>
      </c>
      <c r="F25" s="461">
        <f t="shared" si="6"/>
        <v>1046.3390314939606</v>
      </c>
      <c r="G25" s="461">
        <f t="shared" si="7"/>
        <v>0</v>
      </c>
      <c r="H25" s="461">
        <f t="shared" si="8"/>
        <v>0</v>
      </c>
      <c r="I25" s="461">
        <f t="shared" si="9"/>
        <v>0</v>
      </c>
      <c r="J25" s="461">
        <f t="shared" si="10"/>
        <v>32.114510032074222</v>
      </c>
      <c r="K25" s="461">
        <f t="shared" si="11"/>
        <v>0</v>
      </c>
      <c r="L25" s="461">
        <f t="shared" si="12"/>
        <v>0</v>
      </c>
      <c r="M25" s="461">
        <f t="shared" si="13"/>
        <v>0</v>
      </c>
      <c r="N25" s="461">
        <f t="shared" si="14"/>
        <v>0</v>
      </c>
      <c r="O25" s="461">
        <f t="shared" si="15"/>
        <v>0</v>
      </c>
      <c r="P25" s="462">
        <f t="shared" si="16"/>
        <v>0</v>
      </c>
      <c r="Q25" s="460">
        <f t="shared" ca="1" si="17"/>
        <v>7528.4103145581967</v>
      </c>
    </row>
    <row r="26" spans="1:17" s="466" customFormat="1">
      <c r="A26" s="464" t="s">
        <v>574</v>
      </c>
      <c r="B26" s="822">
        <f t="shared" ca="1" si="2"/>
        <v>0.15707795447022682</v>
      </c>
      <c r="C26" s="465">
        <f t="shared" ca="1" si="3"/>
        <v>0</v>
      </c>
      <c r="D26" s="465">
        <f t="shared" si="4"/>
        <v>0.72407173682066772</v>
      </c>
      <c r="E26" s="465">
        <f t="shared" si="5"/>
        <v>82.56164503389482</v>
      </c>
      <c r="F26" s="465">
        <f t="shared" si="6"/>
        <v>0</v>
      </c>
      <c r="G26" s="465">
        <f t="shared" si="7"/>
        <v>15736.086329785052</v>
      </c>
      <c r="H26" s="465">
        <f t="shared" si="8"/>
        <v>2969.6080432347785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18789.137167745015</v>
      </c>
    </row>
    <row r="27" spans="1:17">
      <c r="A27" s="460" t="s">
        <v>564</v>
      </c>
      <c r="B27" s="461">
        <f t="shared" ca="1" si="2"/>
        <v>0</v>
      </c>
      <c r="C27" s="461">
        <f t="shared" ca="1" si="3"/>
        <v>0</v>
      </c>
      <c r="D27" s="461">
        <f t="shared" si="4"/>
        <v>0</v>
      </c>
      <c r="E27" s="461">
        <f t="shared" si="5"/>
        <v>0</v>
      </c>
      <c r="F27" s="461">
        <f t="shared" si="6"/>
        <v>0</v>
      </c>
      <c r="G27" s="461">
        <f t="shared" si="7"/>
        <v>274.74459868849124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274.74459868849124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16521.391342941239</v>
      </c>
      <c r="C31" s="471">
        <f t="shared" ca="1" si="18"/>
        <v>3076.8504201680662</v>
      </c>
      <c r="D31" s="471">
        <f t="shared" ca="1" si="18"/>
        <v>31074.350957864193</v>
      </c>
      <c r="E31" s="471">
        <f t="shared" si="18"/>
        <v>776.51606417660207</v>
      </c>
      <c r="F31" s="471">
        <f t="shared" ca="1" si="18"/>
        <v>7883.7563786463697</v>
      </c>
      <c r="G31" s="471">
        <f t="shared" si="18"/>
        <v>16010.830928473542</v>
      </c>
      <c r="H31" s="471">
        <f t="shared" si="18"/>
        <v>2969.6080432347785</v>
      </c>
      <c r="I31" s="471">
        <f t="shared" si="18"/>
        <v>0</v>
      </c>
      <c r="J31" s="471">
        <f t="shared" si="18"/>
        <v>131.27927652103267</v>
      </c>
      <c r="K31" s="471">
        <f t="shared" si="18"/>
        <v>0</v>
      </c>
      <c r="L31" s="471">
        <f t="shared" ca="1" si="18"/>
        <v>0</v>
      </c>
      <c r="M31" s="471">
        <f t="shared" si="18"/>
        <v>0</v>
      </c>
      <c r="N31" s="471">
        <f t="shared" ca="1" si="18"/>
        <v>0</v>
      </c>
      <c r="O31" s="471">
        <f t="shared" si="18"/>
        <v>0</v>
      </c>
      <c r="P31" s="472">
        <f t="shared" si="18"/>
        <v>0</v>
      </c>
      <c r="Q31" s="472">
        <f t="shared" ca="1" si="18"/>
        <v>78444.583412025808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0.21617554343269282</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0.21617554343269282</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0.21617554343269282</v>
      </c>
      <c r="C29" s="512">
        <f ca="1">'EF ele_warmte'!B22</f>
        <v>0.23764705882352938</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2018-06-27T08:59:08Z</dcterms:modified>
</cp:coreProperties>
</file>