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O5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I79" i="14" s="1"/>
  <c r="G17" i="18"/>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D16" i="16"/>
  <c r="E8"/>
  <c r="L68" i="14"/>
  <c r="L69" s="1"/>
  <c r="H68"/>
  <c r="D8" i="17"/>
  <c r="E22" i="14" s="1"/>
  <c r="C97" i="18"/>
  <c r="I100" s="1"/>
  <c r="H7" s="1"/>
  <c r="I67" i="14" s="1"/>
  <c r="F16" i="16"/>
  <c r="D13" i="15"/>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H69"/>
  <c r="P20"/>
  <c r="K20"/>
  <c r="L20"/>
  <c r="G20"/>
  <c r="D5" i="15"/>
  <c r="D16" s="1"/>
  <c r="B8"/>
  <c r="J8"/>
  <c r="F12"/>
  <c r="I20"/>
  <c r="J36" i="14"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D67"/>
  <c r="E9" i="18"/>
  <c r="F69" i="14"/>
  <c r="C9" i="18"/>
  <c r="H9"/>
  <c r="B10" i="48"/>
  <c r="C18" i="14"/>
  <c r="F7" i="48"/>
  <c r="F24" s="1"/>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L30" i="48" l="1"/>
  <c r="J41" i="14"/>
  <c r="J53" s="1"/>
  <c r="G13" i="48"/>
  <c r="G30" s="1"/>
  <c r="E19" i="18"/>
  <c r="N8" i="17"/>
  <c r="N5"/>
  <c r="L21" i="48"/>
  <c r="D7"/>
  <c r="D24" s="1"/>
  <c r="M28"/>
  <c r="I16" i="18"/>
  <c r="L8" i="17"/>
  <c r="L7" i="48" s="1"/>
  <c r="L24" s="1"/>
  <c r="L5" i="17"/>
  <c r="L29" i="48"/>
  <c r="G31" i="20"/>
  <c r="H43" i="14" s="1"/>
  <c r="O78"/>
  <c r="B35" i="13"/>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E13" i="14" l="1"/>
  <c r="E15" s="1"/>
  <c r="E23" s="1"/>
  <c r="L12" i="17"/>
  <c r="M48" i="14" s="1"/>
  <c r="J78"/>
  <c r="I19" i="18"/>
  <c r="Q13" i="48"/>
  <c r="D8"/>
  <c r="D25" s="1"/>
  <c r="M22" i="14"/>
  <c r="O22"/>
  <c r="R22" s="1"/>
  <c r="N7" i="48"/>
  <c r="N24" s="1"/>
  <c r="N12" i="17"/>
  <c r="O48" i="14" s="1"/>
  <c r="M16" i="18"/>
  <c r="M19" s="1"/>
  <c r="E20" i="15"/>
  <c r="F36" i="14" s="1"/>
  <c r="E16" i="15"/>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C78" i="14"/>
  <c r="C81" s="1"/>
  <c r="J8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13" i="14"/>
  <c r="F15" s="1"/>
  <c r="F23" s="1"/>
  <c r="F55" s="1"/>
  <c r="F8" i="48"/>
  <c r="F14" s="1"/>
  <c r="N25"/>
  <c r="N31" s="1"/>
  <c r="N14"/>
  <c r="E8"/>
  <c r="J22" i="16"/>
  <c r="K39" i="14" s="1"/>
  <c r="K41" s="1"/>
  <c r="K53" s="1"/>
  <c r="J31" i="48"/>
  <c r="J14"/>
  <c r="R20" i="14"/>
  <c r="N55"/>
  <c r="H55"/>
  <c r="G31" i="48"/>
  <c r="O53" i="14"/>
  <c r="M53"/>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<sst xmlns="http://schemas.openxmlformats.org/spreadsheetml/2006/main" count="2092" uniqueCount="924">
  <si>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</si>
  <si>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</si>
  <si>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</si>
  <si>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</si>
  <si>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</si>
  <si>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</si>
  <si>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</si>
  <si>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</si>
  <si>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</si>
  <si>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</si>
  <si>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</si>
  <si>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</si>
  <si>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</si>
  <si>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</si>
  <si>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</si>
  <si>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</si>
  <si>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</si>
  <si>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</si>
  <si>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</si>
  <si>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</si>
  <si>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</si>
  <si>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</si>
  <si>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</si>
  <si>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</si>
  <si>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</si>
  <si>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</si>
  <si>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</si>
  <si>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</si>
  <si>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</si>
  <si>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</si>
  <si>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</si>
  <si>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</si>
  <si>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</si>
  <si>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</si>
  <si>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</si>
  <si>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</si>
  <si>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</si>
  <si>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</si>
  <si>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</si>
  <si>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</si>
  <si>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</si>
  <si>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</si>
  <si>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</si>
  <si>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</si>
  <si>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</si>
  <si>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</si>
  <si>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</si>
  <si>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</si>
  <si>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</si>
  <si>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</si>
  <si>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</si>
  <si>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</si>
  <si>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</si>
  <si>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</si>
  <si>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</si>
  <si>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</si>
  <si>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</si>
  <si>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</si>
  <si>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</si>
  <si>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</si>
  <si>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</si>
  <si>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</si>
  <si>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</si>
  <si>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</si>
  <si>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</si>
  <si>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</si>
  <si>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</si>
  <si>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</si>
  <si>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</si>
  <si>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</si>
  <si>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</si>
  <si>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</si>
  <si>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</si>
  <si>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</si>
  <si>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</si>
  <si>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</si>
  <si>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</si>
  <si>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</si>
  <si>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</si>
  <si>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</si>
  <si>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</si>
  <si>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</si>
  <si>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</si>
  <si>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</si>
  <si>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</si>
  <si>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</si>
  <si>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</si>
  <si>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</si>
  <si>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</si>
  <si>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</si>
  <si>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</si>
  <si>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</si>
  <si>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</si>
  <si>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</si>
  <si>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</si>
  <si>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</si>
  <si>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</si>
  <si>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</si>
  <si>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</si>
  <si>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</si>
  <si>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</si>
  <si>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</si>
  <si>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</si>
  <si>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</si>
  <si>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</si>
  <si>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</si>
  <si>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</si>
  <si>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</si>
  <si>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</si>
  <si>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</si>
  <si>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</si>
  <si>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</si>
  <si>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</si>
  <si>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</si>
  <si>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</si>
  <si>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</si>
  <si>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</si>
  <si>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</si>
  <si>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</si>
  <si>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</si>
  <si>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</si>
  <si>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</si>
  <si>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</si>
  <si>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</si>
  <si>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</si>
  <si>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</si>
  <si>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</si>
  <si>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</si>
  <si>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</si>
  <si>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</si>
  <si>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</si>
  <si>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</si>
  <si>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</si>
  <si>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</si>
  <si>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</si>
  <si>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</si>
  <si>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</si>
  <si>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</si>
  <si>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</si>
  <si>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</si>
  <si>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</si>
  <si>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</si>
  <si>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</si>
  <si>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</si>
  <si>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</si>
  <si>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</si>
  <si>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</si>
  <si>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</si>
  <si>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</si>
  <si>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</si>
  <si>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</si>
  <si>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</si>
  <si>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</si>
  <si>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</si>
  <si>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</si>
  <si>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</si>
  <si>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</si>
  <si>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</si>
  <si>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</si>
  <si>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</si>
  <si>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</si>
  <si>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</si>
  <si>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</si>
  <si>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</si>
  <si>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</si>
  <si>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</si>
  <si>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</si>
  <si>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</si>
  <si>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</si>
  <si>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</si>
  <si>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</si>
  <si>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</si>
  <si>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</si>
  <si>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</si>
  <si>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</si>
  <si>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</si>
  <si>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</si>
  <si>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</si>
  <si>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</si>
  <si>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</si>
  <si>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</si>
  <si>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</si>
  <si>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</si>
  <si>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</si>
  <si>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</si>
  <si>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</si>
  <si>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</si>
  <si>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</si>
  <si>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</si>
  <si>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</si>
  <si>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</si>
  <si>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</si>
  <si>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</si>
  <si>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</si>
  <si>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</si>
  <si>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</si>
  <si>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</si>
  <si>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</si>
  <si>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</si>
  <si>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</si>
  <si>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</si>
  <si>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</si>
  <si>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</si>
  <si>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</si>
  <si>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</si>
  <si>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</si>
  <si>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</si>
  <si>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</si>
  <si>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</si>
  <si>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</si>
  <si>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</si>
  <si>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</si>
  <si>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</si>
  <si>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</si>
  <si>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</si>
  <si>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</si>
  <si>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</si>
  <si>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</si>
  <si>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</si>
  <si>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</si>
  <si>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</si>
  <si>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</si>
  <si>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</si>
  <si>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</si>
  <si>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</si>
  <si>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</si>
  <si>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</si>
  <si>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</si>
  <si>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</si>
  <si>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</si>
  <si>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</si>
  <si>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</si>
  <si>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</si>
  <si>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</si>
  <si>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</si>
  <si>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</si>
  <si>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</si>
  <si>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</si>
  <si>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</si>
  <si>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</si>
  <si>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</si>
  <si>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</si>
  <si>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</si>
  <si>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</si>
  <si>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</si>
  <si>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</si>
  <si>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</si>
  <si>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</si>
  <si>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</si>
  <si>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</si>
  <si>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</si>
  <si>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</si>
  <si>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</si>
  <si>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</si>
  <si>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</si>
  <si>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</si>
  <si>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</si>
  <si>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</si>
  <si>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</si>
  <si>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</si>
  <si>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</si>
  <si>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</si>
  <si>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</si>
  <si>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</si>
  <si>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</si>
  <si>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</si>
  <si>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</si>
  <si>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</si>
  <si>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</si>
  <si>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</si>
  <si>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</si>
  <si>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</si>
  <si>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</si>
  <si>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</si>
  <si>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</si>
  <si>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</si>
  <si>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</si>
  <si>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</si>
  <si>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</si>
  <si>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</si>
  <si>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</si>
  <si>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</si>
  <si>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</si>
  <si>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</si>
  <si>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</si>
  <si>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</si>
  <si>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</si>
  <si>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</si>
  <si>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</si>
  <si>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</si>
  <si>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</si>
  <si>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</si>
  <si>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</si>
  <si>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</si>
  <si>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</si>
  <si>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</si>
  <si>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</si>
  <si>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</si>
  <si>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</si>
  <si>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</si>
  <si>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</si>
  <si>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</si>
  <si>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</si>
  <si>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</si>
  <si>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</si>
  <si>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</si>
  <si>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</si>
  <si>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</si>
  <si>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</si>
  <si>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</si>
  <si>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</si>
  <si>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</si>
  <si>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</si>
  <si>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</si>
  <si>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</si>
  <si>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</si>
  <si>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</si>
  <si>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</si>
  <si>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</si>
  <si>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</si>
  <si>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</si>
  <si>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</si>
  <si>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</si>
  <si>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</si>
  <si>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</si>
  <si>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</si>
  <si>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</si>
  <si>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</si>
  <si>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</si>
  <si>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</si>
  <si>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</si>
  <si>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</si>
  <si>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</si>
  <si>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</si>
  <si>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</si>
  <si>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</si>
  <si>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</si>
  <si>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</si>
  <si>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</si>
  <si>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</si>
  <si>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</si>
  <si>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</si>
  <si>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</si>
  <si>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</si>
  <si>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</si>
  <si>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</si>
  <si>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</si>
  <si>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</si>
  <si>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</si>
  <si>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</si>
  <si>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</si>
  <si>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</si>
  <si>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</si>
  <si>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</si>
  <si>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</si>
  <si>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</si>
  <si>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</si>
  <si>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</si>
  <si>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</si>
  <si>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</si>
  <si>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</si>
  <si>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</si>
  <si>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</si>
  <si>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</si>
  <si>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</si>
  <si>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</si>
  <si>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</si>
  <si>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</si>
  <si>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</si>
  <si>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</si>
  <si>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</si>
  <si>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</si>
  <si>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</si>
  <si>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</si>
  <si>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</si>
  <si>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</si>
  <si>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</si>
  <si>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</si>
  <si>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</si>
  <si>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</si>
  <si>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</si>
  <si>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</si>
  <si>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</si>
  <si>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</si>
  <si>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</si>
  <si>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</si>
  <si>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</si>
  <si>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</si>
  <si>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</si>
  <si>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</si>
  <si>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</si>
  <si>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</si>
  <si>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</si>
  <si>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</si>
  <si>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</si>
  <si>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</si>
  <si>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</si>
  <si>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</si>
  <si>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</si>
  <si>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</si>
  <si>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</si>
  <si>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</si>
  <si>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</si>
  <si>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</si>
  <si>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</si>
  <si>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</si>
  <si>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</si>
  <si>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</si>
  <si>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</si>
  <si>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</si>
  <si>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</si>
  <si>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</si>
  <si>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</si>
  <si>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</si>
  <si>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</si>
  <si>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</si>
  <si>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</si>
  <si>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</si>
  <si>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</si>
  <si>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</si>
  <si>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</si>
  <si>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</si>
  <si>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</si>
  <si>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</si>
  <si>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</si>
  <si>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</si>
  <si>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</si>
  <si>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</si>
  <si>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</si>
  <si>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</si>
  <si>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</si>
  <si>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</si>
  <si>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</si>
  <si>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</si>
  <si>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</si>
  <si>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</si>
  <si>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</si>
  <si>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</si>
  <si>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</si>
  <si>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</si>
  <si>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</si>
  <si>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</si>
  <si>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</si>
  <si>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</si>
  <si>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</si>
  <si>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</si>
  <si>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</si>
  <si>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</si>
  <si>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</si>
  <si>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</si>
  <si>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</si>
  <si>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</si>
  <si>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</si>
  <si>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</si>
  <si>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</si>
  <si>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</si>
  <si>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</si>
  <si>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</si>
  <si>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</si>
  <si>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</si>
  <si>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</si>
  <si>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</si>
  <si>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</si>
  <si>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</si>
  <si>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</si>
  <si>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</si>
  <si>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</si>
  <si>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</si>
  <si>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</si>
  <si>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</si>
  <si>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</si>
  <si>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</si>
  <si>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</si>
  <si>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</si>
  <si>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</si>
  <si>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</si>
  <si>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</si>
  <si>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</si>
  <si>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</si>
  <si>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</si>
  <si>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</si>
  <si>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</si>
  <si>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</si>
  <si>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</si>
  <si>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</si>
  <si>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</si>
  <si>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</si>
  <si>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</si>
  <si>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</si>
  <si>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</si>
  <si>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</si>
  <si>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</si>
  <si>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</si>
  <si>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</si>
  <si>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</si>
  <si>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</si>
  <si>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</si>
  <si>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</si>
  <si>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</si>
  <si>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</si>
  <si>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</si>
  <si>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</si>
  <si>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</si>
  <si>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</si>
  <si>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</si>
  <si>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</si>
  <si>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</si>
  <si>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</si>
  <si>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</si>
  <si>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</si>
  <si>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</si>
  <si>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</si>
  <si>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</si>
  <si>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</si>
  <si>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</si>
  <si>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</si>
  <si>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</si>
  <si>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</si>
  <si>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</si>
  <si>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</si>
  <si>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</si>
  <si>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</si>
  <si>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</si>
  <si>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</si>
  <si>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</si>
  <si>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</si>
  <si>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</si>
  <si>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</si>
  <si>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</si>
  <si>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</si>
  <si>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</si>
  <si>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</si>
  <si>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</si>
  <si>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</si>
  <si>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</si>
  <si>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</si>
  <si>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</si>
  <si>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</si>
  <si>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</si>
  <si>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</si>
  <si>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</si>
  <si>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</si>
  <si>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</si>
  <si>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</si>
  <si>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</si>
  <si>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</si>
  <si>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</si>
  <si>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</si>
  <si>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</si>
  <si>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</si>
  <si>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</si>
  <si>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</si>
  <si>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</si>
  <si>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</si>
  <si>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</si>
  <si>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</si>
  <si>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</si>
  <si>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</si>
  <si>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</si>
  <si>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</si>
  <si>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</si>
  <si>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</si>
  <si>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</si>
  <si>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</si>
  <si>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</si>
  <si>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</si>
  <si>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</si>
  <si>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</si>
  <si>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</si>
  <si>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</si>
  <si>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</si>
  <si>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</si>
  <si>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</si>
  <si>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</si>
  <si>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</si>
  <si>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</si>
  <si>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</si>
  <si>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</si>
  <si>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</si>
  <si>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</si>
  <si>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</si>
  <si>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</si>
  <si>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</si>
  <si>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</si>
  <si>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</si>
  <si>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</si>
  <si>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</si>
  <si>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</si>
  <si>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</si>
  <si>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</si>
  <si>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</si>
  <si>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</si>
  <si>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</si>
  <si>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</si>
  <si>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</si>
  <si>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</si>
  <si>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</si>
  <si>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</si>
  <si>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</si>
  <si>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</si>
  <si>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</si>
  <si>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</si>
  <si>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</si>
  <si>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</si>
  <si>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</si>
  <si>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</si>
  <si>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</si>
  <si>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</si>
  <si>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</si>
  <si>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</si>
  <si>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</si>
  <si>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</si>
  <si>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</si>
  <si>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</si>
  <si>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</si>
  <si>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</si>
  <si>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</si>
  <si>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</si>
  <si>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</si>
  <si>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</si>
  <si>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</si>
  <si>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</si>
  <si>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</si>
  <si>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</si>
  <si>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</si>
  <si>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</si>
  <si>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</si>
  <si>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</si>
  <si>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</si>
  <si>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</si>
  <si>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</si>
  <si>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</si>
  <si>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</si>
  <si>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</si>
  <si>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</si>
  <si>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</si>
  <si>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</si>
  <si>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</si>
  <si>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</si>
  <si>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</si>
  <si>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</si>
  <si>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</si>
  <si>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</si>
  <si>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</si>
  <si>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</si>
  <si>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</si>
  <si>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</si>
  <si>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</si>
  <si>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</si>
  <si>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</si>
  <si>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</si>
  <si>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</si>
  <si>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</si>
  <si>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</si>
  <si>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</si>
  <si>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</si>
  <si>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</si>
  <si>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</si>
  <si>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</si>
  <si>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</si>
  <si>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</si>
  <si>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</si>
  <si>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</si>
  <si>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</si>
  <si>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</si>
  <si>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</si>
  <si>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</si>
  <si>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</si>
  <si>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</si>
  <si>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</si>
  <si>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</si>
  <si>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</si>
  <si>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</si>
  <si>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</si>
  <si>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</si>
  <si>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</si>
  <si>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</si>
  <si>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</si>
  <si>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</si>
  <si>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</si>
  <si>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</si>
  <si>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</si>
  <si>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</si>
  <si>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</si>
  <si>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</si>
  <si>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</si>
  <si>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</si>
  <si>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</si>
  <si>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</si>
  <si>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</si>
  <si>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</si>
  <si>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</si>
  <si>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</si>
  <si>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</si>
  <si>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</si>
  <si>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</si>
  <si>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</si>
  <si>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</si>
  <si>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</si>
  <si>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</si>
  <si>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</si>
  <si>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</si>
  <si>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</si>
  <si>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</si>
  <si>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</si>
  <si>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</si>
  <si>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</si>
  <si>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</si>
  <si>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</si>
  <si>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</si>
  <si>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</si>
  <si>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</si>
  <si>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</si>
  <si>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</si>
  <si>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</si>
  <si>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</si>
  <si>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</si>
  <si>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</si>
  <si>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</si>
  <si>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</si>
  <si>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</si>
  <si>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</si>
  <si>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</si>
  <si>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</si>
  <si>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</si>
  <si>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</si>
  <si>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</si>
  <si>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</si>
  <si>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</si>
  <si>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</si>
  <si>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</si>
  <si>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</si>
  <si>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</si>
  <si>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</si>
  <si>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</si>
  <si>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</si>
  <si>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</si>
  <si>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</si>
  <si>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</si>
  <si>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</si>
  <si>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</si>
  <si>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</si>
  <si>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</si>
  <si>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</si>
  <si>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</si>
  <si>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</si>
  <si>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</si>
  <si>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</si>
  <si>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</si>
  <si>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</si>
  <si>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</si>
  <si>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</si>
  <si>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</si>
  <si>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</si>
  <si>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</si>
  <si>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</si>
  <si>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</si>
  <si>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</si>
  <si>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</si>
  <si>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</si>
  <si>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</si>
  <si>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</si>
  <si>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</si>
  <si>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</si>
  <si>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</si>
  <si>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</si>
  <si>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</si>
  <si>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</si>
  <si>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</si>
  <si>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</si>
  <si>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</si>
  <si>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</si>
  <si>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</si>
  <si>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</si>
  <si>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</si>
  <si>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</si>
  <si>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</si>
  <si>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</si>
  <si>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</si>
  <si>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</si>
  <si>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</si>
  <si>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</si>
  <si>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</si>
  <si>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</si>
  <si>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</si>
  <si>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</si>
  <si>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</si>
  <si>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</si>
  <si>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</si>
  <si>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</si>
  <si>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</si>
  <si>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</si>
  <si>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</si>
  <si>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</si>
  <si>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</si>
  <si>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</si>
  <si>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</si>
  <si>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</si>
  <si>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</si>
  <si>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</si>
  <si>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</si>
  <si>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</si>
  <si>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</si>
  <si>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</si>
  <si>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</si>
  <si>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</si>
  <si>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</si>
  <si>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</si>
  <si>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</si>
  <si>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</si>
  <si>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</si>
  <si>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</si>
  <si>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</si>
  <si>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</si>
  <si>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</si>
  <si>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</si>
  <si>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</si>
  <si>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</si>
  <si>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</si>
  <si>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</si>
  <si>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</si>
  <si>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</si>
  <si>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</si>
  <si>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</si>
  <si>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</si>
  <si>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</si>
  <si>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</si>
  <si>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</si>
  <si>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</si>
  <si>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</si>
  <si>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</si>
  <si>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</si>
  <si>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</si>
  <si>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</si>
  <si>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</si>
  <si>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</si>
  <si>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</si>
  <si>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</si>
  <si>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</si>
  <si>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</si>
  <si>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</si>
  <si>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</si>
  <si>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</si>
  <si>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</si>
  <si>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</si>
  <si>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</si>
  <si>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</si>
  <si>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</si>
  <si>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</si>
  <si>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</si>
  <si>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</si>
  <si>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</si>
  <si>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</si>
  <si>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</si>
  <si>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</si>
  <si>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</si>
  <si>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</si>
  <si>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</si>
  <si>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</si>
  <si>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</si>
  <si>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</si>
  <si>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</si>
  <si>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</si>
  <si>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</si>
  <si>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</si>
  <si>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</si>
  <si>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</si>
  <si>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</si>
  <si>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</si>
  <si>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</si>
  <si>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</si>
  <si>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</si>
  <si>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</si>
  <si>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</si>
  <si>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</si>
  <si>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</si>
  <si>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</si>
  <si>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</si>
  <si>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</si>
  <si>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</si>
  <si>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</si>
  <si>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</si>
  <si>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</si>
  <si>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</si>
  <si>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</si>
  <si>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11002</t>
  </si>
  <si>
    <t>ANTWERPEN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</si>
  <si>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</si>
  <si>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</si>
  <si>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</si>
  <si>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</si>
  <si>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</si>
  <si>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</si>
  <si>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</si>
  <si>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Monica Antwerpen</t>
  </si>
  <si>
    <t>Harmoniestraat 68 , 2018 Antwerpen</t>
  </si>
  <si>
    <t>WKK-0332 AZ Monica Antwerpen</t>
  </si>
  <si>
    <t>interne verbrandingsmotor</t>
  </si>
  <si>
    <t>WKK interne verbrandinsgmotor (gas)</t>
  </si>
  <si>
    <t>IMEA</t>
  </si>
  <si>
    <t>Sint-Vincentius Ziekenhuis VZW</t>
  </si>
  <si>
    <t>Sint-Vincentiusstraat 20, 2018 Antwerpen</t>
  </si>
  <si>
    <t>WKK-0087 Sint-Vincentius</t>
  </si>
  <si>
    <t>CSM Benelux nv</t>
  </si>
  <si>
    <t>Borrewaterstraat 182, 2170 Merksem</t>
  </si>
  <si>
    <t>WKK-0152 UNIPRO</t>
  </si>
  <si>
    <t>Groep Gasthuiszusters Sint-Augustinus vzw</t>
  </si>
  <si>
    <t>Oosterveldlaan 24 , 2610 Wilrijk</t>
  </si>
  <si>
    <t>WKK-0013 AZ Sint Augustinus</t>
  </si>
  <si>
    <t>Oosterveldlaan 24, 2610 Wilrijk</t>
  </si>
  <si>
    <t>Ziekenhuisnetwerk Antwerpen vzw</t>
  </si>
  <si>
    <t>Lindendreef 1 , 2020 Antwerpen</t>
  </si>
  <si>
    <t>WKK-0299 ZNA Middelheim</t>
  </si>
  <si>
    <t>Aquafin NV</t>
  </si>
  <si>
    <t>Dijkstraat 8, 2630 Aartselaar</t>
  </si>
  <si>
    <t>BGS-0034 RWZI Antwerpen-Zuid</t>
  </si>
  <si>
    <t>biogas - RWZI</t>
  </si>
  <si>
    <t>niet WKK interne verbrandingsmotor (gas)</t>
  </si>
  <si>
    <t>Kielsbroek 5, 2020 Antwerpen</t>
  </si>
  <si>
    <t>IVEG</t>
  </si>
  <si>
    <t>Hooge Maey</t>
  </si>
  <si>
    <t>Moerstraat 55 Haven 550, 2030 Antwerpen</t>
  </si>
  <si>
    <t>BGS-0033 Hooge Maey Stort</t>
  </si>
  <si>
    <t>biogas - stortgas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</si>
</sst>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11002</v>
      </c>
      <c r="B6" s="396"/>
      <c r="C6" s="397"/>
    </row>
    <row r="7" spans="1:7" s="394" customFormat="1" ht="15.75" customHeight="1">
      <c r="A7" s="398" t="str">
        <f>txtMunicipality</f>
        <v>ANTWERPEN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230193</v>
      </c>
      <c r="C9" s="336">
        <v>250060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1590</v>
      </c>
    </row>
    <row r="15" spans="1:6">
      <c r="A15" s="1194" t="s">
        <v>185</v>
      </c>
      <c r="B15" s="333">
        <v>3</v>
      </c>
    </row>
    <row r="16" spans="1:6">
      <c r="A16" s="1194" t="s">
        <v>6</v>
      </c>
      <c r="B16" s="333">
        <v>92</v>
      </c>
    </row>
    <row r="17" spans="1:6">
      <c r="A17" s="1194" t="s">
        <v>7</v>
      </c>
      <c r="B17" s="333">
        <v>176</v>
      </c>
    </row>
    <row r="18" spans="1:6">
      <c r="A18" s="1194" t="s">
        <v>8</v>
      </c>
      <c r="B18" s="333">
        <v>205</v>
      </c>
    </row>
    <row r="19" spans="1:6">
      <c r="A19" s="1194" t="s">
        <v>9</v>
      </c>
      <c r="B19" s="333">
        <v>356</v>
      </c>
    </row>
    <row r="20" spans="1:6">
      <c r="A20" s="1194" t="s">
        <v>10</v>
      </c>
      <c r="B20" s="333">
        <v>271</v>
      </c>
    </row>
    <row r="21" spans="1:6">
      <c r="A21" s="1194" t="s">
        <v>11</v>
      </c>
      <c r="B21" s="333">
        <v>0</v>
      </c>
    </row>
    <row r="22" spans="1:6">
      <c r="A22" s="1194" t="s">
        <v>12</v>
      </c>
      <c r="B22" s="333">
        <v>2</v>
      </c>
    </row>
    <row r="23" spans="1:6">
      <c r="A23" s="1194" t="s">
        <v>13</v>
      </c>
      <c r="B23" s="333">
        <v>0</v>
      </c>
    </row>
    <row r="24" spans="1:6">
      <c r="A24" s="1194" t="s">
        <v>14</v>
      </c>
      <c r="B24" s="333">
        <v>0</v>
      </c>
    </row>
    <row r="25" spans="1:6">
      <c r="A25" s="1194" t="s">
        <v>15</v>
      </c>
      <c r="B25" s="333">
        <v>1</v>
      </c>
    </row>
    <row r="26" spans="1:6">
      <c r="A26" s="1194" t="s">
        <v>16</v>
      </c>
      <c r="B26" s="333">
        <v>857</v>
      </c>
    </row>
    <row r="27" spans="1:6">
      <c r="A27" s="1194" t="s">
        <v>17</v>
      </c>
      <c r="B27" s="333">
        <v>27</v>
      </c>
    </row>
    <row r="28" spans="1:6">
      <c r="A28" s="1194" t="s">
        <v>18</v>
      </c>
      <c r="B28" s="333">
        <v>138</v>
      </c>
    </row>
    <row r="29" spans="1:6">
      <c r="A29" s="1194" t="s">
        <v>888</v>
      </c>
      <c r="B29" s="333">
        <v>148</v>
      </c>
    </row>
    <row r="30" spans="1:6">
      <c r="A30" s="1190" t="s">
        <v>889</v>
      </c>
      <c r="B30" s="1190">
        <v>43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3</v>
      </c>
      <c r="F35" s="333">
        <v>14741</v>
      </c>
    </row>
    <row r="36" spans="1:6">
      <c r="A36" s="1194" t="s">
        <v>25</v>
      </c>
      <c r="B36" s="1194" t="s">
        <v>27</v>
      </c>
      <c r="C36" s="333">
        <v>56</v>
      </c>
      <c r="D36" s="333">
        <v>13385358.778390599</v>
      </c>
      <c r="E36" s="333">
        <v>105</v>
      </c>
      <c r="F36" s="333">
        <v>4104025.1241578199</v>
      </c>
    </row>
    <row r="37" spans="1:6">
      <c r="A37" s="1194" t="s">
        <v>25</v>
      </c>
      <c r="B37" s="1194" t="s">
        <v>28</v>
      </c>
      <c r="C37" s="333">
        <v>0</v>
      </c>
      <c r="D37" s="333">
        <v>0</v>
      </c>
      <c r="E37" s="333">
        <v>3</v>
      </c>
      <c r="F37" s="333">
        <v>2382.5520545590002</v>
      </c>
    </row>
    <row r="38" spans="1:6">
      <c r="A38" s="1194" t="s">
        <v>25</v>
      </c>
      <c r="B38" s="1194" t="s">
        <v>29</v>
      </c>
      <c r="C38" s="333">
        <v>30</v>
      </c>
      <c r="D38" s="333">
        <v>146184536.357694</v>
      </c>
      <c r="E38" s="333">
        <v>22</v>
      </c>
      <c r="F38" s="333">
        <v>837845.32777454797</v>
      </c>
    </row>
    <row r="39" spans="1:6">
      <c r="A39" s="1194" t="s">
        <v>30</v>
      </c>
      <c r="B39" s="1194" t="s">
        <v>31</v>
      </c>
      <c r="C39" s="333">
        <v>177465</v>
      </c>
      <c r="D39" s="333">
        <v>2361253699.8987598</v>
      </c>
      <c r="E39" s="333">
        <v>235455</v>
      </c>
      <c r="F39" s="333">
        <v>690315987.44569993</v>
      </c>
    </row>
    <row r="40" spans="1:6">
      <c r="A40" s="1194" t="s">
        <v>30</v>
      </c>
      <c r="B40" s="1194" t="s">
        <v>29</v>
      </c>
      <c r="C40" s="333">
        <v>5</v>
      </c>
      <c r="D40" s="333">
        <v>429091.85213927203</v>
      </c>
      <c r="E40" s="333">
        <v>6</v>
      </c>
      <c r="F40" s="333">
        <v>102764.506940298</v>
      </c>
    </row>
    <row r="41" spans="1:6">
      <c r="A41" s="1194" t="s">
        <v>32</v>
      </c>
      <c r="B41" s="1194" t="s">
        <v>33</v>
      </c>
      <c r="C41" s="333">
        <v>1090</v>
      </c>
      <c r="D41" s="333">
        <v>42292157.462943502</v>
      </c>
      <c r="E41" s="333">
        <v>2180</v>
      </c>
      <c r="F41" s="333">
        <v>40169355.285235703</v>
      </c>
    </row>
    <row r="42" spans="1:6">
      <c r="A42" s="1194" t="s">
        <v>32</v>
      </c>
      <c r="B42" s="1194" t="s">
        <v>34</v>
      </c>
      <c r="C42" s="333">
        <v>3</v>
      </c>
      <c r="D42" s="333">
        <v>21172.2739436505</v>
      </c>
      <c r="E42" s="333">
        <v>6</v>
      </c>
      <c r="F42" s="333">
        <v>122012.8207216445</v>
      </c>
    </row>
    <row r="43" spans="1:6">
      <c r="A43" s="1194" t="s">
        <v>32</v>
      </c>
      <c r="B43" s="1194" t="s">
        <v>35</v>
      </c>
      <c r="C43" s="333">
        <v>0</v>
      </c>
      <c r="D43" s="333">
        <v>0</v>
      </c>
      <c r="E43" s="333">
        <v>0</v>
      </c>
      <c r="F43" s="333">
        <v>0</v>
      </c>
    </row>
    <row r="44" spans="1:6">
      <c r="A44" s="1194" t="s">
        <v>32</v>
      </c>
      <c r="B44" s="1194" t="s">
        <v>36</v>
      </c>
      <c r="C44" s="333">
        <v>70</v>
      </c>
      <c r="D44" s="333">
        <v>32556313.765155502</v>
      </c>
      <c r="E44" s="333">
        <v>148</v>
      </c>
      <c r="F44" s="333">
        <v>85883607.697552294</v>
      </c>
    </row>
    <row r="45" spans="1:6">
      <c r="A45" s="1194" t="s">
        <v>32</v>
      </c>
      <c r="B45" s="1194" t="s">
        <v>37</v>
      </c>
      <c r="C45" s="333">
        <v>0</v>
      </c>
      <c r="D45" s="333">
        <v>0</v>
      </c>
      <c r="E45" s="333">
        <v>17</v>
      </c>
      <c r="F45" s="333">
        <v>365901.05322700198</v>
      </c>
    </row>
    <row r="46" spans="1:6">
      <c r="A46" s="1194" t="s">
        <v>32</v>
      </c>
      <c r="B46" s="1194" t="s">
        <v>38</v>
      </c>
      <c r="C46" s="333">
        <v>0</v>
      </c>
      <c r="D46" s="333">
        <v>0</v>
      </c>
      <c r="E46" s="333">
        <v>0</v>
      </c>
      <c r="F46" s="333">
        <v>0</v>
      </c>
    </row>
    <row r="47" spans="1:6">
      <c r="A47" s="1194" t="s">
        <v>32</v>
      </c>
      <c r="B47" s="1194" t="s">
        <v>39</v>
      </c>
      <c r="C47" s="333">
        <v>107</v>
      </c>
      <c r="D47" s="333">
        <v>3829292.7032321901</v>
      </c>
      <c r="E47" s="333">
        <v>129</v>
      </c>
      <c r="F47" s="333">
        <v>6263846.3478826694</v>
      </c>
    </row>
    <row r="48" spans="1:6">
      <c r="A48" s="1194" t="s">
        <v>32</v>
      </c>
      <c r="B48" s="1194" t="s">
        <v>29</v>
      </c>
      <c r="C48" s="333">
        <v>382</v>
      </c>
      <c r="D48" s="333">
        <v>280079085.28529203</v>
      </c>
      <c r="E48" s="333">
        <v>430</v>
      </c>
      <c r="F48" s="333">
        <v>79462320.367300093</v>
      </c>
    </row>
    <row r="49" spans="1:6">
      <c r="A49" s="1194" t="s">
        <v>32</v>
      </c>
      <c r="B49" s="1194" t="s">
        <v>40</v>
      </c>
      <c r="C49" s="333">
        <v>38</v>
      </c>
      <c r="D49" s="333">
        <v>1761829.5695003199</v>
      </c>
      <c r="E49" s="333">
        <v>73</v>
      </c>
      <c r="F49" s="333">
        <v>1699829.4818470899</v>
      </c>
    </row>
    <row r="50" spans="1:6">
      <c r="A50" s="1194" t="s">
        <v>32</v>
      </c>
      <c r="B50" s="1194" t="s">
        <v>41</v>
      </c>
      <c r="C50" s="333">
        <v>245</v>
      </c>
      <c r="D50" s="333">
        <v>42634375.1151421</v>
      </c>
      <c r="E50" s="333">
        <v>342</v>
      </c>
      <c r="F50" s="333">
        <v>83543401.229242399</v>
      </c>
    </row>
    <row r="51" spans="1:6">
      <c r="A51" s="1194" t="s">
        <v>42</v>
      </c>
      <c r="B51" s="1194" t="s">
        <v>43</v>
      </c>
      <c r="C51" s="333">
        <v>43</v>
      </c>
      <c r="D51" s="333">
        <v>1111522.0112339901</v>
      </c>
      <c r="E51" s="333">
        <v>80</v>
      </c>
      <c r="F51" s="333">
        <v>633924.21546463098</v>
      </c>
    </row>
    <row r="52" spans="1:6">
      <c r="A52" s="1194" t="s">
        <v>42</v>
      </c>
      <c r="B52" s="1194" t="s">
        <v>29</v>
      </c>
      <c r="C52" s="333">
        <v>21</v>
      </c>
      <c r="D52" s="333">
        <v>647157.84099346003</v>
      </c>
      <c r="E52" s="333">
        <v>50</v>
      </c>
      <c r="F52" s="333">
        <v>405115.727851665</v>
      </c>
    </row>
    <row r="53" spans="1:6">
      <c r="A53" s="1194" t="s">
        <v>44</v>
      </c>
      <c r="B53" s="1194" t="s">
        <v>45</v>
      </c>
      <c r="C53" s="333">
        <v>6336</v>
      </c>
      <c r="D53" s="333">
        <v>209725060.836173</v>
      </c>
      <c r="E53" s="333">
        <v>10841</v>
      </c>
      <c r="F53" s="333">
        <v>53701260.185658202</v>
      </c>
    </row>
    <row r="54" spans="1:6">
      <c r="A54" s="1194" t="s">
        <v>46</v>
      </c>
      <c r="B54" s="1194" t="s">
        <v>47</v>
      </c>
      <c r="C54" s="333">
        <v>0</v>
      </c>
      <c r="D54" s="333">
        <v>0</v>
      </c>
      <c r="E54" s="333">
        <v>71</v>
      </c>
      <c r="F54" s="333">
        <v>26286028</v>
      </c>
    </row>
    <row r="55" spans="1:6">
      <c r="A55" s="1194" t="s">
        <v>46</v>
      </c>
      <c r="B55" s="1194" t="s">
        <v>29</v>
      </c>
      <c r="C55" s="333">
        <v>0</v>
      </c>
      <c r="D55" s="333">
        <v>0</v>
      </c>
      <c r="E55" s="333">
        <v>0</v>
      </c>
      <c r="F55" s="333">
        <v>0</v>
      </c>
    </row>
    <row r="56" spans="1:6">
      <c r="A56" s="1194" t="s">
        <v>48</v>
      </c>
      <c r="B56" s="1194" t="s">
        <v>29</v>
      </c>
      <c r="C56" s="333">
        <v>181</v>
      </c>
      <c r="D56" s="333">
        <v>8830220</v>
      </c>
      <c r="E56" s="333">
        <v>390</v>
      </c>
      <c r="F56" s="333">
        <v>4276251</v>
      </c>
    </row>
    <row r="57" spans="1:6">
      <c r="A57" s="1194" t="s">
        <v>49</v>
      </c>
      <c r="B57" s="1194" t="s">
        <v>50</v>
      </c>
      <c r="C57" s="333">
        <v>1369</v>
      </c>
      <c r="D57" s="333">
        <v>80472285.679357097</v>
      </c>
      <c r="E57" s="333">
        <v>2239</v>
      </c>
      <c r="F57" s="333">
        <v>60900318.103768103</v>
      </c>
    </row>
    <row r="58" spans="1:6">
      <c r="A58" s="1194" t="s">
        <v>49</v>
      </c>
      <c r="B58" s="1194" t="s">
        <v>51</v>
      </c>
      <c r="C58" s="333">
        <v>751</v>
      </c>
      <c r="D58" s="333">
        <v>109085237.530973</v>
      </c>
      <c r="E58" s="333">
        <v>1122</v>
      </c>
      <c r="F58" s="333">
        <v>54431471.285864703</v>
      </c>
    </row>
    <row r="59" spans="1:6">
      <c r="A59" s="1194" t="s">
        <v>49</v>
      </c>
      <c r="B59" s="1194" t="s">
        <v>52</v>
      </c>
      <c r="C59" s="333">
        <v>3701</v>
      </c>
      <c r="D59" s="333">
        <v>147099417.17150399</v>
      </c>
      <c r="E59" s="333">
        <v>7631</v>
      </c>
      <c r="F59" s="333">
        <v>220382131.16471401</v>
      </c>
    </row>
    <row r="60" spans="1:6">
      <c r="A60" s="1194" t="s">
        <v>49</v>
      </c>
      <c r="B60" s="1194" t="s">
        <v>53</v>
      </c>
      <c r="C60" s="333">
        <v>2101</v>
      </c>
      <c r="D60" s="333">
        <v>121987392.98819201</v>
      </c>
      <c r="E60" s="333">
        <v>2692</v>
      </c>
      <c r="F60" s="333">
        <v>94649749.719197303</v>
      </c>
    </row>
    <row r="61" spans="1:6">
      <c r="A61" s="1194" t="s">
        <v>49</v>
      </c>
      <c r="B61" s="1194" t="s">
        <v>54</v>
      </c>
      <c r="C61" s="333">
        <v>7674</v>
      </c>
      <c r="D61" s="333">
        <v>774215883.79781306</v>
      </c>
      <c r="E61" s="333">
        <v>17300</v>
      </c>
      <c r="F61" s="333">
        <v>419014940.27400202</v>
      </c>
    </row>
    <row r="62" spans="1:6">
      <c r="A62" s="1194" t="s">
        <v>49</v>
      </c>
      <c r="B62" s="1194" t="s">
        <v>55</v>
      </c>
      <c r="C62" s="333">
        <v>670</v>
      </c>
      <c r="D62" s="333">
        <v>182629305.10332099</v>
      </c>
      <c r="E62" s="333">
        <v>705</v>
      </c>
      <c r="F62" s="333">
        <v>30488927.7581008</v>
      </c>
    </row>
    <row r="63" spans="1:6">
      <c r="A63" s="1194" t="s">
        <v>49</v>
      </c>
      <c r="B63" s="1194" t="s">
        <v>29</v>
      </c>
      <c r="C63" s="333">
        <v>1106</v>
      </c>
      <c r="D63" s="333">
        <v>175907466.34375799</v>
      </c>
      <c r="E63" s="333">
        <v>1004</v>
      </c>
      <c r="F63" s="333">
        <v>91144436.461704701</v>
      </c>
    </row>
    <row r="64" spans="1:6">
      <c r="A64" s="1194" t="s">
        <v>56</v>
      </c>
      <c r="B64" s="1194" t="s">
        <v>57</v>
      </c>
      <c r="C64" s="333">
        <v>0</v>
      </c>
      <c r="D64" s="333">
        <v>0</v>
      </c>
      <c r="E64" s="333">
        <v>0</v>
      </c>
      <c r="F64" s="333">
        <v>0</v>
      </c>
    </row>
    <row r="65" spans="1:6">
      <c r="A65" s="1194" t="s">
        <v>56</v>
      </c>
      <c r="B65" s="1194" t="s">
        <v>29</v>
      </c>
      <c r="C65" s="333">
        <v>29</v>
      </c>
      <c r="D65" s="333">
        <v>6474936.5635456098</v>
      </c>
      <c r="E65" s="333">
        <v>36</v>
      </c>
      <c r="F65" s="333">
        <v>557393.62224337098</v>
      </c>
    </row>
    <row r="66" spans="1:6">
      <c r="A66" s="1194" t="s">
        <v>56</v>
      </c>
      <c r="B66" s="1194" t="s">
        <v>58</v>
      </c>
      <c r="C66" s="333">
        <v>6</v>
      </c>
      <c r="D66" s="333">
        <v>105909.370429412</v>
      </c>
      <c r="E66" s="333">
        <v>37</v>
      </c>
      <c r="F66" s="333">
        <v>677909.93329625099</v>
      </c>
    </row>
    <row r="67" spans="1:6">
      <c r="A67" s="1201" t="s">
        <v>56</v>
      </c>
      <c r="B67" s="1201" t="s">
        <v>59</v>
      </c>
      <c r="C67" s="333">
        <v>0</v>
      </c>
      <c r="D67" s="333">
        <v>0</v>
      </c>
      <c r="E67" s="333">
        <v>3</v>
      </c>
      <c r="F67" s="333">
        <v>48378.832681414802</v>
      </c>
    </row>
    <row r="68" spans="1:6">
      <c r="A68" s="1190" t="s">
        <v>56</v>
      </c>
      <c r="B68" s="1190" t="s">
        <v>60</v>
      </c>
      <c r="C68" s="333">
        <v>79</v>
      </c>
      <c r="D68" s="333">
        <v>20889754.453580201</v>
      </c>
      <c r="E68" s="333">
        <v>221</v>
      </c>
      <c r="F68" s="333">
        <v>43193277.590464197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787155951</v>
      </c>
      <c r="E73" s="333">
        <v>854499489.19327724</v>
      </c>
      <c r="F73" s="333">
        <v>873073805</v>
      </c>
    </row>
    <row r="74" spans="1:6">
      <c r="A74" s="1194" t="s">
        <v>64</v>
      </c>
      <c r="B74" s="1194" t="s">
        <v>775</v>
      </c>
      <c r="C74" s="1205" t="s">
        <v>776</v>
      </c>
      <c r="D74" s="333">
        <v>41683363.913088955</v>
      </c>
      <c r="E74" s="333">
        <v>50917983.072182335</v>
      </c>
      <c r="F74" s="333">
        <v>50833922.727516636</v>
      </c>
    </row>
    <row r="75" spans="1:6">
      <c r="A75" s="1194" t="s">
        <v>65</v>
      </c>
      <c r="B75" s="1194" t="s">
        <v>773</v>
      </c>
      <c r="C75" s="1205" t="s">
        <v>777</v>
      </c>
      <c r="D75" s="333">
        <v>353317204</v>
      </c>
      <c r="E75" s="333">
        <v>382965229.39478666</v>
      </c>
      <c r="F75" s="333">
        <v>391623665</v>
      </c>
    </row>
    <row r="76" spans="1:6">
      <c r="A76" s="1194" t="s">
        <v>65</v>
      </c>
      <c r="B76" s="1194" t="s">
        <v>775</v>
      </c>
      <c r="C76" s="1205" t="s">
        <v>778</v>
      </c>
      <c r="D76" s="333">
        <v>8877706.9130889531</v>
      </c>
      <c r="E76" s="333">
        <v>12208507.554365799</v>
      </c>
      <c r="F76" s="333">
        <v>12169943.727516638</v>
      </c>
    </row>
    <row r="77" spans="1:6">
      <c r="A77" s="1194" t="s">
        <v>66</v>
      </c>
      <c r="B77" s="1194" t="s">
        <v>773</v>
      </c>
      <c r="C77" s="1205" t="s">
        <v>779</v>
      </c>
      <c r="D77" s="333">
        <v>1564919165</v>
      </c>
      <c r="E77" s="333">
        <v>1754497767.3004313</v>
      </c>
      <c r="F77" s="333">
        <v>1603728555</v>
      </c>
    </row>
    <row r="78" spans="1:6">
      <c r="A78" s="1190" t="s">
        <v>66</v>
      </c>
      <c r="B78" s="1190" t="s">
        <v>775</v>
      </c>
      <c r="C78" s="1190" t="s">
        <v>780</v>
      </c>
      <c r="D78" s="1190">
        <v>297663346</v>
      </c>
      <c r="E78" s="1190">
        <v>332518367.82161027</v>
      </c>
      <c r="F78" s="336">
        <v>308303245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14571564.173822094</v>
      </c>
      <c r="C83" s="333">
        <v>13432540.63130041</v>
      </c>
      <c r="D83" s="333">
        <v>13586476.544966724</v>
      </c>
    </row>
    <row r="84" spans="1:6">
      <c r="A84" s="1190" t="s">
        <v>338</v>
      </c>
      <c r="B84" s="336">
        <v>8576968.8243118934</v>
      </c>
      <c r="C84" s="336">
        <v>9684942.1892275959</v>
      </c>
      <c r="D84" s="336">
        <v>9511591.6915882509</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44600.453796571965</v>
      </c>
    </row>
    <row r="91" spans="1:6">
      <c r="A91" s="1194" t="s">
        <v>68</v>
      </c>
      <c r="B91" s="333">
        <v>6478.2371018151998</v>
      </c>
    </row>
    <row r="92" spans="1:6">
      <c r="A92" s="1190" t="s">
        <v>69</v>
      </c>
      <c r="B92" s="336">
        <v>22950.938851538569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142544</v>
      </c>
    </row>
    <row r="98" spans="1:6">
      <c r="A98" s="1194" t="s">
        <v>72</v>
      </c>
      <c r="B98" s="333">
        <v>436</v>
      </c>
    </row>
    <row r="99" spans="1:6">
      <c r="A99" s="1194" t="s">
        <v>73</v>
      </c>
      <c r="B99" s="333">
        <v>504</v>
      </c>
    </row>
    <row r="100" spans="1:6">
      <c r="A100" s="1194" t="s">
        <v>74</v>
      </c>
      <c r="B100" s="333">
        <v>12353</v>
      </c>
    </row>
    <row r="101" spans="1:6">
      <c r="A101" s="1194" t="s">
        <v>75</v>
      </c>
      <c r="B101" s="333">
        <v>483</v>
      </c>
    </row>
    <row r="102" spans="1:6">
      <c r="A102" s="1194" t="s">
        <v>76</v>
      </c>
      <c r="B102" s="333">
        <v>6918</v>
      </c>
    </row>
    <row r="103" spans="1:6">
      <c r="A103" s="1194" t="s">
        <v>77</v>
      </c>
      <c r="B103" s="333">
        <v>1961</v>
      </c>
    </row>
    <row r="104" spans="1:6">
      <c r="A104" s="1194" t="s">
        <v>78</v>
      </c>
      <c r="B104" s="333">
        <v>38687</v>
      </c>
    </row>
    <row r="105" spans="1:6">
      <c r="A105" s="1190" t="s">
        <v>79</v>
      </c>
      <c r="B105" s="1190">
        <v>225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1</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14</v>
      </c>
      <c r="C123" s="333">
        <v>16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290</v>
      </c>
    </row>
    <row r="130" spans="1:6">
      <c r="A130" s="1194" t="s">
        <v>296</v>
      </c>
      <c r="B130" s="333">
        <v>11</v>
      </c>
    </row>
    <row r="131" spans="1:6">
      <c r="A131" s="1194" t="s">
        <v>297</v>
      </c>
      <c r="B131" s="333">
        <v>37</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2054015.9710827228</v>
      </c>
      <c r="C3" s="43" t="s">
        <v>171</v>
      </c>
      <c r="D3" s="43"/>
      <c r="E3" s="156"/>
      <c r="F3" s="43"/>
      <c r="G3" s="43"/>
      <c r="H3" s="43"/>
      <c r="I3" s="43"/>
      <c r="J3" s="43"/>
      <c r="K3" s="96"/>
    </row>
    <row r="4" spans="1:11">
      <c r="A4" s="364" t="s">
        <v>172</v>
      </c>
      <c r="B4" s="49">
        <f>IF(ISERROR('SEAP template'!B69),0,'SEAP template'!B69)</f>
        <v>105045.87974992573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2672.9947058823536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0.21099903359659714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3818.5638655462194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16068.214285714286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26286.027999999998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26286.027999999998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0.21099903359659714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5546.3265050930922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690418.75195264013</v>
      </c>
      <c r="C5" s="17">
        <f>IF(ISERROR('Eigen informatie GS &amp; warmtenet'!B57),0,'Eigen informatie GS &amp; warmtenet'!B57)</f>
        <v>0</v>
      </c>
      <c r="D5" s="30">
        <f>(SUM(HH_hh_gas_kWh,HH_rest_gas_kWh)/1000)*0.902</f>
        <v>2130237.8781593116</v>
      </c>
      <c r="E5" s="17">
        <f>B46*B57</f>
        <v>35316.905854602148</v>
      </c>
      <c r="F5" s="17">
        <f>B51*B62</f>
        <v>165397.35507070817</v>
      </c>
      <c r="G5" s="18"/>
      <c r="H5" s="17"/>
      <c r="I5" s="17"/>
      <c r="J5" s="17">
        <f>B50*B61+C50*C61</f>
        <v>0</v>
      </c>
      <c r="K5" s="17"/>
      <c r="L5" s="17"/>
      <c r="M5" s="17"/>
      <c r="N5" s="17">
        <f>B48*B59+C48*C59</f>
        <v>97926.254278199121</v>
      </c>
      <c r="O5" s="17">
        <f>B69*B70*B71</f>
        <v>478.38000000000005</v>
      </c>
      <c r="P5" s="17">
        <f>B77*B78*B79/1000-B77*B78*B79/1000/B80</f>
        <v>476.66666666666663</v>
      </c>
    </row>
    <row r="6" spans="1:16">
      <c r="A6" s="16" t="s">
        <v>633</v>
      </c>
      <c r="B6" s="830">
        <f>kWh_PV_kleiner_dan_10kW</f>
        <v>6478.2371018151998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696896.98905445531</v>
      </c>
      <c r="C8" s="21">
        <f>C5</f>
        <v>0</v>
      </c>
      <c r="D8" s="21">
        <f>D5</f>
        <v>2130237.8781593116</v>
      </c>
      <c r="E8" s="21">
        <f>E5</f>
        <v>35316.905854602148</v>
      </c>
      <c r="F8" s="21">
        <f>F5</f>
        <v>165397.35507070817</v>
      </c>
      <c r="G8" s="21"/>
      <c r="H8" s="21"/>
      <c r="I8" s="21"/>
      <c r="J8" s="21">
        <f>J5</f>
        <v>0</v>
      </c>
      <c r="K8" s="21"/>
      <c r="L8" s="21">
        <f>L5</f>
        <v>0</v>
      </c>
      <c r="M8" s="21">
        <f>M5</f>
        <v>0</v>
      </c>
      <c r="N8" s="21">
        <f>N5</f>
        <v>97926.254278199121</v>
      </c>
      <c r="O8" s="21">
        <f>O5</f>
        <v>478.38000000000005</v>
      </c>
      <c r="P8" s="21">
        <f>P5</f>
        <v>476.66666666666663</v>
      </c>
    </row>
    <row r="9" spans="1:16">
      <c r="B9" s="19"/>
      <c r="C9" s="19"/>
      <c r="D9" s="260"/>
      <c r="E9" s="19"/>
      <c r="F9" s="19"/>
      <c r="G9" s="19"/>
      <c r="H9" s="19"/>
      <c r="I9" s="19"/>
      <c r="J9" s="19"/>
      <c r="K9" s="19"/>
      <c r="L9" s="19"/>
      <c r="M9" s="19"/>
      <c r="N9" s="19"/>
      <c r="O9" s="19"/>
      <c r="P9" s="19"/>
    </row>
    <row r="10" spans="1:16">
      <c r="A10" s="24" t="s">
        <v>215</v>
      </c>
      <c r="B10" s="25">
        <f ca="1">'EF ele_warmte'!B12</f>
        <v>0.21099903359659714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147044.59120686841</v>
      </c>
      <c r="C12" s="23">
        <f ca="1">C10*C8</f>
        <v>0</v>
      </c>
      <c r="D12" s="23">
        <f>D8*D10</f>
        <v>430308.05138818099</v>
      </c>
      <c r="E12" s="23">
        <f>E10*E8</f>
        <v>8016.9376289946877</v>
      </c>
      <c r="F12" s="23">
        <f>F10*F8</f>
        <v>44161.093803879085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142544</v>
      </c>
      <c r="C18" s="167" t="s">
        <v>111</v>
      </c>
      <c r="D18" s="229"/>
      <c r="E18" s="15"/>
    </row>
    <row r="19" spans="1:7">
      <c r="A19" s="172" t="s">
        <v>72</v>
      </c>
      <c r="B19" s="37">
        <f>aantalw2001_ander</f>
        <v>436</v>
      </c>
      <c r="C19" s="167" t="s">
        <v>111</v>
      </c>
      <c r="D19" s="230"/>
      <c r="E19" s="15"/>
    </row>
    <row r="20" spans="1:7">
      <c r="A20" s="172" t="s">
        <v>73</v>
      </c>
      <c r="B20" s="37">
        <f>aantalw2001_propaan</f>
        <v>504</v>
      </c>
      <c r="C20" s="168">
        <f>IF(ISERROR(B20/SUM($B$20,$B$21,$B$22)*100),0,B20/SUM($B$20,$B$21,$B$22)*100)</f>
        <v>3.7781109445277363</v>
      </c>
      <c r="D20" s="230"/>
      <c r="E20" s="15"/>
    </row>
    <row r="21" spans="1:7">
      <c r="A21" s="172" t="s">
        <v>74</v>
      </c>
      <c r="B21" s="37">
        <f>aantalw2001_elektriciteit</f>
        <v>12353</v>
      </c>
      <c r="C21" s="168">
        <f>IF(ISERROR(B21/SUM($B$20,$B$21,$B$22)*100),0,B21/SUM($B$20,$B$21,$B$22)*100)</f>
        <v>92.601199400299848</v>
      </c>
      <c r="D21" s="230"/>
      <c r="E21" s="15"/>
    </row>
    <row r="22" spans="1:7">
      <c r="A22" s="172" t="s">
        <v>75</v>
      </c>
      <c r="B22" s="37">
        <f>aantalw2001_hout</f>
        <v>483</v>
      </c>
      <c r="C22" s="168">
        <f>IF(ISERROR(B22/SUM($B$20,$B$21,$B$22)*100),0,B22/SUM($B$20,$B$21,$B$22)*100)</f>
        <v>3.6206896551724141</v>
      </c>
      <c r="D22" s="230"/>
      <c r="E22" s="15"/>
    </row>
    <row r="23" spans="1:7">
      <c r="A23" s="172" t="s">
        <v>76</v>
      </c>
      <c r="B23" s="37">
        <f>aantalw2001_niet_gespec</f>
        <v>6918</v>
      </c>
      <c r="C23" s="167" t="s">
        <v>111</v>
      </c>
      <c r="D23" s="229"/>
      <c r="E23" s="15"/>
    </row>
    <row r="24" spans="1:7">
      <c r="A24" s="172" t="s">
        <v>77</v>
      </c>
      <c r="B24" s="37">
        <f>aantalw2001_steenkool</f>
        <v>1961</v>
      </c>
      <c r="C24" s="167" t="s">
        <v>111</v>
      </c>
      <c r="D24" s="230"/>
      <c r="E24" s="15"/>
    </row>
    <row r="25" spans="1:7">
      <c r="A25" s="172" t="s">
        <v>78</v>
      </c>
      <c r="B25" s="37">
        <f>aantalw2001_stookolie</f>
        <v>38687</v>
      </c>
      <c r="C25" s="167" t="s">
        <v>111</v>
      </c>
      <c r="D25" s="229"/>
      <c r="E25" s="52"/>
    </row>
    <row r="26" spans="1:7">
      <c r="A26" s="172" t="s">
        <v>79</v>
      </c>
      <c r="B26" s="37">
        <f>aantalw2001_WP</f>
        <v>225</v>
      </c>
      <c r="C26" s="167" t="s">
        <v>111</v>
      </c>
      <c r="D26" s="229"/>
      <c r="E26" s="15"/>
    </row>
    <row r="27" spans="1:7" s="15" customFormat="1">
      <c r="A27" s="172"/>
      <c r="B27" s="29"/>
      <c r="C27" s="36"/>
      <c r="D27" s="229"/>
    </row>
    <row r="28" spans="1:7" s="15" customFormat="1">
      <c r="A28" s="231" t="s">
        <v>713</v>
      </c>
      <c r="B28" s="37">
        <f>aantalHuishoudens2011</f>
        <v>230193</v>
      </c>
      <c r="C28" s="36"/>
      <c r="D28" s="229"/>
    </row>
    <row r="29" spans="1:7" s="15" customFormat="1">
      <c r="A29" s="231" t="s">
        <v>714</v>
      </c>
      <c r="B29" s="37">
        <f>SUM(HH_hh_gas_aantal,HH_rest_gas_aantal)</f>
        <v>177470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177470</v>
      </c>
      <c r="C32" s="168">
        <f>IF(ISERROR(B32/SUM($B$32,$B$34,$B$35,$B$36,$B$38,$B$39)*100),0,B32/SUM($B$32,$B$34,$B$35,$B$36,$B$38,$B$39)*100)</f>
        <v>77.104549720204361</v>
      </c>
      <c r="D32" s="234"/>
      <c r="G32" s="15"/>
    </row>
    <row r="33" spans="1:7">
      <c r="A33" s="172" t="s">
        <v>72</v>
      </c>
      <c r="B33" s="34" t="s">
        <v>111</v>
      </c>
      <c r="C33" s="168"/>
      <c r="D33" s="234"/>
      <c r="G33" s="15"/>
    </row>
    <row r="34" spans="1:7">
      <c r="A34" s="172" t="s">
        <v>73</v>
      </c>
      <c r="B34" s="33">
        <f>IF((($B$28-$B$32-$B$39-$B$77-$B$38)*C20/100)&lt;0,0,($B$28-$B$32-$B$39-$B$77-$B$38)*C20/100)</f>
        <v>1716.9398500749626</v>
      </c>
      <c r="C34" s="168">
        <f>IF(ISERROR(B34/SUM($B$32,$B$34,$B$35,$B$36,$B$38,$B$39)*100),0,B34/SUM($B$32,$B$34,$B$35,$B$36,$B$38,$B$39)*100)</f>
        <v>0.7459507186381088</v>
      </c>
      <c r="D34" s="234"/>
      <c r="G34" s="15"/>
    </row>
    <row r="35" spans="1:7">
      <c r="A35" s="172" t="s">
        <v>74</v>
      </c>
      <c r="B35" s="33">
        <f>IF((($B$28-$B$32-$B$39-$B$77-$B$38)*C21/100)&lt;0,0,($B$28-$B$32-$B$39-$B$77-$B$38)*C21/100)</f>
        <v>42082.059460269862</v>
      </c>
      <c r="C35" s="168">
        <f>IF(ISERROR(B35/SUM($B$32,$B$34,$B$35,$B$36,$B$38,$B$39)*100),0,B35/SUM($B$32,$B$34,$B$35,$B$36,$B$38,$B$39)*100)</f>
        <v>18.283192911382059</v>
      </c>
      <c r="D35" s="234"/>
      <c r="G35" s="15"/>
    </row>
    <row r="36" spans="1:7">
      <c r="A36" s="172" t="s">
        <v>75</v>
      </c>
      <c r="B36" s="33">
        <f>IF((($B$28-$B$32-$B$39-$B$77-$B$38)*C22/100)&lt;0,0,($B$28-$B$32-$B$39-$B$77-$B$38)*C22/100)</f>
        <v>1645.4006896551728</v>
      </c>
      <c r="C36" s="168">
        <f>IF(ISERROR(B36/SUM($B$32,$B$34,$B$35,$B$36,$B$38,$B$39)*100),0,B36/SUM($B$32,$B$34,$B$35,$B$36,$B$38,$B$39)*100)</f>
        <v>0.71486943869485442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7253.5999999999985</v>
      </c>
      <c r="C39" s="168">
        <f>IF(ISERROR(B39/SUM($B$32,$B$34,$B$35,$B$36,$B$38,$B$39)*100),0,B39/SUM($B$32,$B$34,$B$35,$B$36,$B$38,$B$39)*100)</f>
        <v>3.151437211080601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177470</v>
      </c>
      <c r="C44" s="34" t="s">
        <v>111</v>
      </c>
      <c r="D44" s="175"/>
    </row>
    <row r="45" spans="1:7">
      <c r="A45" s="172" t="s">
        <v>72</v>
      </c>
      <c r="B45" s="33" t="str">
        <f t="shared" si="0"/>
        <v>-</v>
      </c>
      <c r="C45" s="34" t="s">
        <v>111</v>
      </c>
      <c r="D45" s="175"/>
    </row>
    <row r="46" spans="1:7">
      <c r="A46" s="172" t="s">
        <v>73</v>
      </c>
      <c r="B46" s="33">
        <f t="shared" si="0"/>
        <v>1716.9398500749626</v>
      </c>
      <c r="C46" s="34" t="s">
        <v>111</v>
      </c>
      <c r="D46" s="175"/>
    </row>
    <row r="47" spans="1:7">
      <c r="A47" s="172" t="s">
        <v>74</v>
      </c>
      <c r="B47" s="33">
        <f t="shared" si="0"/>
        <v>42082.059460269862</v>
      </c>
      <c r="C47" s="34" t="s">
        <v>111</v>
      </c>
      <c r="D47" s="175"/>
    </row>
    <row r="48" spans="1:7">
      <c r="A48" s="172" t="s">
        <v>75</v>
      </c>
      <c r="B48" s="33">
        <f t="shared" si="0"/>
        <v>1645.4006896551728</v>
      </c>
      <c r="C48" s="33">
        <f>B48*10</f>
        <v>16454.006896551728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7253.5999999999985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306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971011.97476735152</v>
      </c>
      <c r="C5" s="17">
        <f>IF(ISERROR('Eigen informatie GS &amp; warmtenet'!B58),0,'Eigen informatie GS &amp; warmtenet'!B58)</f>
        <v>0</v>
      </c>
      <c r="D5" s="30">
        <f>SUM(D6:D12)</f>
        <v>1435440.0837306562</v>
      </c>
      <c r="E5" s="17">
        <f>SUM(E6:E12)</f>
        <v>23509.92016930048</v>
      </c>
      <c r="F5" s="17">
        <f>SUM(F6:F12)</f>
        <v>183598.76448612357</v>
      </c>
      <c r="G5" s="18"/>
      <c r="H5" s="17"/>
      <c r="I5" s="17"/>
      <c r="J5" s="17">
        <f>SUM(J6:J12)</f>
        <v>0</v>
      </c>
      <c r="K5" s="17"/>
      <c r="L5" s="17"/>
      <c r="M5" s="17"/>
      <c r="N5" s="17">
        <f>SUM(N6:N12)</f>
        <v>20523.522452856436</v>
      </c>
      <c r="O5" s="17">
        <f>B38*B39*B40</f>
        <v>17.196666666666669</v>
      </c>
      <c r="P5" s="17">
        <f>B46*B47*B48/1000-B46*B47*B48/1000/B49</f>
        <v>705.4666666666667</v>
      </c>
      <c r="R5" s="32"/>
    </row>
    <row r="6" spans="1:18">
      <c r="A6" s="32" t="s">
        <v>54</v>
      </c>
      <c r="B6" s="37">
        <f>B26</f>
        <v>419014.94027400203</v>
      </c>
      <c r="C6" s="33"/>
      <c r="D6" s="37">
        <f>IF(ISERROR(TER_kantoor_gas_kWh/1000),0,TER_kantoor_gas_kWh/1000)*0.902</f>
        <v>698342.72718562745</v>
      </c>
      <c r="E6" s="33">
        <f>$C$26*'E Balans VL '!I12/100/3.6*1000000</f>
        <v>14667.171208201491</v>
      </c>
      <c r="F6" s="33">
        <f>$C$26*('E Balans VL '!L12+'E Balans VL '!N12)/100/3.6*1000000</f>
        <v>63531.661108152075</v>
      </c>
      <c r="G6" s="34"/>
      <c r="H6" s="33"/>
      <c r="I6" s="33"/>
      <c r="J6" s="33">
        <f>$C$26*('E Balans VL '!D12+'E Balans VL '!E12)/100/3.6*1000000</f>
        <v>0</v>
      </c>
      <c r="K6" s="33"/>
      <c r="L6" s="33"/>
      <c r="M6" s="33"/>
      <c r="N6" s="33">
        <f>$C$26*'E Balans VL '!Y12/100/3.6*1000000</f>
        <v>3238.8543402510873</v>
      </c>
      <c r="O6" s="33"/>
      <c r="P6" s="33"/>
      <c r="R6" s="32"/>
    </row>
    <row r="7" spans="1:18">
      <c r="A7" s="32" t="s">
        <v>53</v>
      </c>
      <c r="B7" s="37">
        <f t="shared" ref="B7:B12" si="0">B27</f>
        <v>94649.749719197309</v>
      </c>
      <c r="C7" s="33"/>
      <c r="D7" s="37">
        <f>IF(ISERROR(TER_horeca_gas_kWh/1000),0,TER_horeca_gas_kWh/1000)*0.902</f>
        <v>110032.62847534919</v>
      </c>
      <c r="E7" s="33">
        <f>$C$27*'E Balans VL '!I9/100/3.6*1000000</f>
        <v>5339.5044193287467</v>
      </c>
      <c r="F7" s="33">
        <f>$C$27*('E Balans VL '!L9+'E Balans VL '!N9)/100/3.6*1000000</f>
        <v>16488.510199524371</v>
      </c>
      <c r="G7" s="34"/>
      <c r="H7" s="33"/>
      <c r="I7" s="33"/>
      <c r="J7" s="33">
        <f>$C$27*('E Balans VL '!D9+'E Balans VL '!E9)/100/3.6*1000000</f>
        <v>0</v>
      </c>
      <c r="K7" s="33"/>
      <c r="L7" s="33"/>
      <c r="M7" s="33"/>
      <c r="N7" s="33">
        <f>$C$27*'E Balans VL '!Y9/100/3.6*1000000</f>
        <v>0</v>
      </c>
      <c r="O7" s="33"/>
      <c r="P7" s="33"/>
      <c r="R7" s="32"/>
    </row>
    <row r="8" spans="1:18">
      <c r="A8" s="6" t="s">
        <v>52</v>
      </c>
      <c r="B8" s="37">
        <f t="shared" si="0"/>
        <v>220382.131164714</v>
      </c>
      <c r="C8" s="33"/>
      <c r="D8" s="37">
        <f>IF(ISERROR(TER_handel_gas_kWh/1000),0,TER_handel_gas_kWh/1000)*0.902</f>
        <v>132683.67428869661</v>
      </c>
      <c r="E8" s="33">
        <f>$C$28*'E Balans VL '!I13/100/3.6*1000000</f>
        <v>1131.419470899853</v>
      </c>
      <c r="F8" s="33">
        <f>$C$28*('E Balans VL '!L13+'E Balans VL '!N13)/100/3.6*1000000</f>
        <v>33979.519372107869</v>
      </c>
      <c r="G8" s="34"/>
      <c r="H8" s="33"/>
      <c r="I8" s="33"/>
      <c r="J8" s="33">
        <f>$C$28*('E Balans VL '!D13+'E Balans VL '!E13)/100/3.6*1000000</f>
        <v>0</v>
      </c>
      <c r="K8" s="33"/>
      <c r="L8" s="33"/>
      <c r="M8" s="33"/>
      <c r="N8" s="33">
        <f>$C$28*'E Balans VL '!Y13/100/3.6*1000000</f>
        <v>103.07541287174865</v>
      </c>
      <c r="O8" s="33"/>
      <c r="P8" s="33"/>
      <c r="R8" s="32"/>
    </row>
    <row r="9" spans="1:18">
      <c r="A9" s="32" t="s">
        <v>51</v>
      </c>
      <c r="B9" s="37">
        <f t="shared" si="0"/>
        <v>54431.471285864704</v>
      </c>
      <c r="C9" s="33"/>
      <c r="D9" s="37">
        <f>IF(ISERROR(TER_gezond_gas_kWh/1000),0,TER_gezond_gas_kWh/1000)*0.902</f>
        <v>98394.884252937642</v>
      </c>
      <c r="E9" s="33">
        <f>$C$29*'E Balans VL '!I10/100/3.6*1000000</f>
        <v>22.561457200945611</v>
      </c>
      <c r="F9" s="33">
        <f>$C$29*('E Balans VL '!L10+'E Balans VL '!N10)/100/3.6*1000000</f>
        <v>13405.690726277171</v>
      </c>
      <c r="G9" s="34"/>
      <c r="H9" s="33"/>
      <c r="I9" s="33"/>
      <c r="J9" s="33">
        <f>$C$29*('E Balans VL '!D10+'E Balans VL '!E10)/100/3.6*1000000</f>
        <v>0</v>
      </c>
      <c r="K9" s="33"/>
      <c r="L9" s="33"/>
      <c r="M9" s="33"/>
      <c r="N9" s="33">
        <f>$C$29*'E Balans VL '!Y10/100/3.6*1000000</f>
        <v>470.42263661165197</v>
      </c>
      <c r="O9" s="33"/>
      <c r="P9" s="33"/>
      <c r="R9" s="32"/>
    </row>
    <row r="10" spans="1:18">
      <c r="A10" s="32" t="s">
        <v>50</v>
      </c>
      <c r="B10" s="37">
        <f t="shared" si="0"/>
        <v>60900.318103768106</v>
      </c>
      <c r="C10" s="33"/>
      <c r="D10" s="37">
        <f>IF(ISERROR(TER_ander_gas_kWh/1000),0,TER_ander_gas_kWh/1000)*0.902</f>
        <v>72586.001682780101</v>
      </c>
      <c r="E10" s="33">
        <f>$C$30*'E Balans VL '!I14/100/3.6*1000000</f>
        <v>371.24984173569368</v>
      </c>
      <c r="F10" s="33">
        <f>$C$30*('E Balans VL '!L14+'E Balans VL '!N14)/100/3.6*1000000</f>
        <v>16145.508569035022</v>
      </c>
      <c r="G10" s="34"/>
      <c r="H10" s="33"/>
      <c r="I10" s="33"/>
      <c r="J10" s="33">
        <f>$C$30*('E Balans VL '!D14+'E Balans VL '!E14)/100/3.6*1000000</f>
        <v>0</v>
      </c>
      <c r="K10" s="33"/>
      <c r="L10" s="33"/>
      <c r="M10" s="33"/>
      <c r="N10" s="33">
        <f>$C$30*'E Balans VL '!Y14/100/3.6*1000000</f>
        <v>14036.207363904463</v>
      </c>
      <c r="O10" s="33"/>
      <c r="P10" s="33"/>
      <c r="R10" s="32"/>
    </row>
    <row r="11" spans="1:18">
      <c r="A11" s="32" t="s">
        <v>55</v>
      </c>
      <c r="B11" s="37">
        <f t="shared" si="0"/>
        <v>30488.927758100799</v>
      </c>
      <c r="C11" s="33"/>
      <c r="D11" s="37">
        <f>IF(ISERROR(TER_onderwijs_gas_kWh/1000),0,TER_onderwijs_gas_kWh/1000)*0.902</f>
        <v>164731.63320319552</v>
      </c>
      <c r="E11" s="33">
        <f>$C$31*'E Balans VL '!I11/100/3.6*1000000</f>
        <v>23.234150526912849</v>
      </c>
      <c r="F11" s="33">
        <f>$C$31*('E Balans VL '!L11+'E Balans VL '!N11)/100/3.6*1000000</f>
        <v>22063.458988523849</v>
      </c>
      <c r="G11" s="34"/>
      <c r="H11" s="33"/>
      <c r="I11" s="33"/>
      <c r="J11" s="33">
        <f>$C$31*('E Balans VL '!D11+'E Balans VL '!E11)/100/3.6*1000000</f>
        <v>0</v>
      </c>
      <c r="K11" s="33"/>
      <c r="L11" s="33"/>
      <c r="M11" s="33"/>
      <c r="N11" s="33">
        <f>$C$31*'E Balans VL '!Y11/100/3.6*1000000</f>
        <v>89.858156824078861</v>
      </c>
      <c r="O11" s="33"/>
      <c r="P11" s="33"/>
      <c r="R11" s="32"/>
    </row>
    <row r="12" spans="1:18">
      <c r="A12" s="32" t="s">
        <v>261</v>
      </c>
      <c r="B12" s="37">
        <f t="shared" si="0"/>
        <v>91144.436461704696</v>
      </c>
      <c r="C12" s="33"/>
      <c r="D12" s="37">
        <f>IF(ISERROR(TER_rest_gas_kWh/1000),0,TER_rest_gas_kWh/1000)*0.902</f>
        <v>158668.53464206972</v>
      </c>
      <c r="E12" s="33">
        <f>$C$32*'E Balans VL '!I8/100/3.6*1000000</f>
        <v>1954.7796214068294</v>
      </c>
      <c r="F12" s="33">
        <f>$C$32*('E Balans VL '!L8+'E Balans VL '!N8)/100/3.6*1000000</f>
        <v>17984.41552250323</v>
      </c>
      <c r="G12" s="34"/>
      <c r="H12" s="33"/>
      <c r="I12" s="33"/>
      <c r="J12" s="33">
        <f>$C$32*('E Balans VL '!D8+'E Balans VL '!E8)/100/3.6*1000000</f>
        <v>0</v>
      </c>
      <c r="K12" s="33"/>
      <c r="L12" s="33"/>
      <c r="M12" s="33"/>
      <c r="N12" s="33">
        <f>$C$32*'E Balans VL '!Y8/100/3.6*1000000</f>
        <v>2585.1045423934056</v>
      </c>
      <c r="O12" s="33"/>
      <c r="P12" s="33"/>
      <c r="R12" s="32"/>
    </row>
    <row r="13" spans="1:18">
      <c r="A13" s="16" t="s">
        <v>497</v>
      </c>
      <c r="B13" s="248">
        <f ca="1">'lokale energieproductie'!N90+'lokale energieproductie'!N59</f>
        <v>27389.25</v>
      </c>
      <c r="C13" s="248">
        <f ca="1">'lokale energieproductie'!O90+'lokale energieproductie'!O59</f>
        <v>10886.785714285714</v>
      </c>
      <c r="D13" s="311">
        <f ca="1">('lokale energieproductie'!P59+'lokale energieproductie'!P90)*(-1)</f>
        <v>-21773.571428571431</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-56481.428571428572</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998401.22476735152</v>
      </c>
      <c r="C16" s="21">
        <f ca="1">C5+C13+C14</f>
        <v>10886.785714285714</v>
      </c>
      <c r="D16" s="21">
        <f t="shared" ref="D16:N16" ca="1" si="1">MAX((D5+D13+D14),0)</f>
        <v>1413666.5123020848</v>
      </c>
      <c r="E16" s="21">
        <f t="shared" si="1"/>
        <v>23509.92016930048</v>
      </c>
      <c r="F16" s="21">
        <f t="shared" ca="1" si="1"/>
        <v>183598.76448612357</v>
      </c>
      <c r="G16" s="21">
        <f t="shared" si="1"/>
        <v>0</v>
      </c>
      <c r="H16" s="21">
        <f t="shared" si="1"/>
        <v>0</v>
      </c>
      <c r="I16" s="21">
        <f t="shared" si="1"/>
        <v>0</v>
      </c>
      <c r="J16" s="21">
        <f t="shared" si="1"/>
        <v>0</v>
      </c>
      <c r="K16" s="21">
        <f t="shared" si="1"/>
        <v>0</v>
      </c>
      <c r="L16" s="21">
        <f t="shared" ca="1" si="1"/>
        <v>0</v>
      </c>
      <c r="M16" s="21">
        <f t="shared" si="1"/>
        <v>0</v>
      </c>
      <c r="N16" s="21">
        <f t="shared" ca="1" si="1"/>
        <v>0</v>
      </c>
      <c r="O16" s="21">
        <f>O5</f>
        <v>17.196666666666669</v>
      </c>
      <c r="P16" s="21">
        <f>P5</f>
        <v>705.4666666666667</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0.21099903359659714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210661.69356757012</v>
      </c>
      <c r="C20" s="23">
        <f t="shared" ref="C20:P20" ca="1" si="2">C16*C18</f>
        <v>2587.212605042017</v>
      </c>
      <c r="D20" s="23">
        <f t="shared" ca="1" si="2"/>
        <v>285560.63548502116</v>
      </c>
      <c r="E20" s="23">
        <f t="shared" si="2"/>
        <v>5336.7518784312088</v>
      </c>
      <c r="F20" s="23">
        <f t="shared" ca="1" si="2"/>
        <v>49020.870117794999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419014.94027400203</v>
      </c>
      <c r="C26" s="39">
        <f>IF(ISERROR(B26*3.6/1000000/'E Balans VL '!Z12*100),0,B26*3.6/1000000/'E Balans VL '!Z12*100)</f>
        <v>8.8174745340935221</v>
      </c>
      <c r="D26" s="238" t="s">
        <v>720</v>
      </c>
      <c r="F26" s="6"/>
    </row>
    <row r="27" spans="1:18">
      <c r="A27" s="232" t="s">
        <v>53</v>
      </c>
      <c r="B27" s="33">
        <f>IF(ISERROR(TER_horeca_ele_kWh/1000),0,TER_horeca_ele_kWh/1000)</f>
        <v>94649.749719197309</v>
      </c>
      <c r="C27" s="39">
        <f>IF(ISERROR(B27*3.6/1000000/'E Balans VL '!Z9*100),0,B27*3.6/1000000/'E Balans VL '!Z9*100)</f>
        <v>8.013728345390712</v>
      </c>
      <c r="D27" s="238" t="s">
        <v>720</v>
      </c>
      <c r="F27" s="6"/>
    </row>
    <row r="28" spans="1:18">
      <c r="A28" s="172" t="s">
        <v>52</v>
      </c>
      <c r="B28" s="33">
        <f>IF(ISERROR(TER_handel_ele_kWh/1000),0,TER_handel_ele_kWh/1000)</f>
        <v>220382.131164714</v>
      </c>
      <c r="C28" s="39">
        <f>IF(ISERROR(B28*3.6/1000000/'E Balans VL '!Z13*100),0,B28*3.6/1000000/'E Balans VL '!Z13*100)</f>
        <v>6.1012488270643184</v>
      </c>
      <c r="D28" s="238" t="s">
        <v>720</v>
      </c>
      <c r="F28" s="6"/>
    </row>
    <row r="29" spans="1:18">
      <c r="A29" s="232" t="s">
        <v>51</v>
      </c>
      <c r="B29" s="33">
        <f>IF(ISERROR(TER_gezond_ele_kWh/1000),0,TER_gezond_ele_kWh/1000)</f>
        <v>54431.471285864704</v>
      </c>
      <c r="C29" s="39">
        <f>IF(ISERROR(B29*3.6/1000000/'E Balans VL '!Z10*100),0,B29*3.6/1000000/'E Balans VL '!Z10*100)</f>
        <v>7.0754878239479329</v>
      </c>
      <c r="D29" s="238" t="s">
        <v>720</v>
      </c>
      <c r="F29" s="6"/>
    </row>
    <row r="30" spans="1:18">
      <c r="A30" s="232" t="s">
        <v>50</v>
      </c>
      <c r="B30" s="33">
        <f>IF(ISERROR(TER_ander_ele_kWh/1000),0,TER_ander_ele_kWh/1000)</f>
        <v>60900.318103768106</v>
      </c>
      <c r="C30" s="39">
        <f>IF(ISERROR(B30*3.6/1000000/'E Balans VL '!Z14*100),0,B30*3.6/1000000/'E Balans VL '!Z14*100)</f>
        <v>4.7203331516233158</v>
      </c>
      <c r="D30" s="238" t="s">
        <v>720</v>
      </c>
      <c r="F30" s="6"/>
    </row>
    <row r="31" spans="1:18">
      <c r="A31" s="232" t="s">
        <v>55</v>
      </c>
      <c r="B31" s="33">
        <f>IF(ISERROR(TER_onderwijs_ele_kWh/1000),0,TER_onderwijs_ele_kWh/1000)</f>
        <v>30488.927758100799</v>
      </c>
      <c r="C31" s="39">
        <f>IF(ISERROR(B31*3.6/1000000/'E Balans VL '!Z11*100),0,B31*3.6/1000000/'E Balans VL '!Z11*100)</f>
        <v>5.8330514004595173</v>
      </c>
      <c r="D31" s="238" t="s">
        <v>720</v>
      </c>
    </row>
    <row r="32" spans="1:18">
      <c r="A32" s="232" t="s">
        <v>261</v>
      </c>
      <c r="B32" s="33">
        <f>IF(ISERROR(TER_rest_ele_kWh/1000),0,TER_rest_ele_kWh/1000)</f>
        <v>91144.436461704696</v>
      </c>
      <c r="C32" s="39">
        <f>IF(ISERROR(B32*3.6/1000000/'E Balans VL '!Z8*100),0,B32*3.6/1000000/'E Balans VL '!Z8*100)</f>
        <v>0.75155586985801737</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37</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297510.27428300888</v>
      </c>
      <c r="C5" s="17">
        <f>IF(ISERROR('Eigen informatie GS &amp; warmtenet'!B59),0,'Eigen informatie GS &amp; warmtenet'!B59)</f>
        <v>0</v>
      </c>
      <c r="D5" s="30">
        <f>SUM(D6:D15)</f>
        <v>363663.15201003873</v>
      </c>
      <c r="E5" s="17">
        <f>SUM(E6:E15)</f>
        <v>2963.6110618511816</v>
      </c>
      <c r="F5" s="17">
        <f>SUM(F6:F15)</f>
        <v>71600.592336907634</v>
      </c>
      <c r="G5" s="18"/>
      <c r="H5" s="17"/>
      <c r="I5" s="17"/>
      <c r="J5" s="17">
        <f>SUM(J6:J15)</f>
        <v>2656.7996850063673</v>
      </c>
      <c r="K5" s="17"/>
      <c r="L5" s="17"/>
      <c r="M5" s="17"/>
      <c r="N5" s="17">
        <f>SUM(N6:N15)</f>
        <v>5963.8871266017677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85883.607697552288</v>
      </c>
      <c r="C8" s="33"/>
      <c r="D8" s="37">
        <f>IF( ISERROR(IND_metaal_Gas_kWH/1000),0,IND_metaal_Gas_kWH/1000)*0.902</f>
        <v>29365.795016170261</v>
      </c>
      <c r="E8" s="33">
        <f>C30*'E Balans VL '!I18/100/3.6*1000000</f>
        <v>603.48516193220951</v>
      </c>
      <c r="F8" s="33">
        <f>C30*'E Balans VL '!L18/100/3.6*1000000+C30*'E Balans VL '!N18/100/3.6*1000000</f>
        <v>9429.5176566289647</v>
      </c>
      <c r="G8" s="34"/>
      <c r="H8" s="33"/>
      <c r="I8" s="33"/>
      <c r="J8" s="40">
        <f>C30*'E Balans VL '!D18/100/3.6*1000000+C30*'E Balans VL '!E18/100/3.6*1000000</f>
        <v>1771.9639396219202</v>
      </c>
      <c r="K8" s="33"/>
      <c r="L8" s="33"/>
      <c r="M8" s="33"/>
      <c r="N8" s="33">
        <f>C30*'E Balans VL '!Y18/100/3.6*1000000</f>
        <v>321.8979469812179</v>
      </c>
      <c r="O8" s="33"/>
      <c r="P8" s="33"/>
      <c r="R8" s="32"/>
    </row>
    <row r="9" spans="1:18">
      <c r="A9" s="6" t="s">
        <v>33</v>
      </c>
      <c r="B9" s="37">
        <f t="shared" si="0"/>
        <v>40169.355285235702</v>
      </c>
      <c r="C9" s="33"/>
      <c r="D9" s="37">
        <f>IF( ISERROR(IND_andere_gas_kWh/1000),0,IND_andere_gas_kWh/1000)*0.902</f>
        <v>38147.526031575042</v>
      </c>
      <c r="E9" s="33">
        <f>C31*'E Balans VL '!I19/100/3.6*1000000</f>
        <v>674.69353104691481</v>
      </c>
      <c r="F9" s="33">
        <f>C31*'E Balans VL '!L19/100/3.6*1000000+C31*'E Balans VL '!N19/100/3.6*1000000</f>
        <v>31402.114086350342</v>
      </c>
      <c r="G9" s="34"/>
      <c r="H9" s="33"/>
      <c r="I9" s="33"/>
      <c r="J9" s="40">
        <f>C31*'E Balans VL '!D19/100/3.6*1000000+C31*'E Balans VL '!E19/100/3.6*1000000</f>
        <v>3.6229212563674213</v>
      </c>
      <c r="K9" s="33"/>
      <c r="L9" s="33"/>
      <c r="M9" s="33"/>
      <c r="N9" s="33">
        <f>C31*'E Balans VL '!Y19/100/3.6*1000000</f>
        <v>2977.1936872049691</v>
      </c>
      <c r="O9" s="33"/>
      <c r="P9" s="33"/>
      <c r="R9" s="32"/>
    </row>
    <row r="10" spans="1:18">
      <c r="A10" s="6" t="s">
        <v>41</v>
      </c>
      <c r="B10" s="37">
        <f t="shared" si="0"/>
        <v>83543.401229242401</v>
      </c>
      <c r="C10" s="33"/>
      <c r="D10" s="37">
        <f>IF( ISERROR(IND_voed_gas_kWh/1000),0,IND_voed_gas_kWh/1000)*0.902</f>
        <v>38456.206353858179</v>
      </c>
      <c r="E10" s="33">
        <f>C32*'E Balans VL '!I20/100/3.6*1000000</f>
        <v>762.21527635689586</v>
      </c>
      <c r="F10" s="33">
        <f>C32*'E Balans VL '!L20/100/3.6*1000000+C32*'E Balans VL '!N20/100/3.6*1000000</f>
        <v>13478.16370294421</v>
      </c>
      <c r="G10" s="34"/>
      <c r="H10" s="33"/>
      <c r="I10" s="33"/>
      <c r="J10" s="40">
        <f>C32*'E Balans VL '!D20/100/3.6*1000000+C32*'E Balans VL '!E20/100/3.6*1000000</f>
        <v>344.08649996719163</v>
      </c>
      <c r="K10" s="33"/>
      <c r="L10" s="33"/>
      <c r="M10" s="33"/>
      <c r="N10" s="33">
        <f>C32*'E Balans VL '!Y20/100/3.6*1000000</f>
        <v>1222.1740841630715</v>
      </c>
      <c r="O10" s="33"/>
      <c r="P10" s="33"/>
      <c r="R10" s="32"/>
    </row>
    <row r="11" spans="1:18">
      <c r="A11" s="6" t="s">
        <v>40</v>
      </c>
      <c r="B11" s="37">
        <f t="shared" si="0"/>
        <v>1699.8294818470899</v>
      </c>
      <c r="C11" s="33"/>
      <c r="D11" s="37">
        <f>IF( ISERROR(IND_textiel_gas_kWh/1000),0,IND_textiel_gas_kWh/1000)*0.902</f>
        <v>1589.1702716892885</v>
      </c>
      <c r="E11" s="33">
        <f>C33*'E Balans VL '!I21/100/3.6*1000000</f>
        <v>3.876995743205264</v>
      </c>
      <c r="F11" s="33">
        <f>C33*'E Balans VL '!L21/100/3.6*1000000+C33*'E Balans VL '!N21/100/3.6*1000000</f>
        <v>36.335431759223226</v>
      </c>
      <c r="G11" s="34"/>
      <c r="H11" s="33"/>
      <c r="I11" s="33"/>
      <c r="J11" s="40">
        <f>C33*'E Balans VL '!D21/100/3.6*1000000+C33*'E Balans VL '!E21/100/3.6*1000000</f>
        <v>0</v>
      </c>
      <c r="K11" s="33"/>
      <c r="L11" s="33"/>
      <c r="M11" s="33"/>
      <c r="N11" s="33">
        <f>C33*'E Balans VL '!Y21/100/3.6*1000000</f>
        <v>12.058361020999868</v>
      </c>
      <c r="O11" s="33"/>
      <c r="P11" s="33"/>
      <c r="R11" s="32"/>
    </row>
    <row r="12" spans="1:18">
      <c r="A12" s="6" t="s">
        <v>37</v>
      </c>
      <c r="B12" s="37">
        <f t="shared" si="0"/>
        <v>365.90105322700197</v>
      </c>
      <c r="C12" s="33"/>
      <c r="D12" s="37">
        <f>IF( ISERROR(IND_min_gas_kWh/1000),0,IND_min_gas_kWh/1000)*0.902</f>
        <v>0</v>
      </c>
      <c r="E12" s="33">
        <f>C34*'E Balans VL '!I22/100/3.6*1000000</f>
        <v>9.0755356820325535</v>
      </c>
      <c r="F12" s="33">
        <f>C34*'E Balans VL '!L22/100/3.6*1000000+C34*'E Balans VL '!N22/100/3.6*1000000</f>
        <v>38.880490406585267</v>
      </c>
      <c r="G12" s="34"/>
      <c r="H12" s="33"/>
      <c r="I12" s="33"/>
      <c r="J12" s="40">
        <f>C34*'E Balans VL '!D22/100/3.6*1000000+C34*'E Balans VL '!E22/100/3.6*1000000</f>
        <v>2.0785326792371301</v>
      </c>
      <c r="K12" s="33"/>
      <c r="L12" s="33"/>
      <c r="M12" s="33"/>
      <c r="N12" s="33">
        <f>C34*'E Balans VL '!Y22/100/3.6*1000000</f>
        <v>0</v>
      </c>
      <c r="O12" s="33"/>
      <c r="P12" s="33"/>
      <c r="R12" s="32"/>
    </row>
    <row r="13" spans="1:18">
      <c r="A13" s="6" t="s">
        <v>39</v>
      </c>
      <c r="B13" s="37">
        <f t="shared" si="0"/>
        <v>6263.8463478826698</v>
      </c>
      <c r="C13" s="33"/>
      <c r="D13" s="37">
        <f>IF( ISERROR(IND_papier_gas_kWh/1000),0,IND_papier_gas_kWh/1000)*0.902</f>
        <v>3454.0220183154356</v>
      </c>
      <c r="E13" s="33">
        <f>C35*'E Balans VL '!I23/100/3.6*1000000</f>
        <v>192.72220494130286</v>
      </c>
      <c r="F13" s="33">
        <f>C35*'E Balans VL '!L23/100/3.6*1000000+C35*'E Balans VL '!N23/100/3.6*1000000</f>
        <v>1330.0334881517128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122.0128207216445</v>
      </c>
      <c r="C14" s="33"/>
      <c r="D14" s="37">
        <f>IF( ISERROR(IND_chemie_gas_kWh/1000),0,IND_chemie_gas_kWh/1000)*0.902</f>
        <v>19.09739109717275</v>
      </c>
      <c r="E14" s="33">
        <f>C36*'E Balans VL '!I24/100/3.6*1000000</f>
        <v>0.41370750061363221</v>
      </c>
      <c r="F14" s="33">
        <f>C36*'E Balans VL '!L24/100/3.6*1000000+C36*'E Balans VL '!N24/100/3.6*1000000</f>
        <v>0.39156870370491403</v>
      </c>
      <c r="G14" s="34"/>
      <c r="H14" s="33"/>
      <c r="I14" s="33"/>
      <c r="J14" s="40">
        <f>C36*'E Balans VL '!D24/100/3.6*1000000+C36*'E Balans VL '!E24/100/3.6*1000000</f>
        <v>0</v>
      </c>
      <c r="K14" s="33"/>
      <c r="L14" s="33"/>
      <c r="M14" s="33"/>
      <c r="N14" s="33">
        <f>C36*'E Balans VL '!Y24/100/3.6*1000000</f>
        <v>0.57049888363165968</v>
      </c>
      <c r="O14" s="33"/>
      <c r="P14" s="33"/>
      <c r="R14" s="32"/>
    </row>
    <row r="15" spans="1:18">
      <c r="A15" s="6" t="s">
        <v>271</v>
      </c>
      <c r="B15" s="37">
        <f t="shared" si="0"/>
        <v>79462.320367300097</v>
      </c>
      <c r="C15" s="33"/>
      <c r="D15" s="37">
        <f>IF( ISERROR(IND_rest_gas_kWh/1000),0,IND_rest_gas_kWh/1000)*0.902</f>
        <v>252631.3349273334</v>
      </c>
      <c r="E15" s="33">
        <f>C37*'E Balans VL '!I15/100/3.6*1000000</f>
        <v>717.12864864800667</v>
      </c>
      <c r="F15" s="33">
        <f>C37*'E Balans VL '!L15/100/3.6*1000000+C37*'E Balans VL '!N15/100/3.6*1000000</f>
        <v>15885.155911962891</v>
      </c>
      <c r="G15" s="34"/>
      <c r="H15" s="33"/>
      <c r="I15" s="33"/>
      <c r="J15" s="40">
        <f>C37*'E Balans VL '!D15/100/3.6*1000000+C37*'E Balans VL '!E15/100/3.6*1000000</f>
        <v>535.0477914816513</v>
      </c>
      <c r="K15" s="33"/>
      <c r="L15" s="33"/>
      <c r="M15" s="33"/>
      <c r="N15" s="33">
        <f>C37*'E Balans VL '!Y15/100/3.6*1000000</f>
        <v>1429.9925483478785</v>
      </c>
      <c r="O15" s="33"/>
      <c r="P15" s="33"/>
      <c r="R15" s="32"/>
    </row>
    <row r="16" spans="1:18">
      <c r="A16" s="16" t="s">
        <v>497</v>
      </c>
      <c r="B16" s="248">
        <f>'lokale energieproductie'!N89+'lokale energieproductie'!N58</f>
        <v>3627</v>
      </c>
      <c r="C16" s="248">
        <f>'lokale energieproductie'!O89+'lokale energieproductie'!O58</f>
        <v>5181.4285714285716</v>
      </c>
      <c r="D16" s="311">
        <f>('lokale energieproductie'!P58+'lokale energieproductie'!P89)*(-1)</f>
        <v>-10362.857142857143</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301137.27428300888</v>
      </c>
      <c r="C18" s="21">
        <f>C5+C16</f>
        <v>5181.4285714285716</v>
      </c>
      <c r="D18" s="21">
        <f>MAX((D5+D16),0)</f>
        <v>353300.29486718157</v>
      </c>
      <c r="E18" s="21">
        <f>MAX((E5+E16),0)</f>
        <v>2963.6110618511816</v>
      </c>
      <c r="F18" s="21">
        <f>MAX((F5+F16),0)</f>
        <v>71600.592336907634</v>
      </c>
      <c r="G18" s="21"/>
      <c r="H18" s="21"/>
      <c r="I18" s="21"/>
      <c r="J18" s="21">
        <f>MAX((J5+J16),0)</f>
        <v>2656.7996850063673</v>
      </c>
      <c r="K18" s="21"/>
      <c r="L18" s="21">
        <f>MAX((L5+L16),0)</f>
        <v>0</v>
      </c>
      <c r="M18" s="21"/>
      <c r="N18" s="21">
        <f>MAX((N5+N16),0)</f>
        <v>5963.8871266017677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0.21099903359659714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63539.673853628279</v>
      </c>
      <c r="C22" s="23">
        <f ca="1">C18*C20</f>
        <v>1231.3512605042019</v>
      </c>
      <c r="D22" s="23">
        <f>D18*D20</f>
        <v>71366.659563170688</v>
      </c>
      <c r="E22" s="23">
        <f>E18*E20</f>
        <v>672.73971104021825</v>
      </c>
      <c r="F22" s="23">
        <f>F18*F20</f>
        <v>19117.358153954337</v>
      </c>
      <c r="G22" s="23"/>
      <c r="H22" s="23"/>
      <c r="I22" s="23"/>
      <c r="J22" s="23">
        <f>J18*J20</f>
        <v>940.50708849225396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85883.607697552288</v>
      </c>
      <c r="C30" s="39">
        <f>IF(ISERROR(B30*3.6/1000000/'E Balans VL '!Z18*100),0,B30*3.6/1000000/'E Balans VL '!Z18*100)</f>
        <v>5.7173242093517089</v>
      </c>
      <c r="D30" s="238" t="s">
        <v>720</v>
      </c>
    </row>
    <row r="31" spans="1:18">
      <c r="A31" s="6" t="s">
        <v>33</v>
      </c>
      <c r="B31" s="37">
        <f>IF( ISERROR(IND_ander_ele_kWh/1000),0,IND_ander_ele_kWh/1000)</f>
        <v>40169.355285235702</v>
      </c>
      <c r="C31" s="39">
        <f>IF(ISERROR(B31*3.6/1000000/'E Balans VL '!Z19*100),0,B31*3.6/1000000/'E Balans VL '!Z19*100)</f>
        <v>1.7805483307744323</v>
      </c>
      <c r="D31" s="238" t="s">
        <v>720</v>
      </c>
    </row>
    <row r="32" spans="1:18">
      <c r="A32" s="172" t="s">
        <v>41</v>
      </c>
      <c r="B32" s="37">
        <f>IF( ISERROR(IND_voed_ele_kWh/1000),0,IND_voed_ele_kWh/1000)</f>
        <v>83543.401229242401</v>
      </c>
      <c r="C32" s="39">
        <f>IF(ISERROR(B32*3.6/1000000/'E Balans VL '!Z20*100),0,B32*3.6/1000000/'E Balans VL '!Z20*100)</f>
        <v>2.7905892560574035</v>
      </c>
      <c r="D32" s="238" t="s">
        <v>720</v>
      </c>
    </row>
    <row r="33" spans="1:5">
      <c r="A33" s="172" t="s">
        <v>40</v>
      </c>
      <c r="B33" s="37">
        <f>IF( ISERROR(IND_textiel_ele_kWh/1000),0,IND_textiel_ele_kWh/1000)</f>
        <v>1699.8294818470899</v>
      </c>
      <c r="C33" s="39">
        <f>IF(ISERROR(B33*3.6/1000000/'E Balans VL '!Z21*100),0,B33*3.6/1000000/'E Balans VL '!Z21*100)</f>
        <v>0.22378647115991099</v>
      </c>
      <c r="D33" s="238" t="s">
        <v>720</v>
      </c>
    </row>
    <row r="34" spans="1:5">
      <c r="A34" s="172" t="s">
        <v>37</v>
      </c>
      <c r="B34" s="37">
        <f>IF( ISERROR(IND_min_ele_kWh/1000),0,IND_min_ele_kWh/1000)</f>
        <v>365.90105322700197</v>
      </c>
      <c r="C34" s="39">
        <f>IF(ISERROR(B34*3.6/1000000/'E Balans VL '!Z22*100),0,B34*3.6/1000000/'E Balans VL '!Z22*100)</f>
        <v>7.1163735658047025E-2</v>
      </c>
      <c r="D34" s="238" t="s">
        <v>720</v>
      </c>
    </row>
    <row r="35" spans="1:5">
      <c r="A35" s="172" t="s">
        <v>39</v>
      </c>
      <c r="B35" s="37">
        <f>IF( ISERROR(IND_papier_ele_kWh/1000),0,IND_papier_ele_kWh/1000)</f>
        <v>6263.8463478826698</v>
      </c>
      <c r="C35" s="39">
        <f>IF(ISERROR(B35*3.6/1000000/'E Balans VL '!Z22*100),0,B35*3.6/1000000/'E Balans VL '!Z22*100)</f>
        <v>1.2182493102221288</v>
      </c>
      <c r="D35" s="238" t="s">
        <v>720</v>
      </c>
    </row>
    <row r="36" spans="1:5">
      <c r="A36" s="172" t="s">
        <v>34</v>
      </c>
      <c r="B36" s="37">
        <f>IF( ISERROR(IND_chemie_ele_kWh/1000),0,IND_chemie_ele_kWh/1000)</f>
        <v>122.0128207216445</v>
      </c>
      <c r="C36" s="39">
        <f>IF(ISERROR(B36*3.6/1000000/'E Balans VL '!Z24*100),0,B36*3.6/1000000/'E Balans VL '!Z24*100)</f>
        <v>2.8651896596796097E-3</v>
      </c>
      <c r="D36" s="238" t="s">
        <v>720</v>
      </c>
    </row>
    <row r="37" spans="1:5">
      <c r="A37" s="172" t="s">
        <v>271</v>
      </c>
      <c r="B37" s="37">
        <f>IF( ISERROR(IND_rest_ele_kWh/1000),0,IND_rest_ele_kWh/1000)</f>
        <v>79462.320367300097</v>
      </c>
      <c r="C37" s="39">
        <f>IF(ISERROR(B37*3.6/1000000/'E Balans VL '!Z15*100),0,B37*3.6/1000000/'E Balans VL '!Z15*100)</f>
        <v>0.59107020833933499</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1039.0399433162959</v>
      </c>
      <c r="C5" s="17">
        <f>'Eigen informatie GS &amp; warmtenet'!B60</f>
        <v>0</v>
      </c>
      <c r="D5" s="30">
        <f>IF(ISERROR(SUM(LB_lb_gas_kWh,LB_rest_gas_kWh,onbekend_gas_kWh)/1000),0,SUM(LB_lb_gas_kWh,LB_rest_gas_kWh,onbekend_gas_kWh)/1000)*0.902</f>
        <v>190758.33410093721</v>
      </c>
      <c r="E5" s="17">
        <f>B17*'E Balans VL '!I25/3.6*1000000/100</f>
        <v>10.881051229382859</v>
      </c>
      <c r="F5" s="17">
        <f>B17*('E Balans VL '!L25/3.6*1000000+'E Balans VL '!N25/3.6*1000000)/100</f>
        <v>5336.6745892463769</v>
      </c>
      <c r="G5" s="18"/>
      <c r="H5" s="17"/>
      <c r="I5" s="17"/>
      <c r="J5" s="17">
        <f>('E Balans VL '!D25+'E Balans VL '!E25)/3.6*1000000*landbouw!B17/100</f>
        <v>92.795580012035046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1039.0399433162959</v>
      </c>
      <c r="C8" s="21">
        <f>C5+C6</f>
        <v>0</v>
      </c>
      <c r="D8" s="21">
        <f>MAX((D5+D6),0)</f>
        <v>190758.33410093721</v>
      </c>
      <c r="E8" s="21">
        <f>MAX((E5+E6),0)</f>
        <v>10.881051229382859</v>
      </c>
      <c r="F8" s="21">
        <f>MAX((F5+F6),0)</f>
        <v>5336.6745892463769</v>
      </c>
      <c r="G8" s="21"/>
      <c r="H8" s="21"/>
      <c r="I8" s="21"/>
      <c r="J8" s="21">
        <f>MAX((J5+J6),0)</f>
        <v>92.795580012035046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0.21099903359659714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219.23642390800148</v>
      </c>
      <c r="C12" s="23">
        <f ca="1">C8*C10</f>
        <v>0</v>
      </c>
      <c r="D12" s="23">
        <f>D8*D10</f>
        <v>38533.183488389317</v>
      </c>
      <c r="E12" s="23">
        <f>E8*E10</f>
        <v>2.469998629069909</v>
      </c>
      <c r="F12" s="23">
        <f>F8*F10</f>
        <v>1424.8921153287827</v>
      </c>
      <c r="G12" s="23"/>
      <c r="H12" s="23"/>
      <c r="I12" s="23"/>
      <c r="J12" s="23">
        <f>J8*J10</f>
        <v>32.849635324260404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0.159928304453819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72.747229606047057</v>
      </c>
      <c r="C26" s="248">
        <f>B26*'GWP N2O_CH4'!B5</f>
        <v>1527.6918217269881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8.7111397705462945</v>
      </c>
      <c r="C27" s="248">
        <f>B27*'GWP N2O_CH4'!B5</f>
        <v>182.93393518147218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1.0130000027701476</v>
      </c>
      <c r="C28" s="248">
        <f>B28*'GWP N2O_CH4'!B4</f>
        <v>314.03000085874572</v>
      </c>
      <c r="D28" s="50"/>
    </row>
    <row r="29" spans="1:4">
      <c r="A29" s="41" t="s">
        <v>278</v>
      </c>
      <c r="B29" s="248">
        <f>B34*'ha_N2O bodem landbouw'!B4</f>
        <v>14.305329161636045</v>
      </c>
      <c r="C29" s="248">
        <f>B29*'GWP N2O_CH4'!B4</f>
        <v>4434.6520401071739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2.3641435258152576E-3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7.7759744008903313E-5</v>
      </c>
      <c r="C5" s="446" t="s">
        <v>212</v>
      </c>
      <c r="D5" s="431">
        <f>SUM(D6:D11)</f>
        <v>3.7696871973232868E-4</v>
      </c>
      <c r="E5" s="431">
        <f>SUM(E6:E11)</f>
        <v>4.3776979602367275E-2</v>
      </c>
      <c r="F5" s="444" t="s">
        <v>212</v>
      </c>
      <c r="G5" s="431">
        <f>SUM(G6:G11)</f>
        <v>8.2680554877391259</v>
      </c>
      <c r="H5" s="431">
        <f>SUM(H6:H11)</f>
        <v>1.2966197804584432</v>
      </c>
      <c r="I5" s="446" t="s">
        <v>212</v>
      </c>
      <c r="J5" s="446" t="s">
        <v>212</v>
      </c>
      <c r="K5" s="446" t="s">
        <v>212</v>
      </c>
      <c r="L5" s="446" t="s">
        <v>212</v>
      </c>
      <c r="M5" s="431">
        <f>SUM(M6:M11)</f>
        <v>0.4170218314989404</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2.2624831449527011E-5</v>
      </c>
      <c r="C6" s="432"/>
      <c r="D6" s="432">
        <f>vkm_2011_GW_PW*SUMIFS(TableVerdeelsleutelVkm[CNG],TableVerdeelsleutelVkm[Voertuigtype],"Lichte voertuigen")*SUMIFS(TableECFTransport[EnergieConsumptieFactor (PJ per km)],TableECFTransport[Index],CONCATENATE($A6,"_CNG_CNG"))</f>
        <v>9.7533018471406956E-5</v>
      </c>
      <c r="E6" s="434">
        <f>vkm_2011_GW_PW*SUMIFS(TableVerdeelsleutelVkm[LPG],TableVerdeelsleutelVkm[Voertuigtype],"Lichte voertuigen")*SUMIFS(TableECFTransport[EnergieConsumptieFactor (PJ per km)],TableECFTransport[Index],CONCATENATE($A6,"_LPG_LPG"))</f>
        <v>1.0147712121908892E-2</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1.2481964492946287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0.3286242586992032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6.9103842992462861E-2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0.38981090858566592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1.3366075869195514E-4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1.6839100871913593E-2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1.0155220421776562E-5</v>
      </c>
      <c r="C8" s="432"/>
      <c r="D8" s="434">
        <f>vkm_2011_NGW_PW*SUMIFS(TableVerdeelsleutelVkm[CNG],TableVerdeelsleutelVkm[Voertuigtype],"Lichte voertuigen")*SUMIFS(TableECFTransport[EnergieConsumptieFactor (PJ per km)],TableECFTransport[Index],CONCATENATE($A8,"_CNG_CNG"))</f>
        <v>7.8538753085476249E-5</v>
      </c>
      <c r="E8" s="434">
        <f>vkm_2011_NGW_PW*SUMIFS(TableVerdeelsleutelVkm[LPG],TableVerdeelsleutelVkm[Voertuigtype],"Lichte voertuigen")*SUMIFS(TableECFTransport[EnergieConsumptieFactor (PJ per km)],TableECFTransport[Index],CONCATENATE($A8,"_LPG_LPG"))</f>
        <v>7.4611630736075617E-3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0.87045885203435291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0.25260324239688248</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4.9275144621164592E-2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0.11536147184482776</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3.436315179224362E-5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4.9831591920975939E-3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4.497969213759974E-5</v>
      </c>
      <c r="C10" s="432"/>
      <c r="D10" s="434">
        <f>vkm_2011_SW_PW*SUMIFS(TableVerdeelsleutelVkm[CNG],TableVerdeelsleutelVkm[Voertuigtype],"Lichte voertuigen")*SUMIFS(TableECFTransport[EnergieConsumptieFactor (PJ per km)],TableECFTransport[Index],CONCATENATE($A10,"_CNG_CNG"))</f>
        <v>2.0089694817544549E-4</v>
      </c>
      <c r="E10" s="434">
        <f>vkm_2011_SW_PW*SUMIFS(TableVerdeelsleutelVkm[LPG],TableVerdeelsleutelVkm[Voertuigtype],"Lichte voertuigen")*SUMIFS(TableECFTransport[EnergieConsumptieFactor (PJ per km)],TableECFTransport[Index],CONCATENATE($A10,"_LPG_LPG"))</f>
        <v>2.6168104406850825E-2</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2.9591258931682827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0.7142419227678698</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0.16082636001320355</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2.6851019128113669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9.8233268400344312E-4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0.11599422380809819</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21.599928891362033</v>
      </c>
      <c r="C14" s="21"/>
      <c r="D14" s="21">
        <f t="shared" ref="D14:M14" si="0">((D5)*10^9/3600)+D12</f>
        <v>104.71353325898019</v>
      </c>
      <c r="E14" s="21">
        <f t="shared" si="0"/>
        <v>12160.272111768687</v>
      </c>
      <c r="F14" s="21"/>
      <c r="G14" s="21">
        <f t="shared" si="0"/>
        <v>2296682.0799275353</v>
      </c>
      <c r="H14" s="21">
        <f t="shared" si="0"/>
        <v>360172.16123845644</v>
      </c>
      <c r="I14" s="21"/>
      <c r="J14" s="21"/>
      <c r="K14" s="21"/>
      <c r="L14" s="21"/>
      <c r="M14" s="21">
        <f t="shared" si="0"/>
        <v>115839.39763859456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0.21099903359659714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4.5575641218326064</v>
      </c>
      <c r="C18" s="23"/>
      <c r="D18" s="23">
        <f t="shared" ref="D18:M18" si="1">D14*D16</f>
        <v>21.152133718314001</v>
      </c>
      <c r="E18" s="23">
        <f t="shared" si="1"/>
        <v>2760.3817693714918</v>
      </c>
      <c r="F18" s="23"/>
      <c r="G18" s="23">
        <f t="shared" si="1"/>
        <v>613214.11534065194</v>
      </c>
      <c r="H18" s="23">
        <f t="shared" si="1"/>
        <v>89682.868148375652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0.10884173438051793</v>
      </c>
      <c r="C50" s="322">
        <f t="shared" ref="C50:P50" si="2">SUM(C51:C52)</f>
        <v>0</v>
      </c>
      <c r="D50" s="322">
        <f t="shared" si="2"/>
        <v>0</v>
      </c>
      <c r="E50" s="322">
        <f t="shared" si="2"/>
        <v>0</v>
      </c>
      <c r="F50" s="322">
        <f t="shared" si="2"/>
        <v>0</v>
      </c>
      <c r="G50" s="322">
        <f t="shared" si="2"/>
        <v>0.1913302456290559</v>
      </c>
      <c r="H50" s="322">
        <f t="shared" si="2"/>
        <v>0</v>
      </c>
      <c r="I50" s="322">
        <f t="shared" si="2"/>
        <v>0</v>
      </c>
      <c r="J50" s="322">
        <f t="shared" si="2"/>
        <v>0</v>
      </c>
      <c r="K50" s="322">
        <f t="shared" si="2"/>
        <v>0</v>
      </c>
      <c r="L50" s="322">
        <f t="shared" si="2"/>
        <v>0</v>
      </c>
      <c r="M50" s="322">
        <f t="shared" si="2"/>
        <v>8.1555771413979981E-3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0.1913302456290559</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8.1555771413979981E-3</v>
      </c>
      <c r="N51" s="324"/>
      <c r="O51" s="324"/>
      <c r="P51" s="327"/>
    </row>
    <row r="52" spans="1:18">
      <c r="A52" s="4" t="s">
        <v>331</v>
      </c>
      <c r="B52" s="328">
        <f>vkm_2011_tram*SUMIFS(TableECFTransport[EnergieConsumptieFactor (PJ per km)],TableECFTransport[Index],"Tram_gemiddeld_Electric_Electric")</f>
        <v>0.10884173438051793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30233.815105699425</v>
      </c>
      <c r="C54" s="21">
        <f t="shared" ref="C54:P54" si="3">(C50)*10^9/3600</f>
        <v>0</v>
      </c>
      <c r="D54" s="21">
        <f t="shared" si="3"/>
        <v>0</v>
      </c>
      <c r="E54" s="21">
        <f t="shared" si="3"/>
        <v>0</v>
      </c>
      <c r="F54" s="21">
        <f t="shared" si="3"/>
        <v>0</v>
      </c>
      <c r="G54" s="21">
        <f t="shared" si="3"/>
        <v>53147.290452515525</v>
      </c>
      <c r="H54" s="21">
        <f t="shared" si="3"/>
        <v>0</v>
      </c>
      <c r="I54" s="21">
        <f t="shared" si="3"/>
        <v>0</v>
      </c>
      <c r="J54" s="21">
        <f t="shared" si="3"/>
        <v>0</v>
      </c>
      <c r="K54" s="21">
        <f t="shared" si="3"/>
        <v>0</v>
      </c>
      <c r="L54" s="21">
        <f t="shared" si="3"/>
        <v>0</v>
      </c>
      <c r="M54" s="21">
        <f t="shared" si="3"/>
        <v>2265.4380948327771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0.21099903359659714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6379.3057692407792</v>
      </c>
      <c r="C58" s="23">
        <f t="shared" ref="C58:P58" ca="1" si="4">C54*C56</f>
        <v>0</v>
      </c>
      <c r="D58" s="23">
        <f t="shared" si="4"/>
        <v>0</v>
      </c>
      <c r="E58" s="23">
        <f t="shared" si="4"/>
        <v>0</v>
      </c>
      <c r="F58" s="23">
        <f t="shared" si="4"/>
        <v>0</v>
      </c>
      <c r="G58" s="23">
        <f t="shared" si="4"/>
        <v>14190.326550821646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4"/>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44600.453796571965</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29429.17595335377</v>
      </c>
      <c r="C6" s="1124"/>
      <c r="D6" s="1127"/>
      <c r="E6" s="1127"/>
      <c r="F6" s="1130"/>
      <c r="G6" s="1133"/>
      <c r="H6" s="1121"/>
      <c r="I6" s="1127"/>
      <c r="J6" s="1127"/>
      <c r="K6" s="1127"/>
      <c r="L6" s="1157"/>
      <c r="M6" s="559"/>
      <c r="N6" s="1169"/>
      <c r="O6" s="1170"/>
      <c r="Q6" s="557"/>
      <c r="R6" s="1154"/>
      <c r="S6" s="1154"/>
    </row>
    <row r="7" spans="1:19" s="547" customFormat="1">
      <c r="A7" s="560" t="s">
        <v>253</v>
      </c>
      <c r="B7" s="561">
        <f>N57</f>
        <v>11247.75</v>
      </c>
      <c r="C7" s="562">
        <f>B100</f>
        <v>13232.647058823532</v>
      </c>
      <c r="D7" s="563"/>
      <c r="E7" s="563">
        <f>E100</f>
        <v>0</v>
      </c>
      <c r="F7" s="564"/>
      <c r="G7" s="565"/>
      <c r="H7" s="563">
        <f>I100</f>
        <v>0</v>
      </c>
      <c r="I7" s="563">
        <f>G100+F100</f>
        <v>0</v>
      </c>
      <c r="J7" s="563">
        <f>H100+D100+C100</f>
        <v>0</v>
      </c>
      <c r="K7" s="563"/>
      <c r="L7" s="566"/>
      <c r="M7" s="567">
        <f>C7*$C$11+D7*$D$11+E7*$E$11+F7*$F$11+G7*$G$11+H7*$H$11+I7*$I$11+J7*$J$11</f>
        <v>2672.9947058823536</v>
      </c>
      <c r="N7" s="1169"/>
      <c r="O7" s="1170"/>
      <c r="Q7" s="557"/>
      <c r="R7" s="1154"/>
      <c r="S7" s="1154"/>
    </row>
    <row r="8" spans="1:19" s="547" customFormat="1" ht="17.45" customHeight="1" thickBot="1">
      <c r="A8" s="568" t="s">
        <v>249</v>
      </c>
      <c r="B8" s="569">
        <f>N88+'Eigen informatie GS &amp; warmtenet'!B12</f>
        <v>19768.5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105045.87974992573</v>
      </c>
      <c r="C9" s="578">
        <f t="shared" ref="C9:L9" si="0">SUM(C7:C8)</f>
        <v>13232.647058823532</v>
      </c>
      <c r="D9" s="578">
        <f t="shared" si="0"/>
        <v>0</v>
      </c>
      <c r="E9" s="578">
        <f t="shared" si="0"/>
        <v>0</v>
      </c>
      <c r="F9" s="578">
        <f t="shared" si="0"/>
        <v>0</v>
      </c>
      <c r="G9" s="578">
        <f t="shared" si="0"/>
        <v>0</v>
      </c>
      <c r="H9" s="578">
        <f t="shared" si="0"/>
        <v>0</v>
      </c>
      <c r="I9" s="578">
        <f t="shared" si="0"/>
        <v>0</v>
      </c>
      <c r="J9" s="578">
        <f t="shared" si="0"/>
        <v>56481.428571428572</v>
      </c>
      <c r="K9" s="578">
        <f t="shared" si="0"/>
        <v>0</v>
      </c>
      <c r="L9" s="578">
        <f t="shared" si="0"/>
        <v>0</v>
      </c>
      <c r="M9" s="579">
        <f>SUM(M4:M8)</f>
        <v>2672.9947058823536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16068.214285714286</v>
      </c>
      <c r="C16" s="594">
        <f>B101</f>
        <v>18903.781512605045</v>
      </c>
      <c r="D16" s="595"/>
      <c r="E16" s="595">
        <f>E101</f>
        <v>0</v>
      </c>
      <c r="F16" s="596"/>
      <c r="G16" s="597"/>
      <c r="H16" s="594">
        <f>I101</f>
        <v>0</v>
      </c>
      <c r="I16" s="595">
        <f>G101+F101</f>
        <v>0</v>
      </c>
      <c r="J16" s="595">
        <f>H101+D101+C101</f>
        <v>0</v>
      </c>
      <c r="K16" s="595"/>
      <c r="L16" s="598"/>
      <c r="M16" s="599">
        <f>C16*$C$21+E16*$E$21+H16*$H$21+I16*$I$21+J16*$J$21+D16*$D$21+F16*$F$21+G16*$G$21+K16*$K$21+L16*$L$21</f>
        <v>3818.5638655462194</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16068.214285714286</v>
      </c>
      <c r="C19" s="577">
        <f>SUM(C16:C18)</f>
        <v>18903.781512605045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3818.5638655462194</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11002</v>
      </c>
      <c r="C27" s="839">
        <v>2018</v>
      </c>
      <c r="D27" s="656" t="s">
        <v>894</v>
      </c>
      <c r="E27" s="655" t="s">
        <v>895</v>
      </c>
      <c r="F27" s="655" t="s">
        <v>896</v>
      </c>
      <c r="G27" s="655" t="s">
        <v>897</v>
      </c>
      <c r="H27" s="655" t="s">
        <v>898</v>
      </c>
      <c r="I27" s="655" t="s">
        <v>895</v>
      </c>
      <c r="J27" s="838">
        <v>40470</v>
      </c>
      <c r="K27" s="838">
        <v>40756</v>
      </c>
      <c r="L27" s="655" t="s">
        <v>899</v>
      </c>
      <c r="M27" s="655">
        <v>60</v>
      </c>
      <c r="N27" s="655">
        <v>90</v>
      </c>
      <c r="O27" s="655">
        <v>128.57142857142858</v>
      </c>
      <c r="P27" s="655">
        <v>257.14285714285717</v>
      </c>
      <c r="Q27" s="655">
        <v>0</v>
      </c>
      <c r="R27" s="655">
        <v>0</v>
      </c>
      <c r="S27" s="655">
        <v>0</v>
      </c>
      <c r="T27" s="655">
        <v>0</v>
      </c>
      <c r="U27" s="655">
        <v>0</v>
      </c>
      <c r="V27" s="655">
        <v>0</v>
      </c>
      <c r="W27" s="655">
        <v>0</v>
      </c>
      <c r="X27" s="655">
        <v>1500</v>
      </c>
      <c r="Y27" s="655" t="s">
        <v>51</v>
      </c>
      <c r="Z27" s="657" t="s">
        <v>156</v>
      </c>
    </row>
    <row r="28" spans="1:26" s="609" customFormat="1" ht="38.25">
      <c r="A28" s="608"/>
      <c r="B28" s="839">
        <v>11002</v>
      </c>
      <c r="C28" s="839">
        <v>2018</v>
      </c>
      <c r="D28" s="656" t="s">
        <v>900</v>
      </c>
      <c r="E28" s="655" t="s">
        <v>901</v>
      </c>
      <c r="F28" s="655" t="s">
        <v>902</v>
      </c>
      <c r="G28" s="655" t="s">
        <v>897</v>
      </c>
      <c r="H28" s="655" t="s">
        <v>898</v>
      </c>
      <c r="I28" s="655" t="s">
        <v>901</v>
      </c>
      <c r="J28" s="838">
        <v>39370</v>
      </c>
      <c r="K28" s="838">
        <v>39448</v>
      </c>
      <c r="L28" s="655" t="s">
        <v>899</v>
      </c>
      <c r="M28" s="655">
        <v>220</v>
      </c>
      <c r="N28" s="655">
        <v>990</v>
      </c>
      <c r="O28" s="655">
        <v>1414.2857142857142</v>
      </c>
      <c r="P28" s="655">
        <v>2828.5714285714289</v>
      </c>
      <c r="Q28" s="655">
        <v>0</v>
      </c>
      <c r="R28" s="655">
        <v>0</v>
      </c>
      <c r="S28" s="655">
        <v>0</v>
      </c>
      <c r="T28" s="655">
        <v>0</v>
      </c>
      <c r="U28" s="655">
        <v>0</v>
      </c>
      <c r="V28" s="655">
        <v>0</v>
      </c>
      <c r="W28" s="655">
        <v>0</v>
      </c>
      <c r="X28" s="655">
        <v>1500</v>
      </c>
      <c r="Y28" s="655" t="s">
        <v>51</v>
      </c>
      <c r="Z28" s="657" t="s">
        <v>156</v>
      </c>
    </row>
    <row r="29" spans="1:26" s="609" customFormat="1" ht="25.5">
      <c r="A29" s="608"/>
      <c r="B29" s="839">
        <v>11002</v>
      </c>
      <c r="C29" s="839">
        <v>2170</v>
      </c>
      <c r="D29" s="656" t="s">
        <v>903</v>
      </c>
      <c r="E29" s="655" t="s">
        <v>904</v>
      </c>
      <c r="F29" s="655" t="s">
        <v>905</v>
      </c>
      <c r="G29" s="655" t="s">
        <v>897</v>
      </c>
      <c r="H29" s="655" t="s">
        <v>898</v>
      </c>
      <c r="I29" s="655" t="s">
        <v>904</v>
      </c>
      <c r="J29" s="838">
        <v>39797</v>
      </c>
      <c r="K29" s="838">
        <v>39812</v>
      </c>
      <c r="L29" s="655" t="s">
        <v>899</v>
      </c>
      <c r="M29" s="655">
        <v>806</v>
      </c>
      <c r="N29" s="655">
        <v>3627</v>
      </c>
      <c r="O29" s="655">
        <v>5181.4285714285716</v>
      </c>
      <c r="P29" s="655">
        <v>10362.857142857143</v>
      </c>
      <c r="Q29" s="655">
        <v>0</v>
      </c>
      <c r="R29" s="655">
        <v>0</v>
      </c>
      <c r="S29" s="655">
        <v>0</v>
      </c>
      <c r="T29" s="655">
        <v>0</v>
      </c>
      <c r="U29" s="655">
        <v>0</v>
      </c>
      <c r="V29" s="655">
        <v>0</v>
      </c>
      <c r="W29" s="655">
        <v>0</v>
      </c>
      <c r="X29" s="655">
        <v>500</v>
      </c>
      <c r="Y29" s="655" t="s">
        <v>41</v>
      </c>
      <c r="Z29" s="657" t="s">
        <v>392</v>
      </c>
    </row>
    <row r="30" spans="1:26" s="609" customFormat="1" ht="38.25">
      <c r="A30" s="608"/>
      <c r="B30" s="839">
        <v>11002</v>
      </c>
      <c r="C30" s="839">
        <v>2610</v>
      </c>
      <c r="D30" s="656" t="s">
        <v>906</v>
      </c>
      <c r="E30" s="655" t="s">
        <v>907</v>
      </c>
      <c r="F30" s="655" t="s">
        <v>908</v>
      </c>
      <c r="G30" s="655" t="s">
        <v>897</v>
      </c>
      <c r="H30" s="655" t="s">
        <v>898</v>
      </c>
      <c r="I30" s="655" t="s">
        <v>909</v>
      </c>
      <c r="J30" s="838">
        <v>37264</v>
      </c>
      <c r="K30" s="838">
        <v>38504</v>
      </c>
      <c r="L30" s="655" t="s">
        <v>899</v>
      </c>
      <c r="M30" s="655">
        <v>828</v>
      </c>
      <c r="N30" s="655">
        <v>3726</v>
      </c>
      <c r="O30" s="655">
        <v>5322.8571428571431</v>
      </c>
      <c r="P30" s="655">
        <v>10645.714285714286</v>
      </c>
      <c r="Q30" s="655">
        <v>0</v>
      </c>
      <c r="R30" s="655">
        <v>0</v>
      </c>
      <c r="S30" s="655">
        <v>0</v>
      </c>
      <c r="T30" s="655">
        <v>0</v>
      </c>
      <c r="U30" s="655">
        <v>0</v>
      </c>
      <c r="V30" s="655">
        <v>0</v>
      </c>
      <c r="W30" s="655">
        <v>0</v>
      </c>
      <c r="X30" s="655">
        <v>1500</v>
      </c>
      <c r="Y30" s="655" t="s">
        <v>51</v>
      </c>
      <c r="Z30" s="657" t="s">
        <v>156</v>
      </c>
    </row>
    <row r="31" spans="1:26" s="609" customFormat="1" ht="38.25">
      <c r="A31" s="608"/>
      <c r="B31" s="839">
        <v>11002</v>
      </c>
      <c r="C31" s="839">
        <v>2020</v>
      </c>
      <c r="D31" s="656" t="s">
        <v>910</v>
      </c>
      <c r="E31" s="655" t="s">
        <v>911</v>
      </c>
      <c r="F31" s="655" t="s">
        <v>912</v>
      </c>
      <c r="G31" s="655" t="s">
        <v>897</v>
      </c>
      <c r="H31" s="655" t="s">
        <v>898</v>
      </c>
      <c r="I31" s="655" t="s">
        <v>911</v>
      </c>
      <c r="J31" s="838">
        <v>40483</v>
      </c>
      <c r="K31" s="838">
        <v>40603</v>
      </c>
      <c r="L31" s="655" t="s">
        <v>899</v>
      </c>
      <c r="M31" s="655">
        <v>834</v>
      </c>
      <c r="N31" s="655">
        <v>2814.75</v>
      </c>
      <c r="O31" s="655">
        <v>4021.0714285714284</v>
      </c>
      <c r="P31" s="655">
        <v>8042.1428571428578</v>
      </c>
      <c r="Q31" s="655">
        <v>0</v>
      </c>
      <c r="R31" s="655">
        <v>0</v>
      </c>
      <c r="S31" s="655">
        <v>0</v>
      </c>
      <c r="T31" s="655">
        <v>0</v>
      </c>
      <c r="U31" s="655">
        <v>0</v>
      </c>
      <c r="V31" s="655">
        <v>0</v>
      </c>
      <c r="W31" s="655">
        <v>0</v>
      </c>
      <c r="X31" s="655">
        <v>1500</v>
      </c>
      <c r="Y31" s="655" t="s">
        <v>51</v>
      </c>
      <c r="Z31" s="657" t="s">
        <v>156</v>
      </c>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2748</v>
      </c>
      <c r="N57" s="613">
        <f>SUM(N27:N56)</f>
        <v>11247.75</v>
      </c>
      <c r="O57" s="613">
        <f t="shared" ref="O57:W57" si="2">SUM(O27:O56)</f>
        <v>16068.214285714286</v>
      </c>
      <c r="P57" s="613">
        <f t="shared" si="2"/>
        <v>32136.428571428576</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806</v>
      </c>
      <c r="N58" s="613">
        <f t="shared" ref="N58:W58" si="3">SUMIF($Z$27:$Z$56,"industrie",N27:N56)</f>
        <v>3627</v>
      </c>
      <c r="O58" s="613">
        <f t="shared" si="3"/>
        <v>5181.4285714285716</v>
      </c>
      <c r="P58" s="613">
        <f t="shared" si="3"/>
        <v>10362.857142857143</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1942</v>
      </c>
      <c r="N59" s="613">
        <f ca="1">SUMIF($Z$27:AB56,"tertiair",N27:N56)</f>
        <v>7620.75</v>
      </c>
      <c r="O59" s="613">
        <f ca="1">SUMIF($Z$27:AC56,"tertiair",O27:O56)</f>
        <v>10886.785714285714</v>
      </c>
      <c r="P59" s="613">
        <f ca="1">SUMIF($Z$27:AD56,"tertiair",P27:P56)</f>
        <v>21773.571428571431</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11002</v>
      </c>
      <c r="C63" s="839">
        <v>2020</v>
      </c>
      <c r="D63" s="658" t="s">
        <v>913</v>
      </c>
      <c r="E63" s="658" t="s">
        <v>914</v>
      </c>
      <c r="F63" s="658" t="s">
        <v>915</v>
      </c>
      <c r="G63" s="658" t="s">
        <v>916</v>
      </c>
      <c r="H63" s="658" t="s">
        <v>917</v>
      </c>
      <c r="I63" s="658" t="s">
        <v>918</v>
      </c>
      <c r="J63" s="838">
        <v>38200</v>
      </c>
      <c r="K63" s="838">
        <v>38261</v>
      </c>
      <c r="L63" s="658" t="s">
        <v>919</v>
      </c>
      <c r="M63" s="658">
        <v>300</v>
      </c>
      <c r="N63" s="658">
        <v>1350</v>
      </c>
      <c r="O63" s="658">
        <v>0</v>
      </c>
      <c r="P63" s="658">
        <v>0</v>
      </c>
      <c r="Q63" s="658">
        <v>3857.1428571428573</v>
      </c>
      <c r="R63" s="658">
        <v>0</v>
      </c>
      <c r="S63" s="658">
        <v>0</v>
      </c>
      <c r="T63" s="658">
        <v>0</v>
      </c>
      <c r="U63" s="658">
        <v>0</v>
      </c>
      <c r="V63" s="658">
        <v>0</v>
      </c>
      <c r="W63" s="658">
        <v>0</v>
      </c>
      <c r="X63" s="658">
        <v>1600</v>
      </c>
      <c r="Y63" s="658" t="s">
        <v>50</v>
      </c>
      <c r="Z63" s="659" t="s">
        <v>156</v>
      </c>
    </row>
    <row r="64" spans="1:26" s="624" customFormat="1" ht="63.75">
      <c r="A64" s="610"/>
      <c r="B64" s="839">
        <v>11002</v>
      </c>
      <c r="C64" s="839">
        <v>2030</v>
      </c>
      <c r="D64" s="658" t="s">
        <v>920</v>
      </c>
      <c r="E64" s="658" t="s">
        <v>921</v>
      </c>
      <c r="F64" s="658" t="s">
        <v>922</v>
      </c>
      <c r="G64" s="658" t="s">
        <v>923</v>
      </c>
      <c r="H64" s="658" t="s">
        <v>917</v>
      </c>
      <c r="I64" s="658" t="s">
        <v>921</v>
      </c>
      <c r="J64" s="838">
        <v>38183</v>
      </c>
      <c r="K64" s="838">
        <v>38200</v>
      </c>
      <c r="L64" s="658" t="s">
        <v>899</v>
      </c>
      <c r="M64" s="658">
        <v>4093</v>
      </c>
      <c r="N64" s="658">
        <v>18418.5</v>
      </c>
      <c r="O64" s="658">
        <v>0</v>
      </c>
      <c r="P64" s="658">
        <v>0</v>
      </c>
      <c r="Q64" s="658">
        <v>0</v>
      </c>
      <c r="R64" s="658">
        <v>52624.285714285717</v>
      </c>
      <c r="S64" s="658">
        <v>0</v>
      </c>
      <c r="T64" s="658">
        <v>0</v>
      </c>
      <c r="U64" s="658">
        <v>0</v>
      </c>
      <c r="V64" s="658">
        <v>0</v>
      </c>
      <c r="W64" s="658">
        <v>0</v>
      </c>
      <c r="X64" s="658">
        <v>1600</v>
      </c>
      <c r="Y64" s="658" t="s">
        <v>50</v>
      </c>
      <c r="Z64" s="659" t="s">
        <v>156</v>
      </c>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4393</v>
      </c>
      <c r="N88" s="613">
        <f t="shared" ref="N88:W88" si="5">SUM(N63:N87)</f>
        <v>19768.5</v>
      </c>
      <c r="O88" s="613">
        <f t="shared" si="5"/>
        <v>0</v>
      </c>
      <c r="P88" s="613">
        <f t="shared" si="5"/>
        <v>0</v>
      </c>
      <c r="Q88" s="613">
        <f t="shared" si="5"/>
        <v>3857.1428571428573</v>
      </c>
      <c r="R88" s="613">
        <f t="shared" si="5"/>
        <v>52624.285714285717</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4393</v>
      </c>
      <c r="N90" s="613">
        <f t="shared" ref="N90:W90" si="7">SUMIF($Z$63:$Z$88,"tertiair",N63:N88)</f>
        <v>19768.5</v>
      </c>
      <c r="O90" s="613">
        <f t="shared" si="7"/>
        <v>0</v>
      </c>
      <c r="P90" s="613">
        <f t="shared" si="7"/>
        <v>0</v>
      </c>
      <c r="Q90" s="613">
        <f t="shared" si="7"/>
        <v>3857.1428571428573</v>
      </c>
      <c r="R90" s="613">
        <f t="shared" si="7"/>
        <v>52624.285714285717</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13232.647058823532</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18903.781512605045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1024687.2527673516</v>
      </c>
      <c r="D10" s="702">
        <f ca="1">tertiair!C16</f>
        <v>10886.785714285714</v>
      </c>
      <c r="E10" s="702">
        <f ca="1">tertiair!D16</f>
        <v>1413666.5123020848</v>
      </c>
      <c r="F10" s="702">
        <f>tertiair!E16</f>
        <v>23509.92016930048</v>
      </c>
      <c r="G10" s="702">
        <f ca="1">tertiair!F16</f>
        <v>183598.76448612357</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17.196666666666669</v>
      </c>
      <c r="Q10" s="703">
        <f>tertiair!P16</f>
        <v>705.4666666666667</v>
      </c>
      <c r="R10" s="705">
        <f ca="1">SUM(C10:Q10)</f>
        <v>2657071.8987724795</v>
      </c>
      <c r="S10" s="67"/>
    </row>
    <row r="11" spans="1:19" s="457" customFormat="1">
      <c r="A11" s="858" t="s">
        <v>226</v>
      </c>
      <c r="B11" s="863"/>
      <c r="C11" s="702">
        <f>huishoudens!B8</f>
        <v>696896.98905445531</v>
      </c>
      <c r="D11" s="702">
        <f>huishoudens!C8</f>
        <v>0</v>
      </c>
      <c r="E11" s="702">
        <f>huishoudens!D8</f>
        <v>2130237.8781593116</v>
      </c>
      <c r="F11" s="702">
        <f>huishoudens!E8</f>
        <v>35316.905854602148</v>
      </c>
      <c r="G11" s="702">
        <f>huishoudens!F8</f>
        <v>165397.35507070817</v>
      </c>
      <c r="H11" s="702">
        <f>huishoudens!G8</f>
        <v>0</v>
      </c>
      <c r="I11" s="702">
        <f>huishoudens!H8</f>
        <v>0</v>
      </c>
      <c r="J11" s="702">
        <f>huishoudens!I8</f>
        <v>0</v>
      </c>
      <c r="K11" s="702">
        <f>huishoudens!J8</f>
        <v>0</v>
      </c>
      <c r="L11" s="702">
        <f>huishoudens!K8</f>
        <v>0</v>
      </c>
      <c r="M11" s="702">
        <f>huishoudens!L8</f>
        <v>0</v>
      </c>
      <c r="N11" s="702">
        <f>huishoudens!M8</f>
        <v>0</v>
      </c>
      <c r="O11" s="702">
        <f>huishoudens!N8</f>
        <v>97926.254278199121</v>
      </c>
      <c r="P11" s="702">
        <f>huishoudens!O8</f>
        <v>478.38000000000005</v>
      </c>
      <c r="Q11" s="703">
        <f>huishoudens!P8</f>
        <v>476.66666666666663</v>
      </c>
      <c r="R11" s="705">
        <f>SUM(C11:Q11)</f>
        <v>3126730.4290839434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301137.27428300888</v>
      </c>
      <c r="D13" s="702">
        <f>industrie!C18</f>
        <v>5181.4285714285716</v>
      </c>
      <c r="E13" s="702">
        <f>industrie!D18</f>
        <v>353300.29486718157</v>
      </c>
      <c r="F13" s="702">
        <f>industrie!E18</f>
        <v>2963.6110618511816</v>
      </c>
      <c r="G13" s="702">
        <f>industrie!F18</f>
        <v>71600.592336907634</v>
      </c>
      <c r="H13" s="702">
        <f>industrie!G18</f>
        <v>0</v>
      </c>
      <c r="I13" s="702">
        <f>industrie!H18</f>
        <v>0</v>
      </c>
      <c r="J13" s="702">
        <f>industrie!I18</f>
        <v>0</v>
      </c>
      <c r="K13" s="702">
        <f>industrie!J18</f>
        <v>2656.7996850063673</v>
      </c>
      <c r="L13" s="702">
        <f>industrie!K18</f>
        <v>0</v>
      </c>
      <c r="M13" s="702">
        <f>industrie!L18</f>
        <v>0</v>
      </c>
      <c r="N13" s="702">
        <f>industrie!M18</f>
        <v>0</v>
      </c>
      <c r="O13" s="702">
        <f>industrie!N18</f>
        <v>5963.8871266017677</v>
      </c>
      <c r="P13" s="702">
        <f>industrie!O18</f>
        <v>0</v>
      </c>
      <c r="Q13" s="703">
        <f>industrie!P18</f>
        <v>0</v>
      </c>
      <c r="R13" s="705">
        <f>SUM(C13:Q13)</f>
        <v>742803.8879319859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2022721.5161048158</v>
      </c>
      <c r="D15" s="707">
        <f t="shared" ref="D15:Q15" ca="1" si="0">SUM(D9:D14)</f>
        <v>16068.214285714286</v>
      </c>
      <c r="E15" s="707">
        <f t="shared" ca="1" si="0"/>
        <v>3897204.6853285781</v>
      </c>
      <c r="F15" s="707">
        <f t="shared" si="0"/>
        <v>61790.437085753809</v>
      </c>
      <c r="G15" s="707">
        <f t="shared" ca="1" si="0"/>
        <v>420596.71189373941</v>
      </c>
      <c r="H15" s="707">
        <f t="shared" si="0"/>
        <v>0</v>
      </c>
      <c r="I15" s="707">
        <f t="shared" si="0"/>
        <v>0</v>
      </c>
      <c r="J15" s="707">
        <f t="shared" si="0"/>
        <v>0</v>
      </c>
      <c r="K15" s="707">
        <f t="shared" si="0"/>
        <v>2656.7996850063673</v>
      </c>
      <c r="L15" s="707">
        <f t="shared" si="0"/>
        <v>0</v>
      </c>
      <c r="M15" s="707">
        <f t="shared" ca="1" si="0"/>
        <v>0</v>
      </c>
      <c r="N15" s="707">
        <f t="shared" si="0"/>
        <v>0</v>
      </c>
      <c r="O15" s="707">
        <f t="shared" ca="1" si="0"/>
        <v>103890.14140480089</v>
      </c>
      <c r="P15" s="707">
        <f t="shared" si="0"/>
        <v>495.57666666666671</v>
      </c>
      <c r="Q15" s="708">
        <f t="shared" si="0"/>
        <v>1182.1333333333332</v>
      </c>
      <c r="R15" s="709">
        <f ca="1">SUM(R9:R14)</f>
        <v>6526606.2157884091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30233.815105699425</v>
      </c>
      <c r="D18" s="702">
        <f>transport!C54</f>
        <v>0</v>
      </c>
      <c r="E18" s="702">
        <f>transport!D54</f>
        <v>0</v>
      </c>
      <c r="F18" s="702">
        <f>transport!E54</f>
        <v>0</v>
      </c>
      <c r="G18" s="702">
        <f>transport!F54</f>
        <v>0</v>
      </c>
      <c r="H18" s="702">
        <f>transport!G54</f>
        <v>53147.290452515525</v>
      </c>
      <c r="I18" s="702">
        <f>transport!H54</f>
        <v>0</v>
      </c>
      <c r="J18" s="702">
        <f>transport!I54</f>
        <v>0</v>
      </c>
      <c r="K18" s="702">
        <f>transport!J54</f>
        <v>0</v>
      </c>
      <c r="L18" s="702">
        <f>transport!K54</f>
        <v>0</v>
      </c>
      <c r="M18" s="702">
        <f>transport!L54</f>
        <v>0</v>
      </c>
      <c r="N18" s="702">
        <f>transport!M54</f>
        <v>2265.4380948327771</v>
      </c>
      <c r="O18" s="702">
        <f>transport!N54</f>
        <v>0</v>
      </c>
      <c r="P18" s="702">
        <f>transport!O54</f>
        <v>0</v>
      </c>
      <c r="Q18" s="703">
        <f>transport!P54</f>
        <v>0</v>
      </c>
      <c r="R18" s="705">
        <f>SUM(C18:Q18)</f>
        <v>85646.543653047716</v>
      </c>
      <c r="S18" s="67"/>
    </row>
    <row r="19" spans="1:19" s="457" customFormat="1" ht="15" thickBot="1">
      <c r="A19" s="858" t="s">
        <v>308</v>
      </c>
      <c r="B19" s="863"/>
      <c r="C19" s="711">
        <f>transport!B14</f>
        <v>21.599928891362033</v>
      </c>
      <c r="D19" s="711">
        <f>transport!C14</f>
        <v>0</v>
      </c>
      <c r="E19" s="711">
        <f>transport!D14</f>
        <v>104.71353325898019</v>
      </c>
      <c r="F19" s="711">
        <f>transport!E14</f>
        <v>12160.272111768687</v>
      </c>
      <c r="G19" s="711">
        <f>transport!F14</f>
        <v>0</v>
      </c>
      <c r="H19" s="711">
        <f>transport!G14</f>
        <v>2296682.0799275353</v>
      </c>
      <c r="I19" s="711">
        <f>transport!H14</f>
        <v>360172.16123845644</v>
      </c>
      <c r="J19" s="711">
        <f>transport!I14</f>
        <v>0</v>
      </c>
      <c r="K19" s="711">
        <f>transport!J14</f>
        <v>0</v>
      </c>
      <c r="L19" s="711">
        <f>transport!K14</f>
        <v>0</v>
      </c>
      <c r="M19" s="711">
        <f>transport!L14</f>
        <v>0</v>
      </c>
      <c r="N19" s="711">
        <f>transport!M14</f>
        <v>115839.39763859456</v>
      </c>
      <c r="O19" s="711">
        <f>transport!N14</f>
        <v>0</v>
      </c>
      <c r="P19" s="711">
        <f>transport!O14</f>
        <v>0</v>
      </c>
      <c r="Q19" s="712">
        <f>transport!P14</f>
        <v>0</v>
      </c>
      <c r="R19" s="713">
        <f>SUM(C19:Q19)</f>
        <v>2784980.2243785057</v>
      </c>
      <c r="S19" s="67"/>
    </row>
    <row r="20" spans="1:19" s="457" customFormat="1" ht="15.75" thickBot="1">
      <c r="A20" s="714" t="s">
        <v>231</v>
      </c>
      <c r="B20" s="866"/>
      <c r="C20" s="861">
        <f>SUM(C17:C19)</f>
        <v>30255.415034590787</v>
      </c>
      <c r="D20" s="715">
        <f t="shared" ref="D20:R20" si="1">SUM(D17:D19)</f>
        <v>0</v>
      </c>
      <c r="E20" s="715">
        <f t="shared" si="1"/>
        <v>104.71353325898019</v>
      </c>
      <c r="F20" s="715">
        <f t="shared" si="1"/>
        <v>12160.272111768687</v>
      </c>
      <c r="G20" s="715">
        <f t="shared" si="1"/>
        <v>0</v>
      </c>
      <c r="H20" s="715">
        <f t="shared" si="1"/>
        <v>2349829.370380051</v>
      </c>
      <c r="I20" s="715">
        <f t="shared" si="1"/>
        <v>360172.16123845644</v>
      </c>
      <c r="J20" s="715">
        <f t="shared" si="1"/>
        <v>0</v>
      </c>
      <c r="K20" s="715">
        <f t="shared" si="1"/>
        <v>0</v>
      </c>
      <c r="L20" s="715">
        <f t="shared" si="1"/>
        <v>0</v>
      </c>
      <c r="M20" s="715">
        <f t="shared" si="1"/>
        <v>0</v>
      </c>
      <c r="N20" s="715">
        <f t="shared" si="1"/>
        <v>118104.83573342733</v>
      </c>
      <c r="O20" s="715">
        <f t="shared" si="1"/>
        <v>0</v>
      </c>
      <c r="P20" s="715">
        <f t="shared" si="1"/>
        <v>0</v>
      </c>
      <c r="Q20" s="716">
        <f t="shared" si="1"/>
        <v>0</v>
      </c>
      <c r="R20" s="717">
        <f t="shared" si="1"/>
        <v>2870626.7680315534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1039.0399433162959</v>
      </c>
      <c r="D22" s="711">
        <f>+landbouw!C8</f>
        <v>0</v>
      </c>
      <c r="E22" s="711">
        <f>+landbouw!D8</f>
        <v>190758.33410093721</v>
      </c>
      <c r="F22" s="711">
        <f>+landbouw!E8</f>
        <v>10.881051229382859</v>
      </c>
      <c r="G22" s="711">
        <f>+landbouw!F8</f>
        <v>5336.6745892463769</v>
      </c>
      <c r="H22" s="711">
        <f>+landbouw!G8</f>
        <v>0</v>
      </c>
      <c r="I22" s="711">
        <f>+landbouw!H8</f>
        <v>0</v>
      </c>
      <c r="J22" s="711">
        <f>+landbouw!I8</f>
        <v>0</v>
      </c>
      <c r="K22" s="711">
        <f>+landbouw!J8</f>
        <v>92.795580012035046</v>
      </c>
      <c r="L22" s="711">
        <f>+landbouw!K8</f>
        <v>0</v>
      </c>
      <c r="M22" s="711">
        <f>+landbouw!L8</f>
        <v>0</v>
      </c>
      <c r="N22" s="711">
        <f>+landbouw!M8</f>
        <v>0</v>
      </c>
      <c r="O22" s="711">
        <f>+landbouw!N8</f>
        <v>0</v>
      </c>
      <c r="P22" s="711">
        <f>+landbouw!O8</f>
        <v>0</v>
      </c>
      <c r="Q22" s="712">
        <f>+landbouw!P8</f>
        <v>0</v>
      </c>
      <c r="R22" s="713">
        <f>SUM(C22:Q22)</f>
        <v>197237.72526474125</v>
      </c>
      <c r="S22" s="67"/>
    </row>
    <row r="23" spans="1:19" s="457" customFormat="1" ht="17.25" thickTop="1" thickBot="1">
      <c r="A23" s="718" t="s">
        <v>116</v>
      </c>
      <c r="B23" s="852"/>
      <c r="C23" s="719">
        <f ca="1">C20+C15+C22</f>
        <v>2054015.9710827228</v>
      </c>
      <c r="D23" s="719">
        <f t="shared" ref="D23:Q23" ca="1" si="2">D20+D15+D22</f>
        <v>16068.214285714286</v>
      </c>
      <c r="E23" s="719">
        <f t="shared" ca="1" si="2"/>
        <v>4088067.7329627741</v>
      </c>
      <c r="F23" s="719">
        <f t="shared" si="2"/>
        <v>73961.590248751876</v>
      </c>
      <c r="G23" s="719">
        <f t="shared" ca="1" si="2"/>
        <v>425933.38648298581</v>
      </c>
      <c r="H23" s="719">
        <f t="shared" si="2"/>
        <v>2349829.370380051</v>
      </c>
      <c r="I23" s="719">
        <f t="shared" si="2"/>
        <v>360172.16123845644</v>
      </c>
      <c r="J23" s="719">
        <f t="shared" si="2"/>
        <v>0</v>
      </c>
      <c r="K23" s="719">
        <f t="shared" si="2"/>
        <v>2749.5952650184022</v>
      </c>
      <c r="L23" s="719">
        <f t="shared" si="2"/>
        <v>0</v>
      </c>
      <c r="M23" s="719">
        <f t="shared" ca="1" si="2"/>
        <v>0</v>
      </c>
      <c r="N23" s="719">
        <f t="shared" si="2"/>
        <v>118104.83573342733</v>
      </c>
      <c r="O23" s="719">
        <f t="shared" ca="1" si="2"/>
        <v>103890.14140480089</v>
      </c>
      <c r="P23" s="719">
        <f t="shared" si="2"/>
        <v>495.57666666666671</v>
      </c>
      <c r="Q23" s="720">
        <f t="shared" si="2"/>
        <v>1182.1333333333332</v>
      </c>
      <c r="R23" s="721">
        <f ca="1">R20+R15+R22</f>
        <v>9594470.7090847027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216208.0200726632</v>
      </c>
      <c r="D36" s="702">
        <f ca="1">tertiair!C20</f>
        <v>2587.212605042017</v>
      </c>
      <c r="E36" s="702">
        <f ca="1">tertiair!D20</f>
        <v>285560.63548502116</v>
      </c>
      <c r="F36" s="702">
        <f>tertiair!E20</f>
        <v>5336.7518784312088</v>
      </c>
      <c r="G36" s="702">
        <f ca="1">tertiair!F20</f>
        <v>49020.870117794999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558713.49015895254</v>
      </c>
    </row>
    <row r="37" spans="1:18">
      <c r="A37" s="873" t="s">
        <v>226</v>
      </c>
      <c r="B37" s="880"/>
      <c r="C37" s="702">
        <f ca="1">huishoudens!B12</f>
        <v>147044.59120686841</v>
      </c>
      <c r="D37" s="702">
        <f ca="1">huishoudens!C12</f>
        <v>0</v>
      </c>
      <c r="E37" s="702">
        <f>huishoudens!D12</f>
        <v>430308.05138818099</v>
      </c>
      <c r="F37" s="702">
        <f>huishoudens!E12</f>
        <v>8016.9376289946877</v>
      </c>
      <c r="G37" s="702">
        <f>huishoudens!F12</f>
        <v>44161.093803879085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629530.67402792326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63539.673853628279</v>
      </c>
      <c r="D39" s="702">
        <f ca="1">industrie!C22</f>
        <v>1231.3512605042019</v>
      </c>
      <c r="E39" s="702">
        <f>industrie!D22</f>
        <v>71366.659563170688</v>
      </c>
      <c r="F39" s="702">
        <f>industrie!E22</f>
        <v>672.73971104021825</v>
      </c>
      <c r="G39" s="702">
        <f>industrie!F22</f>
        <v>19117.358153954337</v>
      </c>
      <c r="H39" s="702">
        <f>industrie!G22</f>
        <v>0</v>
      </c>
      <c r="I39" s="702">
        <f>industrie!H22</f>
        <v>0</v>
      </c>
      <c r="J39" s="702">
        <f>industrie!I22</f>
        <v>0</v>
      </c>
      <c r="K39" s="702">
        <f>industrie!J22</f>
        <v>940.50708849225396</v>
      </c>
      <c r="L39" s="702">
        <f>industrie!K22</f>
        <v>0</v>
      </c>
      <c r="M39" s="702">
        <f>industrie!L22</f>
        <v>0</v>
      </c>
      <c r="N39" s="702">
        <f>industrie!M22</f>
        <v>0</v>
      </c>
      <c r="O39" s="702">
        <f>industrie!N22</f>
        <v>0</v>
      </c>
      <c r="P39" s="702">
        <f>industrie!O22</f>
        <v>0</v>
      </c>
      <c r="Q39" s="812">
        <f>industrie!P22</f>
        <v>0</v>
      </c>
      <c r="R39" s="906">
        <f ca="1">SUM(C39:Q39)</f>
        <v>156868.28963078998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426792.28513315989</v>
      </c>
      <c r="D41" s="747">
        <f t="shared" ref="D41:R41" ca="1" si="4">SUM(D35:D40)</f>
        <v>3818.5638655462189</v>
      </c>
      <c r="E41" s="747">
        <f t="shared" ca="1" si="4"/>
        <v>787235.34643637296</v>
      </c>
      <c r="F41" s="747">
        <f t="shared" si="4"/>
        <v>14026.429218466115</v>
      </c>
      <c r="G41" s="747">
        <f t="shared" ca="1" si="4"/>
        <v>112299.32207562843</v>
      </c>
      <c r="H41" s="747">
        <f t="shared" si="4"/>
        <v>0</v>
      </c>
      <c r="I41" s="747">
        <f t="shared" si="4"/>
        <v>0</v>
      </c>
      <c r="J41" s="747">
        <f t="shared" si="4"/>
        <v>0</v>
      </c>
      <c r="K41" s="747">
        <f t="shared" si="4"/>
        <v>940.50708849225396</v>
      </c>
      <c r="L41" s="747">
        <f t="shared" si="4"/>
        <v>0</v>
      </c>
      <c r="M41" s="747">
        <f t="shared" ca="1" si="4"/>
        <v>0</v>
      </c>
      <c r="N41" s="747">
        <f t="shared" si="4"/>
        <v>0</v>
      </c>
      <c r="O41" s="747">
        <f t="shared" ca="1" si="4"/>
        <v>0</v>
      </c>
      <c r="P41" s="747">
        <f t="shared" si="4"/>
        <v>0</v>
      </c>
      <c r="Q41" s="748">
        <f t="shared" si="4"/>
        <v>0</v>
      </c>
      <c r="R41" s="749">
        <f t="shared" ca="1" si="4"/>
        <v>1345112.4538176658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6379.3057692407792</v>
      </c>
      <c r="D44" s="702">
        <f ca="1">transport!C58</f>
        <v>0</v>
      </c>
      <c r="E44" s="702">
        <f>transport!D58</f>
        <v>0</v>
      </c>
      <c r="F44" s="702">
        <f>transport!E58</f>
        <v>0</v>
      </c>
      <c r="G44" s="702">
        <f>transport!F58</f>
        <v>0</v>
      </c>
      <c r="H44" s="702">
        <f>transport!G58</f>
        <v>14190.326550821646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20569.632320062425</v>
      </c>
    </row>
    <row r="45" spans="1:18" ht="15" thickBot="1">
      <c r="A45" s="876" t="s">
        <v>308</v>
      </c>
      <c r="B45" s="886"/>
      <c r="C45" s="711">
        <f ca="1">transport!B18</f>
        <v>4.5575641218326064</v>
      </c>
      <c r="D45" s="711">
        <f>transport!C18</f>
        <v>0</v>
      </c>
      <c r="E45" s="711">
        <f>transport!D18</f>
        <v>21.152133718314001</v>
      </c>
      <c r="F45" s="711">
        <f>transport!E18</f>
        <v>2760.3817693714918</v>
      </c>
      <c r="G45" s="711">
        <f>transport!F18</f>
        <v>0</v>
      </c>
      <c r="H45" s="711">
        <f>transport!G18</f>
        <v>613214.11534065194</v>
      </c>
      <c r="I45" s="711">
        <f>transport!H18</f>
        <v>89682.868148375652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705683.0749562392</v>
      </c>
    </row>
    <row r="46" spans="1:18" ht="15.75" thickBot="1">
      <c r="A46" s="874" t="s">
        <v>231</v>
      </c>
      <c r="B46" s="887"/>
      <c r="C46" s="747">
        <f t="shared" ref="C46:R46" ca="1" si="5">SUM(C43:C45)</f>
        <v>6383.8633333626121</v>
      </c>
      <c r="D46" s="747">
        <f t="shared" ca="1" si="5"/>
        <v>0</v>
      </c>
      <c r="E46" s="747">
        <f t="shared" si="5"/>
        <v>21.152133718314001</v>
      </c>
      <c r="F46" s="747">
        <f t="shared" si="5"/>
        <v>2760.3817693714918</v>
      </c>
      <c r="G46" s="747">
        <f t="shared" si="5"/>
        <v>0</v>
      </c>
      <c r="H46" s="747">
        <f t="shared" si="5"/>
        <v>627404.4418914736</v>
      </c>
      <c r="I46" s="747">
        <f t="shared" si="5"/>
        <v>89682.868148375652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726252.70727630157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219.23642390800148</v>
      </c>
      <c r="D48" s="702">
        <f ca="1">+landbouw!C12</f>
        <v>0</v>
      </c>
      <c r="E48" s="702">
        <f>+landbouw!D12</f>
        <v>38533.183488389317</v>
      </c>
      <c r="F48" s="702">
        <f>+landbouw!E12</f>
        <v>2.469998629069909</v>
      </c>
      <c r="G48" s="702">
        <f>+landbouw!F12</f>
        <v>1424.8921153287827</v>
      </c>
      <c r="H48" s="702">
        <f>+landbouw!G12</f>
        <v>0</v>
      </c>
      <c r="I48" s="702">
        <f>+landbouw!H12</f>
        <v>0</v>
      </c>
      <c r="J48" s="702">
        <f>+landbouw!I12</f>
        <v>0</v>
      </c>
      <c r="K48" s="702">
        <f>+landbouw!J12</f>
        <v>32.849635324260404</v>
      </c>
      <c r="L48" s="702">
        <f>+landbouw!K12</f>
        <v>0</v>
      </c>
      <c r="M48" s="702">
        <f>+landbouw!L12</f>
        <v>0</v>
      </c>
      <c r="N48" s="702">
        <f>+landbouw!M12</f>
        <v>0</v>
      </c>
      <c r="O48" s="702">
        <f>+landbouw!N12</f>
        <v>0</v>
      </c>
      <c r="P48" s="702">
        <f>+landbouw!O12</f>
        <v>0</v>
      </c>
      <c r="Q48" s="703">
        <f>+landbouw!P12</f>
        <v>0</v>
      </c>
      <c r="R48" s="745">
        <f ca="1">SUM(C48:Q48)</f>
        <v>40212.631661579428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433395.38489043049</v>
      </c>
      <c r="D53" s="757">
        <f t="shared" ref="D53:Q53" ca="1" si="6">D41+D46+D48</f>
        <v>3818.5638655462189</v>
      </c>
      <c r="E53" s="757">
        <f t="shared" ca="1" si="6"/>
        <v>825789.68205848068</v>
      </c>
      <c r="F53" s="757">
        <f t="shared" si="6"/>
        <v>16789.280986466674</v>
      </c>
      <c r="G53" s="757">
        <f t="shared" ca="1" si="6"/>
        <v>113724.21419095721</v>
      </c>
      <c r="H53" s="757">
        <f t="shared" si="6"/>
        <v>627404.4418914736</v>
      </c>
      <c r="I53" s="757">
        <f t="shared" si="6"/>
        <v>89682.868148375652</v>
      </c>
      <c r="J53" s="757">
        <f t="shared" si="6"/>
        <v>0</v>
      </c>
      <c r="K53" s="757">
        <f t="shared" si="6"/>
        <v>973.35672381651432</v>
      </c>
      <c r="L53" s="757">
        <f t="shared" si="6"/>
        <v>0</v>
      </c>
      <c r="M53" s="757">
        <f t="shared" ca="1" si="6"/>
        <v>0</v>
      </c>
      <c r="N53" s="757">
        <f t="shared" si="6"/>
        <v>0</v>
      </c>
      <c r="O53" s="757">
        <f t="shared" ca="1" si="6"/>
        <v>0</v>
      </c>
      <c r="P53" s="757">
        <f>P41+P46+P48</f>
        <v>0</v>
      </c>
      <c r="Q53" s="758">
        <f t="shared" si="6"/>
        <v>0</v>
      </c>
      <c r="R53" s="759">
        <f ca="1">R41+R46+R48</f>
        <v>2111577.792755547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0.21099903359659714</v>
      </c>
      <c r="D55" s="823">
        <f t="shared" ca="1" si="7"/>
        <v>0.23764705882352943</v>
      </c>
      <c r="E55" s="823">
        <f t="shared" ca="1" si="7"/>
        <v>0.20200000000000007</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44600.453796571965</v>
      </c>
      <c r="C64" s="779">
        <f>'lokale energieproductie'!B4</f>
        <v>44600.453796571965</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29429.17595335377</v>
      </c>
      <c r="C66" s="779">
        <f>'lokale energieproductie'!B6</f>
        <v>29429.17595335377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11247.75</v>
      </c>
      <c r="C67" s="778">
        <f>B67*IFERROR(SUM(J67:L67)/SUM(D67:M67),0)</f>
        <v>0</v>
      </c>
      <c r="D67" s="810">
        <f>'lokale energieproductie'!C7</f>
        <v>13232.647058823532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2672.9947058823536</v>
      </c>
      <c r="P67" s="910">
        <v>0</v>
      </c>
      <c r="Q67" s="769"/>
      <c r="R67" s="726"/>
    </row>
    <row r="68" spans="1:18" ht="30.75" thickBot="1">
      <c r="A68" s="785" t="s">
        <v>354</v>
      </c>
      <c r="B68" s="778">
        <f>'lokale energieproductie'!B8</f>
        <v>19768.5</v>
      </c>
      <c r="C68" s="778">
        <f>B68*IFERROR(SUM(J68:L68)/SUM(D68:M68),0)</f>
        <v>19768.5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56481.428571428572</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105045.87974992573</v>
      </c>
      <c r="C69" s="787">
        <f>SUM(C64:C68)</f>
        <v>93798.129749925734</v>
      </c>
      <c r="D69" s="788">
        <f t="shared" ref="D69:M69" si="8">SUM(D67:D68)</f>
        <v>13232.647058823532</v>
      </c>
      <c r="E69" s="788">
        <f t="shared" si="8"/>
        <v>0</v>
      </c>
      <c r="F69" s="788">
        <f t="shared" si="8"/>
        <v>0</v>
      </c>
      <c r="G69" s="788">
        <f t="shared" si="8"/>
        <v>0</v>
      </c>
      <c r="H69" s="788">
        <f t="shared" si="8"/>
        <v>0</v>
      </c>
      <c r="I69" s="788">
        <f t="shared" si="8"/>
        <v>0</v>
      </c>
      <c r="J69" s="788">
        <f t="shared" si="8"/>
        <v>0</v>
      </c>
      <c r="K69" s="788">
        <f t="shared" si="8"/>
        <v>56481.428571428572</v>
      </c>
      <c r="L69" s="788">
        <f t="shared" si="8"/>
        <v>0</v>
      </c>
      <c r="M69" s="918">
        <f t="shared" si="8"/>
        <v>0</v>
      </c>
      <c r="N69" s="789">
        <v>0</v>
      </c>
      <c r="O69" s="789">
        <f>SUM(O67:O68)</f>
        <v>2672.9947058823536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16068.214285714286</v>
      </c>
      <c r="C78" s="801">
        <f>B78*IFERROR(SUM(I78:L78)/SUM(D78:M78),0)</f>
        <v>0</v>
      </c>
      <c r="D78" s="816">
        <f>'lokale energieproductie'!C16</f>
        <v>18903.781512605045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3818.5638655462194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16068.214285714286</v>
      </c>
      <c r="C81" s="787">
        <f>SUM(C78:C80)</f>
        <v>0</v>
      </c>
      <c r="D81" s="787">
        <f t="shared" ref="D81:P81" si="9">SUM(D78:D80)</f>
        <v>18903.781512605045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3818.5638655462194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696896.98905445531</v>
      </c>
      <c r="C4" s="461">
        <f>huishoudens!C8</f>
        <v>0</v>
      </c>
      <c r="D4" s="461">
        <f>huishoudens!D8</f>
        <v>2130237.8781593116</v>
      </c>
      <c r="E4" s="461">
        <f>huishoudens!E8</f>
        <v>35316.905854602148</v>
      </c>
      <c r="F4" s="461">
        <f>huishoudens!F8</f>
        <v>165397.35507070817</v>
      </c>
      <c r="G4" s="461">
        <f>huishoudens!G8</f>
        <v>0</v>
      </c>
      <c r="H4" s="461">
        <f>huishoudens!H8</f>
        <v>0</v>
      </c>
      <c r="I4" s="461">
        <f>huishoudens!I8</f>
        <v>0</v>
      </c>
      <c r="J4" s="461">
        <f>huishoudens!J8</f>
        <v>0</v>
      </c>
      <c r="K4" s="461">
        <f>huishoudens!K8</f>
        <v>0</v>
      </c>
      <c r="L4" s="461">
        <f>huishoudens!L8</f>
        <v>0</v>
      </c>
      <c r="M4" s="461">
        <f>huishoudens!M8</f>
        <v>0</v>
      </c>
      <c r="N4" s="461">
        <f>huishoudens!N8</f>
        <v>97926.254278199121</v>
      </c>
      <c r="O4" s="461">
        <f>huishoudens!O8</f>
        <v>478.38000000000005</v>
      </c>
      <c r="P4" s="462">
        <f>huishoudens!P8</f>
        <v>476.66666666666663</v>
      </c>
      <c r="Q4" s="463">
        <f>SUM(B4:P4)</f>
        <v>3126730.4290839434</v>
      </c>
    </row>
    <row r="5" spans="1:17">
      <c r="A5" s="460" t="s">
        <v>156</v>
      </c>
      <c r="B5" s="461">
        <f ca="1">tertiair!B16</f>
        <v>998401.22476735152</v>
      </c>
      <c r="C5" s="461">
        <f ca="1">tertiair!C16</f>
        <v>10886.785714285714</v>
      </c>
      <c r="D5" s="461">
        <f ca="1">tertiair!D16</f>
        <v>1413666.5123020848</v>
      </c>
      <c r="E5" s="461">
        <f>tertiair!E16</f>
        <v>23509.92016930048</v>
      </c>
      <c r="F5" s="461">
        <f ca="1">tertiair!F16</f>
        <v>183598.76448612357</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17.196666666666669</v>
      </c>
      <c r="P5" s="462">
        <f>tertiair!P16</f>
        <v>705.4666666666667</v>
      </c>
      <c r="Q5" s="460">
        <f t="shared" ref="Q5:Q13" ca="1" si="0">SUM(B5:P5)</f>
        <v>2630785.8707724796</v>
      </c>
    </row>
    <row r="6" spans="1:17">
      <c r="A6" s="460" t="s">
        <v>195</v>
      </c>
      <c r="B6" s="461">
        <f>'openbare verlichting'!B8</f>
        <v>26286.027999999998</v>
      </c>
      <c r="C6" s="461"/>
      <c r="D6" s="461"/>
      <c r="E6" s="461"/>
      <c r="F6" s="461"/>
      <c r="G6" s="461"/>
      <c r="H6" s="461"/>
      <c r="I6" s="461"/>
      <c r="J6" s="461"/>
      <c r="K6" s="461"/>
      <c r="L6" s="461"/>
      <c r="M6" s="461"/>
      <c r="N6" s="461"/>
      <c r="O6" s="461"/>
      <c r="P6" s="462"/>
      <c r="Q6" s="460">
        <f t="shared" si="0"/>
        <v>26286.027999999998</v>
      </c>
    </row>
    <row r="7" spans="1:17">
      <c r="A7" s="460" t="s">
        <v>112</v>
      </c>
      <c r="B7" s="461">
        <f>landbouw!B8</f>
        <v>1039.0399433162959</v>
      </c>
      <c r="C7" s="461">
        <f>landbouw!C8</f>
        <v>0</v>
      </c>
      <c r="D7" s="461">
        <f>landbouw!D8</f>
        <v>190758.33410093721</v>
      </c>
      <c r="E7" s="461">
        <f>landbouw!E8</f>
        <v>10.881051229382859</v>
      </c>
      <c r="F7" s="461">
        <f>landbouw!F8</f>
        <v>5336.6745892463769</v>
      </c>
      <c r="G7" s="461">
        <f>landbouw!G8</f>
        <v>0</v>
      </c>
      <c r="H7" s="461">
        <f>landbouw!H8</f>
        <v>0</v>
      </c>
      <c r="I7" s="461">
        <f>landbouw!I8</f>
        <v>0</v>
      </c>
      <c r="J7" s="461">
        <f>landbouw!J8</f>
        <v>92.795580012035046</v>
      </c>
      <c r="K7" s="461">
        <f>landbouw!K8</f>
        <v>0</v>
      </c>
      <c r="L7" s="461">
        <f>landbouw!L8</f>
        <v>0</v>
      </c>
      <c r="M7" s="461">
        <f>landbouw!M8</f>
        <v>0</v>
      </c>
      <c r="N7" s="461">
        <f>landbouw!N8</f>
        <v>0</v>
      </c>
      <c r="O7" s="461">
        <f>landbouw!O8</f>
        <v>0</v>
      </c>
      <c r="P7" s="462">
        <f>landbouw!P8</f>
        <v>0</v>
      </c>
      <c r="Q7" s="460">
        <f t="shared" si="0"/>
        <v>197237.72526474125</v>
      </c>
    </row>
    <row r="8" spans="1:17">
      <c r="A8" s="460" t="s">
        <v>656</v>
      </c>
      <c r="B8" s="461">
        <f>industrie!B18</f>
        <v>301137.27428300888</v>
      </c>
      <c r="C8" s="461">
        <f>industrie!C18</f>
        <v>5181.4285714285716</v>
      </c>
      <c r="D8" s="461">
        <f>industrie!D18</f>
        <v>353300.29486718157</v>
      </c>
      <c r="E8" s="461">
        <f>industrie!E18</f>
        <v>2963.6110618511816</v>
      </c>
      <c r="F8" s="461">
        <f>industrie!F18</f>
        <v>71600.592336907634</v>
      </c>
      <c r="G8" s="461">
        <f>industrie!G18</f>
        <v>0</v>
      </c>
      <c r="H8" s="461">
        <f>industrie!H18</f>
        <v>0</v>
      </c>
      <c r="I8" s="461">
        <f>industrie!I18</f>
        <v>0</v>
      </c>
      <c r="J8" s="461">
        <f>industrie!J18</f>
        <v>2656.7996850063673</v>
      </c>
      <c r="K8" s="461">
        <f>industrie!K18</f>
        <v>0</v>
      </c>
      <c r="L8" s="461">
        <f>industrie!L18</f>
        <v>0</v>
      </c>
      <c r="M8" s="461">
        <f>industrie!M18</f>
        <v>0</v>
      </c>
      <c r="N8" s="461">
        <f>industrie!N18</f>
        <v>5963.8871266017677</v>
      </c>
      <c r="O8" s="461">
        <f>industrie!O18</f>
        <v>0</v>
      </c>
      <c r="P8" s="462">
        <f>industrie!P18</f>
        <v>0</v>
      </c>
      <c r="Q8" s="460">
        <f t="shared" si="0"/>
        <v>742803.8879319859</v>
      </c>
    </row>
    <row r="9" spans="1:17" s="466" customFormat="1">
      <c r="A9" s="464" t="s">
        <v>574</v>
      </c>
      <c r="B9" s="465">
        <f>transport!B14</f>
        <v>21.599928891362033</v>
      </c>
      <c r="C9" s="465">
        <f>transport!C14</f>
        <v>0</v>
      </c>
      <c r="D9" s="465">
        <f>transport!D14</f>
        <v>104.71353325898019</v>
      </c>
      <c r="E9" s="465">
        <f>transport!E14</f>
        <v>12160.272111768687</v>
      </c>
      <c r="F9" s="465">
        <f>transport!F14</f>
        <v>0</v>
      </c>
      <c r="G9" s="465">
        <f>transport!G14</f>
        <v>2296682.0799275353</v>
      </c>
      <c r="H9" s="465">
        <f>transport!H14</f>
        <v>360172.16123845644</v>
      </c>
      <c r="I9" s="465">
        <f>transport!I14</f>
        <v>0</v>
      </c>
      <c r="J9" s="465">
        <f>transport!J14</f>
        <v>0</v>
      </c>
      <c r="K9" s="465">
        <f>transport!K14</f>
        <v>0</v>
      </c>
      <c r="L9" s="465">
        <f>transport!L14</f>
        <v>0</v>
      </c>
      <c r="M9" s="465">
        <f>transport!M14</f>
        <v>115839.39763859456</v>
      </c>
      <c r="N9" s="465">
        <f>transport!N14</f>
        <v>0</v>
      </c>
      <c r="O9" s="465">
        <f>transport!O14</f>
        <v>0</v>
      </c>
      <c r="P9" s="465">
        <f>transport!P14</f>
        <v>0</v>
      </c>
      <c r="Q9" s="464">
        <f>SUM(B9:P9)</f>
        <v>2784980.2243785057</v>
      </c>
    </row>
    <row r="10" spans="1:17">
      <c r="A10" s="460" t="s">
        <v>564</v>
      </c>
      <c r="B10" s="461">
        <f>transport!B54</f>
        <v>30233.815105699425</v>
      </c>
      <c r="C10" s="461">
        <f>transport!C54</f>
        <v>0</v>
      </c>
      <c r="D10" s="461">
        <f>transport!D54</f>
        <v>0</v>
      </c>
      <c r="E10" s="461">
        <f>transport!E54</f>
        <v>0</v>
      </c>
      <c r="F10" s="461">
        <f>transport!F54</f>
        <v>0</v>
      </c>
      <c r="G10" s="461">
        <f>transport!G54</f>
        <v>53147.290452515525</v>
      </c>
      <c r="H10" s="461">
        <f>transport!H54</f>
        <v>0</v>
      </c>
      <c r="I10" s="461">
        <f>transport!I54</f>
        <v>0</v>
      </c>
      <c r="J10" s="461">
        <f>transport!J54</f>
        <v>0</v>
      </c>
      <c r="K10" s="461">
        <f>transport!K54</f>
        <v>0</v>
      </c>
      <c r="L10" s="461">
        <f>transport!L54</f>
        <v>0</v>
      </c>
      <c r="M10" s="461">
        <f>transport!M54</f>
        <v>2265.4380948327771</v>
      </c>
      <c r="N10" s="461">
        <f>transport!N54</f>
        <v>0</v>
      </c>
      <c r="O10" s="461">
        <f>transport!O54</f>
        <v>0</v>
      </c>
      <c r="P10" s="462">
        <f>transport!P54</f>
        <v>0</v>
      </c>
      <c r="Q10" s="460">
        <f t="shared" si="0"/>
        <v>85646.543653047716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2054015.9710827228</v>
      </c>
      <c r="C14" s="471">
        <f t="shared" ref="C14:Q14" ca="1" si="1">SUM(C4:C13)</f>
        <v>16068.214285714286</v>
      </c>
      <c r="D14" s="471">
        <f t="shared" ca="1" si="1"/>
        <v>4088067.7329627741</v>
      </c>
      <c r="E14" s="471">
        <f t="shared" si="1"/>
        <v>73961.590248751876</v>
      </c>
      <c r="F14" s="471">
        <f t="shared" ca="1" si="1"/>
        <v>425933.38648298581</v>
      </c>
      <c r="G14" s="471">
        <f t="shared" si="1"/>
        <v>2349829.370380051</v>
      </c>
      <c r="H14" s="471">
        <f t="shared" si="1"/>
        <v>360172.16123845644</v>
      </c>
      <c r="I14" s="471">
        <f t="shared" si="1"/>
        <v>0</v>
      </c>
      <c r="J14" s="471">
        <f t="shared" si="1"/>
        <v>2749.5952650184022</v>
      </c>
      <c r="K14" s="471">
        <f t="shared" si="1"/>
        <v>0</v>
      </c>
      <c r="L14" s="471">
        <f t="shared" ca="1" si="1"/>
        <v>0</v>
      </c>
      <c r="M14" s="471">
        <f t="shared" si="1"/>
        <v>118104.83573342733</v>
      </c>
      <c r="N14" s="471">
        <f t="shared" ca="1" si="1"/>
        <v>103890.14140480089</v>
      </c>
      <c r="O14" s="471">
        <f t="shared" si="1"/>
        <v>495.57666666666671</v>
      </c>
      <c r="P14" s="472">
        <f t="shared" si="1"/>
        <v>1182.1333333333332</v>
      </c>
      <c r="Q14" s="472">
        <f t="shared" ca="1" si="1"/>
        <v>9594470.7090847045</v>
      </c>
    </row>
    <row r="16" spans="1:17">
      <c r="A16" s="474" t="s">
        <v>569</v>
      </c>
      <c r="B16" s="828">
        <f ca="1">huishoudens!B10</f>
        <v>0.21099903359659714</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147044.59120686841</v>
      </c>
      <c r="C21" s="461">
        <f t="shared" ref="C21:C30" ca="1" si="3">C4*$C$16</f>
        <v>0</v>
      </c>
      <c r="D21" s="461">
        <f t="shared" ref="D21:D30" si="4">D4*$D$16</f>
        <v>430308.05138818099</v>
      </c>
      <c r="E21" s="461">
        <f t="shared" ref="E21:E30" si="5">E4*$E$16</f>
        <v>8016.9376289946877</v>
      </c>
      <c r="F21" s="461">
        <f t="shared" ref="F21:F30" si="6">F4*$F$16</f>
        <v>44161.093803879085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629530.67402792326</v>
      </c>
    </row>
    <row r="22" spans="1:17">
      <c r="A22" s="460" t="s">
        <v>156</v>
      </c>
      <c r="B22" s="461">
        <f t="shared" ca="1" si="2"/>
        <v>210661.69356757012</v>
      </c>
      <c r="C22" s="461">
        <f t="shared" ca="1" si="3"/>
        <v>2587.212605042017</v>
      </c>
      <c r="D22" s="461">
        <f t="shared" ca="1" si="4"/>
        <v>285560.63548502116</v>
      </c>
      <c r="E22" s="461">
        <f t="shared" si="5"/>
        <v>5336.7518784312088</v>
      </c>
      <c r="F22" s="461">
        <f t="shared" ca="1" si="6"/>
        <v>49020.870117794999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553167.1636538594</v>
      </c>
    </row>
    <row r="23" spans="1:17">
      <c r="A23" s="460" t="s">
        <v>195</v>
      </c>
      <c r="B23" s="461">
        <f t="shared" ca="1" si="2"/>
        <v>5546.3265050930922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5546.3265050930922</v>
      </c>
    </row>
    <row r="24" spans="1:17">
      <c r="A24" s="460" t="s">
        <v>112</v>
      </c>
      <c r="B24" s="461">
        <f t="shared" ca="1" si="2"/>
        <v>219.23642390800148</v>
      </c>
      <c r="C24" s="461">
        <f t="shared" ca="1" si="3"/>
        <v>0</v>
      </c>
      <c r="D24" s="461">
        <f t="shared" si="4"/>
        <v>38533.183488389317</v>
      </c>
      <c r="E24" s="461">
        <f t="shared" si="5"/>
        <v>2.469998629069909</v>
      </c>
      <c r="F24" s="461">
        <f t="shared" si="6"/>
        <v>1424.8921153287827</v>
      </c>
      <c r="G24" s="461">
        <f t="shared" si="7"/>
        <v>0</v>
      </c>
      <c r="H24" s="461">
        <f t="shared" si="8"/>
        <v>0</v>
      </c>
      <c r="I24" s="461">
        <f t="shared" si="9"/>
        <v>0</v>
      </c>
      <c r="J24" s="461">
        <f t="shared" si="10"/>
        <v>32.849635324260404</v>
      </c>
      <c r="K24" s="461">
        <f t="shared" si="11"/>
        <v>0</v>
      </c>
      <c r="L24" s="461">
        <f t="shared" si="12"/>
        <v>0</v>
      </c>
      <c r="M24" s="461">
        <f t="shared" si="13"/>
        <v>0</v>
      </c>
      <c r="N24" s="461">
        <f t="shared" si="14"/>
        <v>0</v>
      </c>
      <c r="O24" s="461">
        <f t="shared" si="15"/>
        <v>0</v>
      </c>
      <c r="P24" s="462">
        <f t="shared" si="16"/>
        <v>0</v>
      </c>
      <c r="Q24" s="460">
        <f t="shared" ca="1" si="17"/>
        <v>40212.631661579428</v>
      </c>
    </row>
    <row r="25" spans="1:17">
      <c r="A25" s="460" t="s">
        <v>656</v>
      </c>
      <c r="B25" s="461">
        <f t="shared" ca="1" si="2"/>
        <v>63539.673853628279</v>
      </c>
      <c r="C25" s="461">
        <f t="shared" ca="1" si="3"/>
        <v>1231.3512605042019</v>
      </c>
      <c r="D25" s="461">
        <f t="shared" si="4"/>
        <v>71366.659563170688</v>
      </c>
      <c r="E25" s="461">
        <f t="shared" si="5"/>
        <v>672.73971104021825</v>
      </c>
      <c r="F25" s="461">
        <f t="shared" si="6"/>
        <v>19117.358153954337</v>
      </c>
      <c r="G25" s="461">
        <f t="shared" si="7"/>
        <v>0</v>
      </c>
      <c r="H25" s="461">
        <f t="shared" si="8"/>
        <v>0</v>
      </c>
      <c r="I25" s="461">
        <f t="shared" si="9"/>
        <v>0</v>
      </c>
      <c r="J25" s="461">
        <f t="shared" si="10"/>
        <v>940.50708849225396</v>
      </c>
      <c r="K25" s="461">
        <f t="shared" si="11"/>
        <v>0</v>
      </c>
      <c r="L25" s="461">
        <f t="shared" si="12"/>
        <v>0</v>
      </c>
      <c r="M25" s="461">
        <f t="shared" si="13"/>
        <v>0</v>
      </c>
      <c r="N25" s="461">
        <f t="shared" si="14"/>
        <v>0</v>
      </c>
      <c r="O25" s="461">
        <f t="shared" si="15"/>
        <v>0</v>
      </c>
      <c r="P25" s="462">
        <f t="shared" si="16"/>
        <v>0</v>
      </c>
      <c r="Q25" s="460">
        <f t="shared" ca="1" si="17"/>
        <v>156868.28963078998</v>
      </c>
    </row>
    <row r="26" spans="1:17" s="466" customFormat="1">
      <c r="A26" s="464" t="s">
        <v>574</v>
      </c>
      <c r="B26" s="822">
        <f t="shared" ca="1" si="2"/>
        <v>4.5575641218326064</v>
      </c>
      <c r="C26" s="465">
        <f t="shared" ca="1" si="3"/>
        <v>0</v>
      </c>
      <c r="D26" s="465">
        <f t="shared" si="4"/>
        <v>21.152133718314001</v>
      </c>
      <c r="E26" s="465">
        <f t="shared" si="5"/>
        <v>2760.3817693714918</v>
      </c>
      <c r="F26" s="465">
        <f t="shared" si="6"/>
        <v>0</v>
      </c>
      <c r="G26" s="465">
        <f t="shared" si="7"/>
        <v>613214.11534065194</v>
      </c>
      <c r="H26" s="465">
        <f t="shared" si="8"/>
        <v>89682.868148375652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705683.0749562392</v>
      </c>
    </row>
    <row r="27" spans="1:17">
      <c r="A27" s="460" t="s">
        <v>564</v>
      </c>
      <c r="B27" s="461">
        <f t="shared" ca="1" si="2"/>
        <v>6379.3057692407792</v>
      </c>
      <c r="C27" s="461">
        <f t="shared" ca="1" si="3"/>
        <v>0</v>
      </c>
      <c r="D27" s="461">
        <f t="shared" si="4"/>
        <v>0</v>
      </c>
      <c r="E27" s="461">
        <f t="shared" si="5"/>
        <v>0</v>
      </c>
      <c r="F27" s="461">
        <f t="shared" si="6"/>
        <v>0</v>
      </c>
      <c r="G27" s="461">
        <f t="shared" si="7"/>
        <v>14190.326550821646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20569.632320062425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433395.38489043049</v>
      </c>
      <c r="C31" s="471">
        <f t="shared" ca="1" si="18"/>
        <v>3818.5638655462189</v>
      </c>
      <c r="D31" s="471">
        <f t="shared" ca="1" si="18"/>
        <v>825789.68205848057</v>
      </c>
      <c r="E31" s="471">
        <f t="shared" si="18"/>
        <v>16789.280986466678</v>
      </c>
      <c r="F31" s="471">
        <f t="shared" ca="1" si="18"/>
        <v>113724.21419095721</v>
      </c>
      <c r="G31" s="471">
        <f t="shared" si="18"/>
        <v>627404.4418914736</v>
      </c>
      <c r="H31" s="471">
        <f t="shared" si="18"/>
        <v>89682.868148375652</v>
      </c>
      <c r="I31" s="471">
        <f t="shared" si="18"/>
        <v>0</v>
      </c>
      <c r="J31" s="471">
        <f t="shared" si="18"/>
        <v>973.35672381651432</v>
      </c>
      <c r="K31" s="471">
        <f t="shared" si="18"/>
        <v>0</v>
      </c>
      <c r="L31" s="471">
        <f t="shared" ca="1" si="18"/>
        <v>0</v>
      </c>
      <c r="M31" s="471">
        <f t="shared" si="18"/>
        <v>0</v>
      </c>
      <c r="N31" s="471">
        <f t="shared" ca="1" si="18"/>
        <v>0</v>
      </c>
      <c r="O31" s="471">
        <f t="shared" si="18"/>
        <v>0</v>
      </c>
      <c r="P31" s="472">
        <f t="shared" si="18"/>
        <v>0</v>
      </c>
      <c r="Q31" s="472">
        <f t="shared" ca="1" si="18"/>
        <v>2111577.792755547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0.21099903359659714</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1</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19.066666666666666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0.21099903359659714</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0.21099903359659714</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2018-06-27T08:58:59Z</dcterms:modified>
</cp:coreProperties>
</file>