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CA1C8F6-5F48-45FA-BD54-B978A3DA35E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12"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c r="S32" i="18"/>
  <c r="F6" i="17"/>
  <c r="R32" i="18"/>
  <c r="Q32" i="18"/>
  <c r="P32" i="18"/>
  <c r="D6" i="17"/>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O20" i="59" s="1"/>
  <c r="K19" i="18"/>
  <c r="G19" i="18"/>
  <c r="H89" i="14" s="1"/>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F15" i="16" s="1"/>
  <c r="B36" i="16"/>
  <c r="C36" i="16" s="1"/>
  <c r="J14" i="16" s="1"/>
  <c r="B35" i="16"/>
  <c r="B34" i="16"/>
  <c r="B12" i="16" s="1"/>
  <c r="B33" i="16"/>
  <c r="C33" i="16" s="1"/>
  <c r="B32" i="16"/>
  <c r="C32"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N77" i="14"/>
  <c r="L10" i="18"/>
  <c r="O77" i="14"/>
  <c r="H16" i="14"/>
  <c r="B8" i="9"/>
  <c r="L16" i="16"/>
  <c r="L18" i="16" s="1"/>
  <c r="M13" i="14"/>
  <c r="I14" i="15"/>
  <c r="I16" i="15"/>
  <c r="J10" i="14" s="1"/>
  <c r="B13" i="16"/>
  <c r="C35" i="16"/>
  <c r="D8" i="17"/>
  <c r="D12" i="17" s="1"/>
  <c r="E54" i="14" s="1"/>
  <c r="E9" i="14"/>
  <c r="D14" i="15"/>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O5" i="16"/>
  <c r="O18" i="16" s="1"/>
  <c r="O22" i="16" s="1"/>
  <c r="B11" i="15"/>
  <c r="B11" i="16"/>
  <c r="J9" i="14"/>
  <c r="J16" i="14"/>
  <c r="J27" i="14" s="1"/>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18" i="16"/>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s="1"/>
  <c r="H20" i="15"/>
  <c r="I40" i="14" s="1"/>
  <c r="I46" i="14" s="1"/>
  <c r="I10" i="14"/>
  <c r="I16" i="14" s="1"/>
  <c r="B74" i="14"/>
  <c r="B6" i="59" s="1"/>
  <c r="F8" i="16"/>
  <c r="J9" i="16"/>
  <c r="B73" i="14"/>
  <c r="B5" i="59"/>
  <c r="F6" i="15"/>
  <c r="F8" i="15"/>
  <c r="N10" i="16"/>
  <c r="E14" i="16"/>
  <c r="B8" i="15"/>
  <c r="J8" i="15"/>
  <c r="F12" i="15"/>
  <c r="I20" i="15"/>
  <c r="J40" i="14"/>
  <c r="B9" i="16"/>
  <c r="N9" i="16"/>
  <c r="B10" i="15"/>
  <c r="E9" i="16"/>
  <c r="B6" i="15"/>
  <c r="J10" i="15"/>
  <c r="F10" i="16"/>
  <c r="B15" i="16"/>
  <c r="B5" i="16" s="1"/>
  <c r="B18" i="16" s="1"/>
  <c r="C13" i="14" s="1"/>
  <c r="F14" i="16"/>
  <c r="J6" i="15"/>
  <c r="F10" i="15"/>
  <c r="B12" i="15"/>
  <c r="J12" i="15"/>
  <c r="B7" i="16"/>
  <c r="N14" i="16"/>
  <c r="N11" i="16"/>
  <c r="N5" i="16" s="1"/>
  <c r="N6" i="15"/>
  <c r="N10" i="15"/>
  <c r="B8" i="16"/>
  <c r="J8" i="16"/>
  <c r="B10" i="16"/>
  <c r="B14" i="16"/>
  <c r="E15" i="16"/>
  <c r="J7" i="16"/>
  <c r="F7" i="16"/>
  <c r="N7" i="16"/>
  <c r="N15" i="16"/>
  <c r="C34" i="16"/>
  <c r="Q13" i="14"/>
  <c r="E11" i="48"/>
  <c r="E29" i="48"/>
  <c r="F9" i="14"/>
  <c r="D9" i="14"/>
  <c r="E19" i="19"/>
  <c r="F39" i="14"/>
  <c r="C11" i="48"/>
  <c r="D19" i="19"/>
  <c r="E39" i="14"/>
  <c r="C9" i="14"/>
  <c r="B11" i="48"/>
  <c r="E14" i="22"/>
  <c r="D5" i="22"/>
  <c r="D14" i="22"/>
  <c r="D9" i="48" s="1"/>
  <c r="B14" i="22"/>
  <c r="P11" i="48"/>
  <c r="P29" i="48"/>
  <c r="H5" i="48"/>
  <c r="O11" i="48"/>
  <c r="P9" i="14"/>
  <c r="M5" i="48"/>
  <c r="G29" i="48"/>
  <c r="C11" i="14"/>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G90" i="14"/>
  <c r="D88" i="14"/>
  <c r="D18" i="59" s="1"/>
  <c r="H88" i="14"/>
  <c r="C88" i="14" s="1"/>
  <c r="C18" i="59" s="1"/>
  <c r="F88" i="14"/>
  <c r="F18" i="59" s="1"/>
  <c r="L20" i="18"/>
  <c r="G77" i="14"/>
  <c r="O90" i="14"/>
  <c r="F20" i="18"/>
  <c r="D11" i="14"/>
  <c r="C4" i="48"/>
  <c r="N46" i="14"/>
  <c r="G51" i="22"/>
  <c r="G50" i="22" s="1"/>
  <c r="G54" i="22"/>
  <c r="H19" i="14" s="1"/>
  <c r="M51" i="22"/>
  <c r="M50" i="22" s="1"/>
  <c r="M54" i="22" s="1"/>
  <c r="M10" i="48" s="1"/>
  <c r="Q10" i="48" s="1"/>
  <c r="I5" i="48"/>
  <c r="M24" i="48"/>
  <c r="M32" i="48"/>
  <c r="H78" i="14"/>
  <c r="H9" i="59"/>
  <c r="H10" i="59" s="1"/>
  <c r="N78" i="14"/>
  <c r="N9" i="59"/>
  <c r="G78" i="14"/>
  <c r="G9" i="59"/>
  <c r="G10" i="59"/>
  <c r="O78" i="14"/>
  <c r="O9" i="59"/>
  <c r="O10" i="59" s="1"/>
  <c r="P22" i="48"/>
  <c r="L8" i="48"/>
  <c r="L26" i="48"/>
  <c r="L22" i="16"/>
  <c r="M43" i="14"/>
  <c r="D10" i="14"/>
  <c r="J46" i="14"/>
  <c r="J61" i="14" s="1"/>
  <c r="L46" i="14"/>
  <c r="L61" i="14" s="1"/>
  <c r="L63" i="14" s="1"/>
  <c r="L16" i="14"/>
  <c r="L27" i="14" s="1"/>
  <c r="P8" i="48"/>
  <c r="P26" i="48" s="1"/>
  <c r="G31" i="20"/>
  <c r="H48" i="14"/>
  <c r="G12" i="22"/>
  <c r="D16" i="15"/>
  <c r="K24" i="14"/>
  <c r="K26" i="14"/>
  <c r="F24" i="14"/>
  <c r="F26" i="14" s="1"/>
  <c r="P43" i="14"/>
  <c r="N5" i="13"/>
  <c r="N8" i="13"/>
  <c r="N4" i="48" s="1"/>
  <c r="N22" i="48" s="1"/>
  <c r="H13" i="48"/>
  <c r="H31" i="48"/>
  <c r="H12" i="22"/>
  <c r="E5" i="13"/>
  <c r="E8" i="13" s="1"/>
  <c r="L8" i="17"/>
  <c r="L12" i="17" s="1"/>
  <c r="M54" i="14" s="1"/>
  <c r="M56" i="14" s="1"/>
  <c r="E24" i="14"/>
  <c r="E26" i="14" s="1"/>
  <c r="B9" i="48"/>
  <c r="E48" i="18"/>
  <c r="E8" i="18"/>
  <c r="F7" i="48"/>
  <c r="F25" i="48" s="1"/>
  <c r="D48" i="18"/>
  <c r="J8" i="18" s="1"/>
  <c r="M29" i="48"/>
  <c r="F12" i="17"/>
  <c r="G54" i="14"/>
  <c r="G56" i="14" s="1"/>
  <c r="C49" i="18"/>
  <c r="C48" i="18"/>
  <c r="E49" i="18"/>
  <c r="E17" i="18"/>
  <c r="F87" i="14" s="1"/>
  <c r="F17" i="59" s="1"/>
  <c r="G49" i="18"/>
  <c r="I17" i="18" s="1"/>
  <c r="D7" i="48"/>
  <c r="D25" i="48"/>
  <c r="H48" i="18"/>
  <c r="G48" i="18"/>
  <c r="I8" i="18" s="1"/>
  <c r="D49" i="18"/>
  <c r="L28" i="48"/>
  <c r="H49" i="18"/>
  <c r="I49" i="18"/>
  <c r="H17" i="18" s="1"/>
  <c r="F49" i="18"/>
  <c r="F48" i="18"/>
  <c r="B48" i="18"/>
  <c r="L31" i="48"/>
  <c r="L24" i="48"/>
  <c r="L22" i="48"/>
  <c r="M23" i="48"/>
  <c r="M22" i="48"/>
  <c r="I18" i="14"/>
  <c r="D27" i="48"/>
  <c r="D13" i="14"/>
  <c r="F20" i="14"/>
  <c r="F22" i="14" s="1"/>
  <c r="L30" i="48"/>
  <c r="B20" i="18"/>
  <c r="C7" i="48"/>
  <c r="D24" i="14"/>
  <c r="D26" i="14"/>
  <c r="L29" i="48"/>
  <c r="M31" i="20"/>
  <c r="N48" i="14"/>
  <c r="N18" i="14"/>
  <c r="M13" i="48"/>
  <c r="M31" i="48"/>
  <c r="H31" i="20"/>
  <c r="I48" i="14"/>
  <c r="G13" i="48"/>
  <c r="G31" i="48"/>
  <c r="H18" i="14"/>
  <c r="M5" i="22"/>
  <c r="M14" i="22" s="1"/>
  <c r="G5" i="22"/>
  <c r="G14" i="22" s="1"/>
  <c r="H5" i="22"/>
  <c r="P20" i="15"/>
  <c r="Q40" i="14" s="1"/>
  <c r="Q46" i="14"/>
  <c r="Q61" i="14" s="1"/>
  <c r="Q10" i="14"/>
  <c r="Q16" i="14" s="1"/>
  <c r="Q27" i="14" s="1"/>
  <c r="F4" i="48"/>
  <c r="F22" i="48" s="1"/>
  <c r="F12" i="13"/>
  <c r="G41" i="14"/>
  <c r="P5" i="48"/>
  <c r="P23" i="48"/>
  <c r="P33" i="48" s="1"/>
  <c r="F13" i="16"/>
  <c r="E13" i="16"/>
  <c r="N13" i="16"/>
  <c r="J13" i="16"/>
  <c r="N12" i="16"/>
  <c r="J12" i="16"/>
  <c r="F12" i="16"/>
  <c r="E12" i="16"/>
  <c r="Q11" i="48"/>
  <c r="R9" i="14"/>
  <c r="O29" i="48"/>
  <c r="H23" i="48"/>
  <c r="L27" i="48"/>
  <c r="M30" i="48"/>
  <c r="M26" i="48"/>
  <c r="M25" i="48"/>
  <c r="J5" i="13"/>
  <c r="J8" i="13" s="1"/>
  <c r="J12" i="13" s="1"/>
  <c r="C5" i="48"/>
  <c r="H14" i="22"/>
  <c r="I23" i="48"/>
  <c r="I33" i="48" s="1"/>
  <c r="I15" i="48"/>
  <c r="P15" i="48"/>
  <c r="O8" i="48"/>
  <c r="O26" i="48" s="1"/>
  <c r="P13" i="14"/>
  <c r="F54" i="14"/>
  <c r="F56" i="14" s="1"/>
  <c r="E7" i="48"/>
  <c r="E25" i="48" s="1"/>
  <c r="M28" i="48"/>
  <c r="C8" i="18"/>
  <c r="D76" i="14" s="1"/>
  <c r="D8" i="59" s="1"/>
  <c r="D16" i="14"/>
  <c r="D27" i="14"/>
  <c r="D8" i="48"/>
  <c r="D26" i="48" s="1"/>
  <c r="L7" i="48"/>
  <c r="L25" i="48" s="1"/>
  <c r="N19" i="14"/>
  <c r="N22" i="14" s="1"/>
  <c r="N27" i="14" s="1"/>
  <c r="D18" i="22"/>
  <c r="E50" i="14" s="1"/>
  <c r="E52" i="14" s="1"/>
  <c r="C20" i="14"/>
  <c r="C22" i="14"/>
  <c r="J76" i="14"/>
  <c r="J17" i="18"/>
  <c r="E20" i="14"/>
  <c r="E22" i="14" s="1"/>
  <c r="E18" i="22"/>
  <c r="F50" i="14" s="1"/>
  <c r="F52" i="14"/>
  <c r="E9" i="48"/>
  <c r="E27" i="48" s="1"/>
  <c r="G58" i="22"/>
  <c r="H49" i="14" s="1"/>
  <c r="G10" i="48"/>
  <c r="R18" i="14"/>
  <c r="Q13" i="48"/>
  <c r="I20" i="14"/>
  <c r="I22" i="14" s="1"/>
  <c r="I27" i="14" s="1"/>
  <c r="M18" i="22"/>
  <c r="N50" i="14" s="1"/>
  <c r="M9" i="48"/>
  <c r="N20" i="14"/>
  <c r="B8" i="48"/>
  <c r="J63" i="14"/>
  <c r="L5" i="48"/>
  <c r="L15" i="48" s="1"/>
  <c r="Q63" i="14"/>
  <c r="N12" i="13"/>
  <c r="O41" i="14" s="1"/>
  <c r="O11" i="14"/>
  <c r="F11" i="14"/>
  <c r="J4" i="48"/>
  <c r="K41" i="14"/>
  <c r="K11" i="14"/>
  <c r="J8" i="59"/>
  <c r="L23" i="48"/>
  <c r="L33" i="48" s="1"/>
  <c r="B20" i="6"/>
  <c r="N18" i="16"/>
  <c r="N22" i="16" s="1"/>
  <c r="O43" i="14" s="1"/>
  <c r="N8" i="48"/>
  <c r="N26" i="48" s="1"/>
  <c r="J87" i="14"/>
  <c r="H20" i="14"/>
  <c r="R20" i="14" s="1"/>
  <c r="H22" i="14"/>
  <c r="H27" i="14" s="1"/>
  <c r="H18" i="22"/>
  <c r="I50" i="14"/>
  <c r="I52" i="14" s="1"/>
  <c r="G28" i="48"/>
  <c r="H9" i="48"/>
  <c r="M27" i="48"/>
  <c r="M33" i="48"/>
  <c r="J22" i="48"/>
  <c r="H15" i="48"/>
  <c r="O13" i="14"/>
  <c r="H27" i="48"/>
  <c r="H33" i="48" s="1"/>
  <c r="E56" i="14"/>
  <c r="I76" i="14" l="1"/>
  <c r="I87" i="14"/>
  <c r="I61" i="14"/>
  <c r="I63" i="14" s="1"/>
  <c r="K23" i="48"/>
  <c r="K33" i="48" s="1"/>
  <c r="K15" i="48"/>
  <c r="J17" i="59"/>
  <c r="M87" i="14"/>
  <c r="C15" i="48"/>
  <c r="G9" i="48"/>
  <c r="G18" i="22"/>
  <c r="H50" i="14" s="1"/>
  <c r="H52" i="14" s="1"/>
  <c r="H61" i="14" s="1"/>
  <c r="H63" i="14" s="1"/>
  <c r="D20" i="15"/>
  <c r="E40" i="14" s="1"/>
  <c r="E10" i="14"/>
  <c r="D5" i="48"/>
  <c r="O8" i="18"/>
  <c r="K18" i="59"/>
  <c r="K90" i="14"/>
  <c r="B88" i="14"/>
  <c r="B18" i="59" s="1"/>
  <c r="M58" i="22"/>
  <c r="N49" i="14" s="1"/>
  <c r="N52" i="14" s="1"/>
  <c r="N61" i="14" s="1"/>
  <c r="N63" i="14" s="1"/>
  <c r="E4" i="48"/>
  <c r="E12" i="13"/>
  <c r="F41" i="14" s="1"/>
  <c r="E76" i="14"/>
  <c r="J11" i="16"/>
  <c r="F11" i="16"/>
  <c r="F5" i="16" s="1"/>
  <c r="F18" i="16" s="1"/>
  <c r="E11" i="16"/>
  <c r="C24" i="14"/>
  <c r="B7" i="48"/>
  <c r="R19" i="14"/>
  <c r="R22" i="14" s="1"/>
  <c r="M15" i="48"/>
  <c r="M24" i="14"/>
  <c r="M26" i="14" s="1"/>
  <c r="E11" i="15"/>
  <c r="N11" i="15"/>
  <c r="F11" i="15"/>
  <c r="J11" i="15"/>
  <c r="F76" i="14"/>
  <c r="Q88" i="14"/>
  <c r="P18" i="59" s="1"/>
  <c r="H90" i="14"/>
  <c r="H18" i="59"/>
  <c r="H20" i="59" s="1"/>
  <c r="M8" i="59"/>
  <c r="P11" i="14"/>
  <c r="R11" i="14" s="1"/>
  <c r="O4" i="48"/>
  <c r="O12" i="13"/>
  <c r="P41" i="14" s="1"/>
  <c r="C29" i="15"/>
  <c r="B9" i="15"/>
  <c r="B5" i="15" s="1"/>
  <c r="B16" i="15" s="1"/>
  <c r="M10" i="14"/>
  <c r="M16" i="14" s="1"/>
  <c r="L20" i="15"/>
  <c r="M40" i="14" s="1"/>
  <c r="M46" i="14" s="1"/>
  <c r="M61" i="14" s="1"/>
  <c r="D22" i="16"/>
  <c r="E43" i="14" s="1"/>
  <c r="E13" i="14"/>
  <c r="P10" i="14"/>
  <c r="O5" i="48"/>
  <c r="O23" i="48" s="1"/>
  <c r="O20" i="15"/>
  <c r="P40" i="14" s="1"/>
  <c r="N10" i="59"/>
  <c r="J7" i="15"/>
  <c r="E7" i="15"/>
  <c r="N12" i="15"/>
  <c r="E12" i="15"/>
  <c r="K8" i="59"/>
  <c r="K10" i="59" s="1"/>
  <c r="K78" i="14"/>
  <c r="L18" i="59"/>
  <c r="L90" i="14"/>
  <c r="N8" i="15"/>
  <c r="E8" i="15"/>
  <c r="J10" i="16"/>
  <c r="E10" i="16"/>
  <c r="E5" i="16" s="1"/>
  <c r="E18" i="16" s="1"/>
  <c r="G20" i="59"/>
  <c r="O18" i="18"/>
  <c r="C54" i="18"/>
  <c r="B9" i="18"/>
  <c r="K20" i="59"/>
  <c r="J12" i="17"/>
  <c r="K54" i="14" s="1"/>
  <c r="K56" i="14" s="1"/>
  <c r="J7" i="48"/>
  <c r="J25" i="48" s="1"/>
  <c r="N89" i="14"/>
  <c r="K20" i="18"/>
  <c r="N6" i="17"/>
  <c r="N5" i="17" s="1"/>
  <c r="N8" i="17" s="1"/>
  <c r="L20" i="59"/>
  <c r="J49" i="18"/>
  <c r="D17" i="18" s="1"/>
  <c r="B49" i="18"/>
  <c r="C17" i="18" s="1"/>
  <c r="B33" i="13"/>
  <c r="B54" i="18"/>
  <c r="D14" i="48"/>
  <c r="D32" i="48" s="1"/>
  <c r="C10" i="14" l="1"/>
  <c r="B5" i="48"/>
  <c r="D58" i="18"/>
  <c r="G58" i="18"/>
  <c r="I58" i="18"/>
  <c r="H19" i="18" s="1"/>
  <c r="B58" i="18"/>
  <c r="C19" i="18" s="1"/>
  <c r="E58" i="18"/>
  <c r="E19" i="18" s="1"/>
  <c r="H58" i="18"/>
  <c r="J58" i="18"/>
  <c r="D19" i="18" s="1"/>
  <c r="E89" i="14" s="1"/>
  <c r="E19" i="59" s="1"/>
  <c r="C58" i="18"/>
  <c r="F58" i="18"/>
  <c r="N19" i="59"/>
  <c r="N20" i="59" s="1"/>
  <c r="N90" i="14"/>
  <c r="B10" i="18"/>
  <c r="F13" i="14"/>
  <c r="E22" i="16"/>
  <c r="F43" i="14" s="1"/>
  <c r="E8" i="48"/>
  <c r="F8" i="59"/>
  <c r="D23" i="48"/>
  <c r="D33" i="48" s="1"/>
  <c r="D15" i="48"/>
  <c r="G15" i="48"/>
  <c r="G27" i="48"/>
  <c r="G33" i="48" s="1"/>
  <c r="Q9" i="48"/>
  <c r="B76" i="14"/>
  <c r="I8" i="59"/>
  <c r="D57" i="18"/>
  <c r="H57" i="18"/>
  <c r="J9" i="18" s="1"/>
  <c r="E57" i="18"/>
  <c r="E9" i="18" s="1"/>
  <c r="I57" i="18"/>
  <c r="H9" i="18" s="1"/>
  <c r="F57" i="18"/>
  <c r="J57" i="18"/>
  <c r="D9" i="18" s="1"/>
  <c r="B57" i="18"/>
  <c r="C9" i="18" s="1"/>
  <c r="C57" i="18"/>
  <c r="G57" i="18"/>
  <c r="I9" i="18" s="1"/>
  <c r="J5" i="16"/>
  <c r="J18" i="16" s="1"/>
  <c r="P46" i="14"/>
  <c r="P61" i="14" s="1"/>
  <c r="J9" i="15"/>
  <c r="N9" i="15"/>
  <c r="N5" i="15" s="1"/>
  <c r="N16" i="15" s="1"/>
  <c r="F9" i="15"/>
  <c r="F5" i="15" s="1"/>
  <c r="F16" i="15" s="1"/>
  <c r="E9" i="15"/>
  <c r="C26" i="14"/>
  <c r="R24" i="14"/>
  <c r="R26" i="14" s="1"/>
  <c r="Q4" i="48"/>
  <c r="E22" i="48"/>
  <c r="E16" i="14"/>
  <c r="E27" i="14" s="1"/>
  <c r="O17" i="18"/>
  <c r="D87" i="14"/>
  <c r="N12" i="17"/>
  <c r="O54" i="14" s="1"/>
  <c r="O56" i="14" s="1"/>
  <c r="N7" i="48"/>
  <c r="N25" i="48" s="1"/>
  <c r="O24" i="14"/>
  <c r="O26" i="14" s="1"/>
  <c r="E5" i="15"/>
  <c r="E16" i="15" s="1"/>
  <c r="M63" i="14"/>
  <c r="E46" i="14"/>
  <c r="E61" i="14" s="1"/>
  <c r="I17" i="59"/>
  <c r="E87" i="14"/>
  <c r="D20" i="18"/>
  <c r="J5" i="15"/>
  <c r="J16" i="15" s="1"/>
  <c r="P16" i="14"/>
  <c r="P27" i="14" s="1"/>
  <c r="M27" i="14"/>
  <c r="O22" i="48"/>
  <c r="O33" i="48" s="1"/>
  <c r="O15" i="48"/>
  <c r="Q76" i="14"/>
  <c r="G13" i="14"/>
  <c r="F8" i="48"/>
  <c r="F26" i="48" s="1"/>
  <c r="F22" i="16"/>
  <c r="G43" i="14" s="1"/>
  <c r="E8" i="59"/>
  <c r="C76" i="14"/>
  <c r="Q14" i="48"/>
  <c r="M17" i="59"/>
  <c r="N20" i="15" l="1"/>
  <c r="O40" i="14" s="1"/>
  <c r="O46" i="14" s="1"/>
  <c r="O61" i="14" s="1"/>
  <c r="N5" i="48"/>
  <c r="O10" i="14"/>
  <c r="O16" i="14" s="1"/>
  <c r="O27" i="14" s="1"/>
  <c r="F5" i="48"/>
  <c r="F20" i="15"/>
  <c r="G40" i="14" s="1"/>
  <c r="G46" i="14" s="1"/>
  <c r="G61" i="14" s="1"/>
  <c r="G63" i="14" s="1"/>
  <c r="G10" i="14"/>
  <c r="G16" i="14" s="1"/>
  <c r="G27" i="14" s="1"/>
  <c r="C8" i="59"/>
  <c r="K10" i="14"/>
  <c r="J5" i="48"/>
  <c r="J20" i="15"/>
  <c r="K40" i="14" s="1"/>
  <c r="K46" i="14" s="1"/>
  <c r="K61" i="14" s="1"/>
  <c r="E77" i="14"/>
  <c r="D10" i="18"/>
  <c r="F10" i="14"/>
  <c r="F16" i="14" s="1"/>
  <c r="F27" i="14" s="1"/>
  <c r="E5" i="48"/>
  <c r="Q5" i="48" s="1"/>
  <c r="E20" i="15"/>
  <c r="F40" i="14" s="1"/>
  <c r="F46" i="14" s="1"/>
  <c r="F61" i="14" s="1"/>
  <c r="D17" i="59"/>
  <c r="Q87" i="14"/>
  <c r="D90" i="14"/>
  <c r="C87" i="14"/>
  <c r="B15" i="48"/>
  <c r="E17" i="59"/>
  <c r="E20" i="59" s="1"/>
  <c r="E90" i="14"/>
  <c r="E63" i="14"/>
  <c r="M77" i="14"/>
  <c r="H10" i="18"/>
  <c r="Q7" i="48"/>
  <c r="J19" i="18"/>
  <c r="I19" i="18"/>
  <c r="C16" i="14"/>
  <c r="C27" i="14" s="1"/>
  <c r="B3" i="6" s="1"/>
  <c r="K13" i="14"/>
  <c r="R13" i="14" s="1"/>
  <c r="J8" i="48"/>
  <c r="J26" i="48" s="1"/>
  <c r="J22" i="16"/>
  <c r="K43" i="14" s="1"/>
  <c r="J77" i="14"/>
  <c r="J10" i="18"/>
  <c r="D89" i="14"/>
  <c r="I77" i="14"/>
  <c r="I10" i="18"/>
  <c r="M89" i="14"/>
  <c r="H20" i="18"/>
  <c r="P8" i="59"/>
  <c r="B87" i="14"/>
  <c r="C20" i="18"/>
  <c r="P63" i="14"/>
  <c r="O9" i="18"/>
  <c r="O10" i="18" s="1"/>
  <c r="D77" i="14"/>
  <c r="C10" i="18"/>
  <c r="F77" i="14"/>
  <c r="E10" i="18"/>
  <c r="B8" i="59"/>
  <c r="E26" i="48"/>
  <c r="F89" i="14"/>
  <c r="E20" i="18"/>
  <c r="J89" i="14" l="1"/>
  <c r="J20" i="18"/>
  <c r="M9" i="59"/>
  <c r="M10" i="59" s="1"/>
  <c r="M78" i="14"/>
  <c r="P17" i="59"/>
  <c r="Q90" i="14"/>
  <c r="B17" i="6" s="1"/>
  <c r="B22" i="6" s="1"/>
  <c r="J23" i="48"/>
  <c r="J33" i="48" s="1"/>
  <c r="J15" i="48"/>
  <c r="N15" i="48"/>
  <c r="N23" i="48"/>
  <c r="N33" i="48" s="1"/>
  <c r="D9" i="59"/>
  <c r="D10" i="59" s="1"/>
  <c r="Q77" i="14"/>
  <c r="D78" i="14"/>
  <c r="C77" i="14"/>
  <c r="I89" i="14"/>
  <c r="I20" i="18"/>
  <c r="E23" i="48"/>
  <c r="E33" i="48" s="1"/>
  <c r="E15" i="48"/>
  <c r="B17" i="59"/>
  <c r="M19" i="59"/>
  <c r="M20" i="59" s="1"/>
  <c r="M90" i="14"/>
  <c r="F9" i="59"/>
  <c r="F10" i="59" s="1"/>
  <c r="F78" i="14"/>
  <c r="O19" i="18"/>
  <c r="O20" i="18" s="1"/>
  <c r="J9" i="59"/>
  <c r="J10" i="59" s="1"/>
  <c r="J78" i="14"/>
  <c r="R10" i="14"/>
  <c r="R16" i="14" s="1"/>
  <c r="R27" i="14" s="1"/>
  <c r="K16" i="14"/>
  <c r="K27" i="14" s="1"/>
  <c r="K63" i="14" s="1"/>
  <c r="O63" i="14"/>
  <c r="F19" i="59"/>
  <c r="F20" i="59" s="1"/>
  <c r="F90" i="14"/>
  <c r="Q8" i="48"/>
  <c r="Q15" i="48" s="1"/>
  <c r="I9" i="59"/>
  <c r="I10" i="59" s="1"/>
  <c r="I78" i="14"/>
  <c r="B77" i="14"/>
  <c r="D19" i="59"/>
  <c r="D20" i="59" s="1"/>
  <c r="C89" i="14"/>
  <c r="C19" i="59" s="1"/>
  <c r="Q89" i="14"/>
  <c r="P19" i="59" s="1"/>
  <c r="C17" i="59"/>
  <c r="F63" i="14"/>
  <c r="E9" i="59"/>
  <c r="E10" i="59" s="1"/>
  <c r="E78" i="14"/>
  <c r="F23" i="48"/>
  <c r="F33" i="48" s="1"/>
  <c r="F15" i="48"/>
  <c r="C29" i="20" l="1"/>
  <c r="C16" i="22"/>
  <c r="C10" i="17"/>
  <c r="C12" i="17" s="1"/>
  <c r="D54" i="14" s="1"/>
  <c r="D56" i="14" s="1"/>
  <c r="C17" i="49"/>
  <c r="C17" i="19"/>
  <c r="C19" i="19" s="1"/>
  <c r="D39" i="14" s="1"/>
  <c r="C56" i="22"/>
  <c r="C58" i="22" s="1"/>
  <c r="D49" i="14" s="1"/>
  <c r="D52" i="14" s="1"/>
  <c r="C20" i="16"/>
  <c r="C22" i="16" s="1"/>
  <c r="D43" i="14" s="1"/>
  <c r="C18" i="15"/>
  <c r="C20" i="15" s="1"/>
  <c r="D40" i="14" s="1"/>
  <c r="C22" i="59"/>
  <c r="C10" i="13"/>
  <c r="C20" i="59"/>
  <c r="P20" i="59"/>
  <c r="J19" i="59"/>
  <c r="J20" i="59" s="1"/>
  <c r="J90" i="14"/>
  <c r="C9" i="59"/>
  <c r="C10" i="59" s="1"/>
  <c r="C78" i="14"/>
  <c r="B9" i="59"/>
  <c r="B10" i="59" s="1"/>
  <c r="B78" i="14"/>
  <c r="P9" i="59"/>
  <c r="P10" i="59" s="1"/>
  <c r="Q78" i="14"/>
  <c r="B9" i="6" s="1"/>
  <c r="C90" i="14"/>
  <c r="I19" i="59"/>
  <c r="I20" i="59" s="1"/>
  <c r="B89" i="14"/>
  <c r="I90" i="14"/>
  <c r="B19" i="59" l="1"/>
  <c r="B20" i="59" s="1"/>
  <c r="B90" i="14"/>
  <c r="B4" i="6"/>
  <c r="B12" i="6" s="1"/>
  <c r="C17" i="48"/>
  <c r="C12" i="13"/>
  <c r="D41" i="14" s="1"/>
  <c r="D46" i="14"/>
  <c r="D61" i="14" s="1"/>
  <c r="D63" i="14"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10" i="13"/>
  <c r="B18" i="15"/>
  <c r="B20" i="15" s="1"/>
  <c r="C40" i="14" s="1"/>
  <c r="R40" i="14" s="1"/>
  <c r="B20" i="16"/>
  <c r="B22" i="16" s="1"/>
  <c r="C43" i="14" s="1"/>
  <c r="R43" i="14" s="1"/>
  <c r="C30" i="48"/>
  <c r="C25" i="48"/>
  <c r="C27" i="48"/>
  <c r="C31" i="48"/>
  <c r="C24" i="48"/>
  <c r="C28" i="48"/>
  <c r="C22" i="48"/>
  <c r="C32" i="48"/>
  <c r="C29" i="48"/>
  <c r="C26" i="48"/>
  <c r="C23" i="48"/>
  <c r="C33" i="48" l="1"/>
  <c r="R54" i="14"/>
  <c r="R56" i="14" s="1"/>
  <c r="C56" i="14"/>
  <c r="B17" i="48"/>
  <c r="B12" i="13"/>
  <c r="C41" i="14" s="1"/>
  <c r="R41" i="14" s="1"/>
  <c r="R48" i="14"/>
  <c r="R52" i="14" s="1"/>
  <c r="C52" i="14"/>
  <c r="R39" i="14"/>
  <c r="R46" i="14" s="1"/>
  <c r="C46" i="14"/>
  <c r="C61" i="14" s="1"/>
  <c r="C63" i="14" s="1"/>
  <c r="R61" i="14" l="1"/>
  <c r="B29" i="48"/>
  <c r="Q29" i="48" s="1"/>
  <c r="B22" i="48"/>
  <c r="B28" i="48"/>
  <c r="Q28" i="48" s="1"/>
  <c r="B27" i="48"/>
  <c r="Q27" i="48" s="1"/>
  <c r="B32" i="48"/>
  <c r="Q32" i="48" s="1"/>
  <c r="B26" i="48"/>
  <c r="Q26" i="48" s="1"/>
  <c r="B24" i="48"/>
  <c r="Q24" i="48" s="1"/>
  <c r="B30" i="48"/>
  <c r="Q30" i="48" s="1"/>
  <c r="B31" i="48"/>
  <c r="Q31" i="48" s="1"/>
  <c r="B25" i="48"/>
  <c r="Q25"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<sst xmlns="http://schemas.openxmlformats.org/spreadsheetml/2006/main" count="2341" uniqueCount="830">
  <si>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</si>
  <si>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</si>
  <si>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</si>
  <si>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</si>
  <si>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</si>
  <si>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</si>
  <si>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</si>
  <si>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</si>
  <si>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</si>
  <si>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</si>
  <si>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</si>
  <si>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</si>
  <si>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</si>
  <si>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</si>
  <si>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</si>
  <si>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</si>
  <si>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</si>
  <si>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</si>
  <si>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</si>
  <si>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</si>
  <si>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</si>
  <si>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</si>
  <si>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</si>
  <si>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</si>
  <si>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</si>
  <si>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</si>
  <si>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</si>
  <si>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</si>
  <si>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</si>
  <si>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</si>
  <si>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</si>
  <si>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</si>
  <si>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</si>
  <si>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</si>
  <si>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</si>
  <si>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</si>
  <si>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</si>
  <si>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</si>
  <si>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</si>
  <si>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</si>
  <si>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</si>
  <si>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</si>
  <si>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</si>
  <si>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</si>
  <si>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</si>
  <si>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</si>
  <si>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</si>
  <si>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</si>
  <si>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</si>
  <si>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</si>
  <si>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</si>
  <si>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</si>
  <si>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</si>
  <si>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</si>
  <si>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</si>
  <si>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</si>
  <si>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</si>
  <si>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</si>
  <si>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</si>
  <si>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</si>
  <si>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</si>
  <si>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</si>
  <si>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</si>
  <si>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</si>
  <si>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</si>
  <si>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</si>
  <si>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</si>
  <si>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</si>
  <si>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</si>
  <si>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</si>
  <si>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</si>
  <si>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</si>
  <si>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</si>
  <si>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</si>
  <si>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</si>
  <si>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</si>
  <si>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</si>
  <si>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</si>
  <si>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</si>
  <si>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</si>
  <si>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</si>
  <si>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</si>
  <si>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</si>
  <si>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</si>
  <si>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</si>
  <si>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</si>
  <si>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</si>
  <si>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</si>
  <si>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</si>
  <si>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</si>
  <si>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</si>
  <si>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</si>
  <si>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</si>
  <si>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</si>
  <si>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</si>
  <si>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</si>
  <si>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</si>
  <si>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</si>
  <si>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</si>
  <si>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</si>
  <si>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</si>
  <si>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</si>
  <si>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</si>
  <si>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</si>
  <si>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</si>
  <si>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</si>
  <si>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</si>
  <si>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</si>
  <si>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</si>
  <si>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</si>
  <si>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</si>
  <si>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</si>
  <si>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</si>
  <si>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</si>
  <si>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</si>
  <si>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</si>
  <si>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</si>
  <si>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</si>
  <si>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</si>
  <si>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</si>
  <si>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</si>
  <si>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</si>
  <si>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</si>
  <si>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</si>
  <si>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</si>
  <si>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</si>
  <si>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</si>
  <si>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</si>
  <si>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</si>
  <si>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</si>
  <si>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</si>
  <si>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</si>
  <si>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</si>
  <si>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</si>
  <si>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</si>
  <si>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</si>
  <si>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</si>
  <si>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</si>
  <si>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</si>
  <si>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</si>
  <si>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</si>
  <si>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</si>
  <si>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</si>
  <si>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</si>
  <si>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</si>
  <si>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</si>
  <si>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</si>
  <si>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</si>
  <si>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</si>
  <si>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</si>
  <si>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</si>
  <si>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</si>
  <si>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</si>
  <si>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</si>
  <si>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</si>
  <si>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</si>
  <si>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</si>
  <si>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</si>
  <si>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</si>
  <si>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</si>
  <si>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</si>
  <si>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</si>
  <si>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</si>
  <si>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</si>
  <si>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</si>
  <si>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</si>
  <si>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</si>
  <si>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</si>
  <si>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</si>
  <si>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</si>
  <si>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</si>
  <si>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</si>
  <si>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</si>
  <si>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</si>
  <si>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</si>
  <si>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</si>
  <si>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</si>
  <si>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</si>
  <si>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</si>
  <si>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</si>
  <si>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</si>
  <si>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</si>
  <si>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</si>
  <si>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</si>
  <si>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</si>
  <si>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</si>
  <si>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</si>
  <si>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</si>
  <si>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</si>
  <si>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</si>
  <si>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</si>
  <si>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</si>
  <si>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</si>
  <si>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</si>
  <si>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</si>
  <si>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</si>
  <si>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</si>
  <si>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</si>
  <si>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</si>
  <si>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</si>
  <si>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</si>
  <si>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</si>
  <si>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</si>
  <si>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</si>
  <si>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</si>
  <si>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</si>
  <si>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</si>
  <si>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</si>
  <si>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</si>
  <si>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</si>
  <si>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</si>
  <si>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</si>
  <si>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</si>
  <si>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</si>
  <si>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</si>
  <si>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</si>
  <si>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</si>
  <si>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</si>
  <si>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</si>
  <si>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</si>
  <si>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</si>
  <si>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</si>
  <si>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</si>
  <si>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</si>
  <si>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</si>
  <si>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</si>
  <si>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</si>
  <si>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</si>
  <si>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</si>
  <si>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</si>
  <si>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</si>
  <si>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</si>
  <si>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</si>
  <si>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</si>
  <si>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</si>
  <si>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</si>
  <si>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</si>
  <si>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</si>
  <si>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</si>
  <si>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</si>
  <si>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</si>
  <si>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</si>
  <si>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</si>
  <si>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</si>
  <si>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</si>
  <si>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</si>
  <si>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</si>
  <si>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</si>
  <si>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</si>
  <si>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</si>
  <si>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</si>
  <si>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</si>
  <si>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</si>
  <si>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</si>
  <si>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</si>
  <si>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</si>
  <si>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</si>
  <si>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</si>
  <si>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</si>
  <si>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</si>
  <si>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</si>
  <si>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</si>
  <si>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</si>
  <si>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</si>
  <si>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</si>
  <si>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</si>
  <si>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</si>
  <si>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</si>
  <si>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</si>
  <si>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</si>
  <si>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</si>
  <si>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</si>
  <si>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</si>
  <si>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</si>
  <si>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</si>
  <si>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</si>
  <si>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</si>
  <si>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</si>
  <si>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</si>
  <si>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</si>
  <si>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</si>
  <si>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</si>
  <si>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</si>
  <si>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</si>
  <si>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</si>
  <si>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</si>
  <si>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</si>
  <si>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</si>
  <si>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</si>
  <si>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</si>
  <si>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</si>
  <si>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</si>
  <si>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</si>
  <si>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</si>
  <si>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</si>
  <si>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</si>
  <si>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</si>
  <si>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</si>
  <si>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</si>
  <si>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</si>
  <si>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</si>
  <si>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</si>
  <si>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</si>
  <si>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</si>
  <si>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</si>
  <si>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</si>
  <si>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</si>
  <si>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</si>
  <si>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</si>
  <si>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</si>
  <si>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</si>
  <si>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</si>
  <si>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</si>
  <si>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</si>
  <si>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</si>
  <si>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</si>
  <si>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</si>
  <si>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</si>
  <si>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</si>
  <si>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</si>
  <si>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</si>
  <si>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</si>
  <si>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</si>
  <si>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</si>
  <si>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</si>
  <si>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</si>
  <si>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</si>
  <si>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</si>
  <si>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</si>
  <si>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</si>
  <si>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</si>
  <si>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</si>
  <si>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</si>
  <si>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</si>
  <si>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</si>
  <si>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</si>
  <si>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</si>
  <si>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</si>
  <si>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</si>
  <si>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</si>
  <si>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</si>
  <si>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</si>
  <si>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</si>
  <si>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</si>
  <si>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</si>
  <si>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</si>
  <si>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</si>
  <si>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</si>
  <si>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</si>
  <si>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</si>
  <si>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</si>
  <si>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</si>
  <si>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</si>
  <si>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</si>
  <si>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</si>
  <si>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</si>
  <si>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</si>
  <si>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</si>
  <si>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</si>
  <si>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</si>
  <si>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</si>
  <si>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</si>
  <si>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</si>
  <si>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</si>
  <si>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</si>
  <si>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</si>
  <si>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</si>
  <si>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</si>
  <si>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</si>
  <si>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</si>
  <si>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</si>
  <si>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</si>
  <si>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</si>
  <si>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</si>
  <si>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</si>
  <si>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</si>
  <si>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</si>
  <si>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</si>
  <si>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</si>
  <si>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</si>
  <si>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</si>
  <si>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</si>
  <si>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</si>
  <si>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</si>
  <si>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</si>
  <si>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</si>
  <si>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</si>
  <si>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</si>
  <si>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</si>
  <si>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</si>
  <si>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</si>
  <si>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</si>
  <si>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</si>
  <si>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</si>
  <si>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</si>
  <si>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</si>
  <si>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</si>
  <si>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</si>
  <si>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</si>
  <si>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</si>
  <si>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</si>
  <si>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</si>
  <si>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</si>
  <si>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</si>
  <si>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</si>
  <si>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</si>
  <si>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</si>
  <si>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</si>
  <si>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</si>
  <si>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</si>
  <si>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</si>
  <si>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</si>
  <si>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</si>
  <si>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</si>
  <si>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</si>
  <si>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</si>
  <si>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</si>
  <si>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</si>
  <si>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</si>
  <si>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</si>
  <si>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</si>
  <si>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</si>
  <si>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</si>
  <si>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</si>
  <si>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</si>
  <si>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</si>
  <si>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</si>
  <si>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</si>
  <si>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</si>
  <si>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</si>
  <si>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</si>
  <si>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</si>
  <si>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</si>
  <si>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</si>
  <si>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</si>
  <si>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</si>
  <si>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</si>
  <si>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</si>
  <si>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</si>
  <si>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</si>
  <si>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</si>
  <si>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</si>
  <si>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</si>
  <si>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</si>
  <si>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</si>
  <si>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</si>
  <si>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</si>
  <si>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</si>
  <si>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</si>
  <si>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</si>
  <si>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</si>
  <si>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</si>
  <si>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</si>
  <si>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</si>
  <si>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</si>
  <si>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</si>
  <si>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</si>
  <si>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</si>
  <si>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</si>
  <si>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</si>
  <si>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</si>
  <si>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</si>
  <si>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</si>
  <si>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</si>
  <si>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</si>
  <si>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</si>
  <si>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</si>
  <si>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</si>
  <si>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</si>
  <si>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</si>
  <si>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</si>
  <si>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</si>
  <si>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</si>
  <si>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</si>
  <si>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</si>
  <si>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</si>
  <si>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</si>
  <si>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</si>
  <si>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</si>
  <si>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</si>
  <si>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</si>
  <si>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</si>
  <si>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</si>
  <si>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</si>
  <si>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</si>
  <si>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</si>
  <si>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</si>
  <si>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</si>
  <si>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</si>
  <si>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</si>
  <si>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</si>
  <si>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</si>
  <si>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</si>
  <si>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</si>
  <si>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</si>
  <si>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</si>
  <si>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</si>
  <si>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</si>
  <si>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</si>
  <si>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</si>
  <si>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</si>
  <si>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</si>
  <si>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</si>
  <si>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</si>
  <si>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</si>
  <si>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</si>
  <si>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</si>
  <si>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</si>
  <si>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</si>
  <si>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</si>
  <si>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</si>
  <si>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</si>
  <si>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</si>
  <si>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</si>
  <si>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</si>
  <si>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</si>
  <si>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</si>
  <si>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</si>
  <si>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</si>
  <si>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</si>
  <si>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</si>
  <si>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</si>
  <si>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</si>
  <si>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</si>
  <si>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</si>
  <si>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</si>
  <si>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</si>
  <si>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</si>
  <si>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</si>
  <si>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</si>
  <si>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</si>
  <si>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</si>
  <si>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</si>
  <si>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</si>
  <si>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</si>
  <si>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</si>
  <si>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</si>
  <si>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</si>
  <si>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</si>
  <si>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</si>
  <si>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</si>
  <si>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</si>
  <si>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</si>
  <si>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</si>
  <si>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</si>
  <si>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</si>
  <si>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</si>
  <si>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</si>
  <si>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</si>
  <si>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</si>
  <si>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</si>
  <si>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</si>
  <si>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</si>
  <si>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</si>
  <si>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</si>
  <si>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</si>
  <si>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</si>
  <si>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</si>
  <si>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</si>
  <si>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</si>
  <si>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</si>
  <si>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</si>
  <si>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</si>
  <si>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</si>
  <si>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</si>
  <si>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</si>
  <si>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</si>
  <si>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</si>
  <si>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</si>
  <si>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</si>
  <si>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</si>
  <si>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</si>
  <si>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</si>
  <si>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</si>
  <si>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</si>
  <si>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</si>
  <si>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</si>
  <si>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</si>
  <si>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</si>
  <si>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</si>
  <si>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</si>
  <si>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</si>
  <si>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</si>
  <si>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</si>
  <si>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</si>
  <si>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</si>
  <si>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</si>
  <si>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</si>
  <si>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</si>
  <si>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</si>
  <si>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</si>
  <si>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</si>
  <si>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</si>
  <si>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</si>
  <si>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</si>
  <si>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</si>
  <si>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</si>
  <si>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</si>
  <si>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</si>
  <si>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</si>
  <si>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</si>
  <si>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</si>
  <si>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</si>
  <si>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</si>
  <si>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</si>
  <si>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</si>
  <si>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</si>
  <si>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</si>
  <si>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</si>
  <si>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</si>
  <si>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</si>
  <si>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</si>
  <si>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</si>
  <si>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</si>
  <si>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</si>
  <si>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</si>
  <si>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</si>
  <si>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</si>
  <si>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</si>
  <si>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</si>
  <si>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</si>
  <si>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</si>
  <si>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</si>
  <si>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</si>
  <si>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</si>
  <si>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</si>
  <si>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</si>
  <si>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</si>
  <si>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</si>
  <si>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</si>
  <si>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</si>
  <si>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</si>
  <si>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</si>
  <si>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</si>
  <si>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</si>
  <si>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</si>
  <si>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</si>
  <si>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</si>
  <si>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</si>
  <si>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</si>
  <si>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</si>
  <si>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</si>
  <si>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</si>
  <si>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</si>
  <si>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</si>
  <si>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</si>
  <si>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</si>
  <si>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</si>
  <si>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</si>
  <si>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</si>
  <si>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</si>
  <si>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</si>
  <si>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</si>
  <si>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</si>
  <si>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</si>
  <si>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</si>
  <si>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</si>
  <si>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</si>
  <si>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</si>
  <si>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</si>
  <si>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</si>
  <si>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</si>
  <si>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</si>
  <si>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</si>
  <si>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</si>
  <si>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</si>
  <si>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</si>
  <si>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</si>
  <si>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</si>
  <si>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</si>
  <si>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</si>
  <si>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</si>
  <si>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</si>
  <si>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</si>
  <si>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</si>
  <si>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</si>
  <si>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</si>
  <si>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</si>
  <si>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</si>
  <si>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</si>
  <si>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</si>
  <si>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</si>
  <si>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</si>
  <si>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</si>
  <si>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</si>
  <si>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</si>
  <si>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</si>
  <si>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</si>
  <si>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</si>
  <si>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</si>
  <si>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</si>
  <si>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</si>
  <si>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</si>
  <si>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</si>
  <si>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</si>
  <si>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</si>
  <si>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</si>
  <si>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</si>
  <si>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</si>
  <si>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</si>
  <si>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</si>
  <si>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</si>
  <si>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</si>
  <si>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</si>
  <si>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</si>
  <si>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</si>
  <si>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</si>
  <si>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</si>
  <si>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</si>
  <si>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</si>
  <si>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</si>
  <si>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</si>
  <si>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</si>
  <si>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</si>
  <si>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</si>
  <si>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</si>
  <si>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</si>
  <si>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</si>
  <si>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</si>
  <si>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</si>
  <si>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</si>
  <si>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</si>
  <si>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</si>
  <si>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</si>
  <si>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</si>
  <si>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</si>
  <si>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</si>
  <si>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</si>
  <si>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</si>
  <si>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</si>
  <si>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</si>
  <si>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</si>
  <si>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</si>
  <si>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</si>
  <si>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</si>
  <si>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</si>
  <si>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</si>
  <si>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</si>
  <si>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</si>
  <si>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</si>
  <si>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</si>
  <si>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</si>
  <si>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</si>
  <si>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</si>
  <si>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</si>
  <si>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</si>
  <si>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</si>
  <si>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</si>
  <si>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</si>
  <si>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</si>
  <si>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</si>
  <si>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</si>
  <si>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</si>
  <si>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</si>
  <si>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</si>
  <si>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</si>
  <si>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</si>
  <si>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</si>
  <si>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</si>
  <si>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</si>
  <si>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</si>
  <si>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</si>
  <si>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</si>
  <si>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</si>
  <si>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</si>
  <si>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</si>
  <si>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</si>
  <si>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</si>
  <si>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</si>
  <si>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</si>
  <si>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</si>
  <si>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</si>
  <si>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</si>
  <si>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</si>
  <si>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</si>
  <si>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</si>
  <si>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</si>
  <si>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</si>
  <si>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</si>
  <si>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</si>
  <si>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</si>
  <si>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</si>
  <si>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</si>
  <si>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</si>
  <si>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</si>
  <si>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</si>
  <si>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</si>
  <si>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</si>
  <si>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</si>
  <si>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</si>
  <si>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</si>
  <si>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</si>
  <si>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</si>
  <si>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</si>
  <si>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</si>
  <si>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</si>
  <si>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</si>
  <si>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</si>
  <si>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</si>
  <si>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</si>
  <si>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</si>
  <si>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</si>
  <si>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</si>
  <si>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</si>
  <si>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</si>
  <si>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</si>
  <si>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</si>
  <si>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</si>
  <si>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</si>
  <si>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</si>
  <si>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</si>
  <si>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</si>
  <si>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</si>
  <si>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</si>
  <si>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</si>
  <si>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</si>
  <si>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</si>
  <si>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</si>
  <si>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</si>
  <si>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</si>
  <si>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</si>
  <si>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</si>
  <si>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</si>
  <si>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</si>
  <si>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</si>
  <si>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</si>
  <si>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</si>
  <si>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36007</t>
  </si>
  <si>
    <t>INGELMUNSTER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</si>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</sst>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6C6504E-4D55-4FA6-9FB3-CEF329B27CD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82577.707454425428</c:v>
                </c:pt>
                <c:pt idx="1">
                  <c:v>25468.104732129756</c:v>
                </c:pt>
                <c:pt idx="2">
                  <c:v>781.59</c:v>
                </c:pt>
                <c:pt idx="3">
                  <c:v>62369.36187746931</c:v>
                </c:pt>
                <c:pt idx="4">
                  <c:v>36315.142009039439</c:v>
                </c:pt>
                <c:pt idx="5">
                  <c:v>66254.239304322604</c:v>
                </c:pt>
                <c:pt idx="6">
                  <c:v>503.8512795455847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82577.707454425428</c:v>
                </c:pt>
                <c:pt idx="1">
                  <c:v>25468.104732129756</c:v>
                </c:pt>
                <c:pt idx="2">
                  <c:v>781.59</c:v>
                </c:pt>
                <c:pt idx="3">
                  <c:v>62369.36187746931</c:v>
                </c:pt>
                <c:pt idx="4">
                  <c:v>36315.142009039439</c:v>
                </c:pt>
                <c:pt idx="5">
                  <c:v>66254.239304322604</c:v>
                </c:pt>
                <c:pt idx="6">
                  <c:v>503.8512795455847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16234.628209188239</c:v>
                </c:pt>
                <c:pt idx="1">
                  <c:v>4767.6589762799176</c:v>
                </c:pt>
                <c:pt idx="2">
                  <c:v>140.4903369470081</c:v>
                </c:pt>
                <c:pt idx="3">
                  <c:v>13383.797302930348</c:v>
                </c:pt>
                <c:pt idx="4">
                  <c:v>7157.0407334105175</c:v>
                </c:pt>
                <c:pt idx="5">
                  <c:v>15726.115735122325</c:v>
                </c:pt>
                <c:pt idx="6">
                  <c:v>120.33346509039973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16234.628209188239</c:v>
                </c:pt>
                <c:pt idx="1">
                  <c:v>4767.6589762799176</c:v>
                </c:pt>
                <c:pt idx="2">
                  <c:v>140.4903369470081</c:v>
                </c:pt>
                <c:pt idx="3">
                  <c:v>13383.797302930348</c:v>
                </c:pt>
                <c:pt idx="4">
                  <c:v>7157.0407334105175</c:v>
                </c:pt>
                <c:pt idx="5">
                  <c:v>15726.115735122325</c:v>
                </c:pt>
                <c:pt idx="6">
                  <c:v>120.33346509039973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36007</v>
      </c>
      <c r="B6" s="380"/>
      <c r="C6" s="381"/>
    </row>
    <row r="7" spans="1:7" s="378" customFormat="1" ht="15.75" customHeight="1">
      <c r="A7" s="382" t="str">
        <f>txtMunicipality</f>
        <v>INGELMUNSTER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10831.607927018778</v>
      </c>
      <c r="D10" s="637">
        <f ca="1">tertiair!C16</f>
        <v>0</v>
      </c>
      <c r="E10" s="637">
        <f ca="1">tertiair!D16</f>
        <v>10791.685998418412</v>
      </c>
      <c r="F10" s="637">
        <f ca="1">tertiair!E16</f>
        <v>38.191314110863502</v>
      </c>
      <c r="G10" s="637">
        <f ca="1">tertiair!F16</f>
        <v>2893.5302787024089</v>
      </c>
      <c r="H10" s="637">
        <f>tertiair!G16</f>
        <v>0</v>
      </c>
      <c r="I10" s="637">
        <f>tertiair!H16</f>
        <v>0</v>
      </c>
      <c r="J10" s="637">
        <f>tertiair!I16</f>
        <v>0</v>
      </c>
      <c r="K10" s="637">
        <f>tertiair!J16</f>
        <v>3.2925932781512846E-2</v>
      </c>
      <c r="L10" s="637">
        <f>tertiair!K16</f>
        <v>0</v>
      </c>
      <c r="M10" s="637">
        <f ca="1">tertiair!L16</f>
        <v>0</v>
      </c>
      <c r="N10" s="637">
        <f>tertiair!M16</f>
        <v>0</v>
      </c>
      <c r="O10" s="637">
        <f ca="1">tertiair!N16</f>
        <v>1207.1022608905325</v>
      </c>
      <c r="P10" s="637">
        <f>tertiair!O16</f>
        <v>14.691782297523464</v>
      </c>
      <c r="Q10" s="638">
        <f>tertiair!P16</f>
        <v>472.85224475845519</v>
      </c>
      <c r="R10" s="640">
        <f ca="1">SUM(C10:Q10)</f>
        <v>26249.694732129752</v>
      </c>
      <c r="S10" s="67"/>
    </row>
    <row r="11" spans="1:19" s="439" customFormat="1">
      <c r="A11" s="757" t="s">
        <v>214</v>
      </c>
      <c r="B11" s="762"/>
      <c r="C11" s="637">
        <f>huishoudens!B8</f>
        <v>18126.3417324045</v>
      </c>
      <c r="D11" s="637">
        <f>huishoudens!C8</f>
        <v>0</v>
      </c>
      <c r="E11" s="637">
        <f>huishoudens!D8</f>
        <v>39146.562614018469</v>
      </c>
      <c r="F11" s="637">
        <f>huishoudens!E8</f>
        <v>1393.2212669090052</v>
      </c>
      <c r="G11" s="637">
        <f>huishoudens!F8</f>
        <v>17650.077112374627</v>
      </c>
      <c r="H11" s="637">
        <f>huishoudens!G8</f>
        <v>0</v>
      </c>
      <c r="I11" s="637">
        <f>huishoudens!H8</f>
        <v>0</v>
      </c>
      <c r="J11" s="637">
        <f>huishoudens!I8</f>
        <v>0</v>
      </c>
      <c r="K11" s="637">
        <f>huishoudens!J8</f>
        <v>112.97066410893788</v>
      </c>
      <c r="L11" s="637">
        <f>huishoudens!K8</f>
        <v>0</v>
      </c>
      <c r="M11" s="637">
        <f>huishoudens!L8</f>
        <v>0</v>
      </c>
      <c r="N11" s="637">
        <f>huishoudens!M8</f>
        <v>0</v>
      </c>
      <c r="O11" s="637">
        <f>huishoudens!N8</f>
        <v>5361.3717581373794</v>
      </c>
      <c r="P11" s="637">
        <f>huishoudens!O8</f>
        <v>386.87185278047122</v>
      </c>
      <c r="Q11" s="638">
        <f>huishoudens!P8</f>
        <v>400.29045369203089</v>
      </c>
      <c r="R11" s="640">
        <f>SUM(C11:Q11)</f>
        <v>82577.707454425428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16742.406401952088</v>
      </c>
      <c r="D13" s="637">
        <f>industrie!C18</f>
        <v>0</v>
      </c>
      <c r="E13" s="637">
        <f>industrie!D18</f>
        <v>14421.122488325467</v>
      </c>
      <c r="F13" s="637">
        <f>industrie!E18</f>
        <v>170.35252127908015</v>
      </c>
      <c r="G13" s="637">
        <f>industrie!F18</f>
        <v>4455.7164171079976</v>
      </c>
      <c r="H13" s="637">
        <f>industrie!G18</f>
        <v>0</v>
      </c>
      <c r="I13" s="637">
        <f>industrie!H18</f>
        <v>0</v>
      </c>
      <c r="J13" s="637">
        <f>industrie!I18</f>
        <v>0</v>
      </c>
      <c r="K13" s="637">
        <f>industrie!J18</f>
        <v>17.486177713811546</v>
      </c>
      <c r="L13" s="637">
        <f>industrie!K18</f>
        <v>0</v>
      </c>
      <c r="M13" s="637">
        <f>industrie!L18</f>
        <v>0</v>
      </c>
      <c r="N13" s="637">
        <f>industrie!M18</f>
        <v>0</v>
      </c>
      <c r="O13" s="637">
        <f>industrie!N18</f>
        <v>508.05800266098845</v>
      </c>
      <c r="P13" s="637">
        <f>industrie!O18</f>
        <v>0</v>
      </c>
      <c r="Q13" s="638">
        <f>industrie!P18</f>
        <v>0</v>
      </c>
      <c r="R13" s="640">
        <f>SUM(C13:Q13)</f>
        <v>36315.142009039439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45700.356061375365</v>
      </c>
      <c r="D16" s="673">
        <f t="shared" ref="D16:R16" ca="1" si="0">SUM(D9:D15)</f>
        <v>0</v>
      </c>
      <c r="E16" s="673">
        <f t="shared" ca="1" si="0"/>
        <v>64359.37110076235</v>
      </c>
      <c r="F16" s="673">
        <f t="shared" ca="1" si="0"/>
        <v>1601.7651022989487</v>
      </c>
      <c r="G16" s="673">
        <f t="shared" ca="1" si="0"/>
        <v>24999.323808185032</v>
      </c>
      <c r="H16" s="673">
        <f t="shared" si="0"/>
        <v>0</v>
      </c>
      <c r="I16" s="673">
        <f t="shared" si="0"/>
        <v>0</v>
      </c>
      <c r="J16" s="673">
        <f t="shared" si="0"/>
        <v>0</v>
      </c>
      <c r="K16" s="673">
        <f t="shared" si="0"/>
        <v>130.48976775553095</v>
      </c>
      <c r="L16" s="673">
        <f t="shared" si="0"/>
        <v>0</v>
      </c>
      <c r="M16" s="673">
        <f t="shared" ca="1" si="0"/>
        <v>0</v>
      </c>
      <c r="N16" s="673">
        <f t="shared" si="0"/>
        <v>0</v>
      </c>
      <c r="O16" s="673">
        <f t="shared" ca="1" si="0"/>
        <v>7076.5320216889004</v>
      </c>
      <c r="P16" s="673">
        <f t="shared" si="0"/>
        <v>401.56363507799466</v>
      </c>
      <c r="Q16" s="673">
        <f t="shared" si="0"/>
        <v>873.14269845048602</v>
      </c>
      <c r="R16" s="673">
        <f t="shared" ca="1" si="0"/>
        <v>145142.54419559462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10.797498960864143</v>
      </c>
      <c r="D19" s="637">
        <f>transport!C54</f>
        <v>0</v>
      </c>
      <c r="E19" s="637">
        <f>transport!D54</f>
        <v>0</v>
      </c>
      <c r="F19" s="637">
        <f>transport!E54</f>
        <v>0</v>
      </c>
      <c r="G19" s="637">
        <f>transport!F54</f>
        <v>0</v>
      </c>
      <c r="H19" s="637">
        <f>transport!G54</f>
        <v>443.41805649325676</v>
      </c>
      <c r="I19" s="637">
        <f>transport!H54</f>
        <v>0</v>
      </c>
      <c r="J19" s="637">
        <f>transport!I54</f>
        <v>0</v>
      </c>
      <c r="K19" s="637">
        <f>transport!J54</f>
        <v>0</v>
      </c>
      <c r="L19" s="637">
        <f>transport!K54</f>
        <v>0</v>
      </c>
      <c r="M19" s="637">
        <f>transport!L54</f>
        <v>0</v>
      </c>
      <c r="N19" s="637">
        <f>transport!M54</f>
        <v>49.635724091463828</v>
      </c>
      <c r="O19" s="637">
        <f>transport!N54</f>
        <v>0</v>
      </c>
      <c r="P19" s="637">
        <f>transport!O54</f>
        <v>0</v>
      </c>
      <c r="Q19" s="638">
        <f>transport!P54</f>
        <v>0</v>
      </c>
      <c r="R19" s="640">
        <f>SUM(C19:Q19)</f>
        <v>503.8512795455847</v>
      </c>
      <c r="S19" s="67"/>
    </row>
    <row r="20" spans="1:19" s="439" customFormat="1">
      <c r="A20" s="757" t="s">
        <v>294</v>
      </c>
      <c r="B20" s="762"/>
      <c r="C20" s="637">
        <f>transport!B14</f>
        <v>283.45776268880388</v>
      </c>
      <c r="D20" s="637">
        <f>transport!C14</f>
        <v>0</v>
      </c>
      <c r="E20" s="637">
        <f>transport!D14</f>
        <v>276.16062880706011</v>
      </c>
      <c r="F20" s="637">
        <f>transport!E14</f>
        <v>91.806594376817671</v>
      </c>
      <c r="G20" s="637">
        <f>transport!F14</f>
        <v>0</v>
      </c>
      <c r="H20" s="637">
        <f>transport!G14</f>
        <v>46226.470791150969</v>
      </c>
      <c r="I20" s="637">
        <f>transport!H14</f>
        <v>13076.594883294616</v>
      </c>
      <c r="J20" s="637">
        <f>transport!I14</f>
        <v>0</v>
      </c>
      <c r="K20" s="637">
        <f>transport!J14</f>
        <v>0</v>
      </c>
      <c r="L20" s="637">
        <f>transport!K14</f>
        <v>0</v>
      </c>
      <c r="M20" s="637">
        <f>transport!L14</f>
        <v>0</v>
      </c>
      <c r="N20" s="637">
        <f>transport!M14</f>
        <v>6299.7486440043385</v>
      </c>
      <c r="O20" s="637">
        <f>transport!N14</f>
        <v>0</v>
      </c>
      <c r="P20" s="637">
        <f>transport!O14</f>
        <v>0</v>
      </c>
      <c r="Q20" s="638">
        <f>transport!P14</f>
        <v>0</v>
      </c>
      <c r="R20" s="640">
        <f>SUM(C20:Q20)</f>
        <v>66254.239304322604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294.255261649668</v>
      </c>
      <c r="D22" s="760">
        <f t="shared" ref="D22:R22" si="1">SUM(D18:D21)</f>
        <v>0</v>
      </c>
      <c r="E22" s="760">
        <f t="shared" si="1"/>
        <v>276.16062880706011</v>
      </c>
      <c r="F22" s="760">
        <f t="shared" si="1"/>
        <v>91.806594376817671</v>
      </c>
      <c r="G22" s="760">
        <f t="shared" si="1"/>
        <v>0</v>
      </c>
      <c r="H22" s="760">
        <f t="shared" si="1"/>
        <v>46669.888847644223</v>
      </c>
      <c r="I22" s="760">
        <f t="shared" si="1"/>
        <v>13076.594883294616</v>
      </c>
      <c r="J22" s="760">
        <f t="shared" si="1"/>
        <v>0</v>
      </c>
      <c r="K22" s="760">
        <f t="shared" si="1"/>
        <v>0</v>
      </c>
      <c r="L22" s="760">
        <f t="shared" si="1"/>
        <v>0</v>
      </c>
      <c r="M22" s="760">
        <f t="shared" si="1"/>
        <v>0</v>
      </c>
      <c r="N22" s="760">
        <f t="shared" si="1"/>
        <v>6349.3843680958025</v>
      </c>
      <c r="O22" s="760">
        <f t="shared" si="1"/>
        <v>0</v>
      </c>
      <c r="P22" s="760">
        <f t="shared" si="1"/>
        <v>0</v>
      </c>
      <c r="Q22" s="760">
        <f t="shared" si="1"/>
        <v>0</v>
      </c>
      <c r="R22" s="760">
        <f t="shared" si="1"/>
        <v>66758.090583868194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3284.9165088070899</v>
      </c>
      <c r="D24" s="637">
        <f>+landbouw!C8</f>
        <v>46879.444448194801</v>
      </c>
      <c r="E24" s="637">
        <f>+landbouw!D8</f>
        <v>0</v>
      </c>
      <c r="F24" s="637">
        <f>+landbouw!E8</f>
        <v>110.77241654481412</v>
      </c>
      <c r="G24" s="637">
        <f>+landbouw!F8</f>
        <v>11381.225926273401</v>
      </c>
      <c r="H24" s="637">
        <f>+landbouw!G8</f>
        <v>0</v>
      </c>
      <c r="I24" s="637">
        <f>+landbouw!H8</f>
        <v>0</v>
      </c>
      <c r="J24" s="637">
        <f>+landbouw!I8</f>
        <v>0</v>
      </c>
      <c r="K24" s="637">
        <f>+landbouw!J8</f>
        <v>713.00257764920195</v>
      </c>
      <c r="L24" s="637">
        <f>+landbouw!K8</f>
        <v>0</v>
      </c>
      <c r="M24" s="637">
        <f>+landbouw!L8</f>
        <v>0</v>
      </c>
      <c r="N24" s="637">
        <f>+landbouw!M8</f>
        <v>0</v>
      </c>
      <c r="O24" s="637">
        <f>+landbouw!N8</f>
        <v>0</v>
      </c>
      <c r="P24" s="637">
        <f>+landbouw!O8</f>
        <v>0</v>
      </c>
      <c r="Q24" s="638">
        <f>+landbouw!P8</f>
        <v>0</v>
      </c>
      <c r="R24" s="640">
        <f>SUM(C24:Q24)</f>
        <v>62369.36187746931</v>
      </c>
      <c r="S24" s="67"/>
    </row>
    <row r="25" spans="1:19" s="439" customFormat="1" ht="15" thickBot="1">
      <c r="A25" s="779" t="s">
        <v>634</v>
      </c>
      <c r="B25" s="890"/>
      <c r="C25" s="891">
        <f>IF(Onbekend_ele_kWh="---",0,Onbekend_ele_kWh)/1000+IF(REST_rest_ele_kWh="---",0,REST_rest_ele_kWh)/1000</f>
        <v>987.93394261185608</v>
      </c>
      <c r="D25" s="891"/>
      <c r="E25" s="891">
        <f>IF(onbekend_gas_kWh="---",0,onbekend_gas_kWh)/1000+IF(REST_rest_gas_kWh="---",0,REST_rest_gas_kWh)/1000</f>
        <v>941.00720009340694</v>
      </c>
      <c r="F25" s="891"/>
      <c r="G25" s="891"/>
      <c r="H25" s="891"/>
      <c r="I25" s="891"/>
      <c r="J25" s="891"/>
      <c r="K25" s="891"/>
      <c r="L25" s="891"/>
      <c r="M25" s="891"/>
      <c r="N25" s="891"/>
      <c r="O25" s="891"/>
      <c r="P25" s="891"/>
      <c r="Q25" s="892"/>
      <c r="R25" s="640">
        <f>SUM(C25:Q25)</f>
        <v>1928.941142705263</v>
      </c>
      <c r="S25" s="67"/>
    </row>
    <row r="26" spans="1:19" s="439" customFormat="1" ht="15.75" thickBot="1">
      <c r="A26" s="645" t="s">
        <v>635</v>
      </c>
      <c r="B26" s="765"/>
      <c r="C26" s="760">
        <f>SUM(C24:C25)</f>
        <v>4272.8504514189462</v>
      </c>
      <c r="D26" s="760">
        <f t="shared" ref="D26:R26" si="2">SUM(D24:D25)</f>
        <v>46879.444448194801</v>
      </c>
      <c r="E26" s="760">
        <f t="shared" si="2"/>
        <v>941.00720009340694</v>
      </c>
      <c r="F26" s="760">
        <f t="shared" si="2"/>
        <v>110.77241654481412</v>
      </c>
      <c r="G26" s="760">
        <f t="shared" si="2"/>
        <v>11381.225926273401</v>
      </c>
      <c r="H26" s="760">
        <f t="shared" si="2"/>
        <v>0</v>
      </c>
      <c r="I26" s="760">
        <f t="shared" si="2"/>
        <v>0</v>
      </c>
      <c r="J26" s="760">
        <f t="shared" si="2"/>
        <v>0</v>
      </c>
      <c r="K26" s="760">
        <f t="shared" si="2"/>
        <v>713.00257764920195</v>
      </c>
      <c r="L26" s="760">
        <f t="shared" si="2"/>
        <v>0</v>
      </c>
      <c r="M26" s="760">
        <f t="shared" si="2"/>
        <v>0</v>
      </c>
      <c r="N26" s="760">
        <f t="shared" si="2"/>
        <v>0</v>
      </c>
      <c r="O26" s="760">
        <f t="shared" si="2"/>
        <v>0</v>
      </c>
      <c r="P26" s="760">
        <f t="shared" si="2"/>
        <v>0</v>
      </c>
      <c r="Q26" s="760">
        <f t="shared" si="2"/>
        <v>0</v>
      </c>
      <c r="R26" s="760">
        <f t="shared" si="2"/>
        <v>64298.303020174571</v>
      </c>
      <c r="S26" s="67"/>
    </row>
    <row r="27" spans="1:19" s="439" customFormat="1" ht="17.25" thickTop="1" thickBot="1">
      <c r="A27" s="646" t="s">
        <v>109</v>
      </c>
      <c r="B27" s="752"/>
      <c r="C27" s="647">
        <f ca="1">C22+C16+C26</f>
        <v>50267.461774443982</v>
      </c>
      <c r="D27" s="647">
        <f t="shared" ref="D27:R27" ca="1" si="3">D22+D16+D26</f>
        <v>46879.444448194801</v>
      </c>
      <c r="E27" s="647">
        <f t="shared" ca="1" si="3"/>
        <v>65576.538929662813</v>
      </c>
      <c r="F27" s="647">
        <f t="shared" ca="1" si="3"/>
        <v>1804.3441132205805</v>
      </c>
      <c r="G27" s="647">
        <f t="shared" ca="1" si="3"/>
        <v>36380.549734458429</v>
      </c>
      <c r="H27" s="647">
        <f t="shared" si="3"/>
        <v>46669.888847644223</v>
      </c>
      <c r="I27" s="647">
        <f t="shared" si="3"/>
        <v>13076.594883294616</v>
      </c>
      <c r="J27" s="647">
        <f t="shared" si="3"/>
        <v>0</v>
      </c>
      <c r="K27" s="647">
        <f t="shared" si="3"/>
        <v>843.49234540473287</v>
      </c>
      <c r="L27" s="647">
        <f t="shared" si="3"/>
        <v>0</v>
      </c>
      <c r="M27" s="647">
        <f t="shared" ca="1" si="3"/>
        <v>0</v>
      </c>
      <c r="N27" s="647">
        <f t="shared" si="3"/>
        <v>6349.3843680958025</v>
      </c>
      <c r="O27" s="647">
        <f t="shared" ca="1" si="3"/>
        <v>7076.5320216889004</v>
      </c>
      <c r="P27" s="647">
        <f t="shared" si="3"/>
        <v>401.56363507799466</v>
      </c>
      <c r="Q27" s="647">
        <f t="shared" si="3"/>
        <v>873.14269845048602</v>
      </c>
      <c r="R27" s="647">
        <f t="shared" ca="1" si="3"/>
        <v>276198.93779963738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1946.9750730494914</v>
      </c>
      <c r="D40" s="637">
        <f ca="1">tertiair!C20</f>
        <v>0</v>
      </c>
      <c r="E40" s="637">
        <f ca="1">tertiair!D20</f>
        <v>2179.9205716805195</v>
      </c>
      <c r="F40" s="637">
        <f ca="1">tertiair!E20</f>
        <v>8.6694283031660149</v>
      </c>
      <c r="G40" s="637">
        <f ca="1">tertiair!F20</f>
        <v>772.57258441354315</v>
      </c>
      <c r="H40" s="637">
        <f>tertiair!G20</f>
        <v>0</v>
      </c>
      <c r="I40" s="637">
        <f>tertiair!H20</f>
        <v>0</v>
      </c>
      <c r="J40" s="637">
        <f>tertiair!I20</f>
        <v>0</v>
      </c>
      <c r="K40" s="637">
        <f>tertiair!J20</f>
        <v>1.1655780204655547E-2</v>
      </c>
      <c r="L40" s="637">
        <f>tertiair!K20</f>
        <v>0</v>
      </c>
      <c r="M40" s="637">
        <f ca="1">tertiair!L20</f>
        <v>0</v>
      </c>
      <c r="N40" s="637">
        <f>tertiair!M20</f>
        <v>0</v>
      </c>
      <c r="O40" s="637">
        <f ca="1">tertiair!N20</f>
        <v>0</v>
      </c>
      <c r="P40" s="637">
        <f>tertiair!O20</f>
        <v>0</v>
      </c>
      <c r="Q40" s="720">
        <f>tertiair!P20</f>
        <v>0</v>
      </c>
      <c r="R40" s="798">
        <f t="shared" ca="1" si="4"/>
        <v>4908.1493132269243</v>
      </c>
    </row>
    <row r="41" spans="1:18">
      <c r="A41" s="770" t="s">
        <v>214</v>
      </c>
      <c r="B41" s="777"/>
      <c r="C41" s="637">
        <f ca="1">huishoudens!B12</f>
        <v>3258.1991294695717</v>
      </c>
      <c r="D41" s="637">
        <f ca="1">huishoudens!C12</f>
        <v>0</v>
      </c>
      <c r="E41" s="637">
        <f>huishoudens!D12</f>
        <v>7907.6056480317311</v>
      </c>
      <c r="F41" s="637">
        <f>huishoudens!E12</f>
        <v>316.26122758834418</v>
      </c>
      <c r="G41" s="637">
        <f>huishoudens!F12</f>
        <v>4712.5705890040254</v>
      </c>
      <c r="H41" s="637">
        <f>huishoudens!G12</f>
        <v>0</v>
      </c>
      <c r="I41" s="637">
        <f>huishoudens!H12</f>
        <v>0</v>
      </c>
      <c r="J41" s="637">
        <f>huishoudens!I12</f>
        <v>0</v>
      </c>
      <c r="K41" s="637">
        <f>huishoudens!J12</f>
        <v>39.991615094564011</v>
      </c>
      <c r="L41" s="637">
        <f>huishoudens!K12</f>
        <v>0</v>
      </c>
      <c r="M41" s="637">
        <f>huishoudens!L12</f>
        <v>0</v>
      </c>
      <c r="N41" s="637">
        <f>huishoudens!M12</f>
        <v>0</v>
      </c>
      <c r="O41" s="637">
        <f>huishoudens!N12</f>
        <v>0</v>
      </c>
      <c r="P41" s="637">
        <f>huishoudens!O12</f>
        <v>0</v>
      </c>
      <c r="Q41" s="720">
        <f>huishoudens!P12</f>
        <v>0</v>
      </c>
      <c r="R41" s="798">
        <f t="shared" ca="1" si="4"/>
        <v>16234.628209188239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3009.4375781598974</v>
      </c>
      <c r="D43" s="637">
        <f ca="1">industrie!C22</f>
        <v>0</v>
      </c>
      <c r="E43" s="637">
        <f>industrie!D22</f>
        <v>2913.0667426417444</v>
      </c>
      <c r="F43" s="637">
        <f>industrie!E22</f>
        <v>38.670022330351195</v>
      </c>
      <c r="G43" s="637">
        <f>industrie!F22</f>
        <v>1189.6762833678354</v>
      </c>
      <c r="H43" s="637">
        <f>industrie!G22</f>
        <v>0</v>
      </c>
      <c r="I43" s="637">
        <f>industrie!H22</f>
        <v>0</v>
      </c>
      <c r="J43" s="637">
        <f>industrie!I22</f>
        <v>0</v>
      </c>
      <c r="K43" s="637">
        <f>industrie!J22</f>
        <v>6.1901069106892868</v>
      </c>
      <c r="L43" s="637">
        <f>industrie!K22</f>
        <v>0</v>
      </c>
      <c r="M43" s="637">
        <f>industrie!L22</f>
        <v>0</v>
      </c>
      <c r="N43" s="637">
        <f>industrie!M22</f>
        <v>0</v>
      </c>
      <c r="O43" s="637">
        <f>industrie!N22</f>
        <v>0</v>
      </c>
      <c r="P43" s="637">
        <f>industrie!O22</f>
        <v>0</v>
      </c>
      <c r="Q43" s="720">
        <f>industrie!P22</f>
        <v>0</v>
      </c>
      <c r="R43" s="797">
        <f t="shared" ca="1" si="4"/>
        <v>7157.0407334105175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8214.6117806789607</v>
      </c>
      <c r="D46" s="673">
        <f t="shared" ref="D46:Q46" ca="1" si="5">SUM(D39:D45)</f>
        <v>0</v>
      </c>
      <c r="E46" s="673">
        <f t="shared" ca="1" si="5"/>
        <v>13000.592962353994</v>
      </c>
      <c r="F46" s="673">
        <f t="shared" ca="1" si="5"/>
        <v>363.60067822186136</v>
      </c>
      <c r="G46" s="673">
        <f t="shared" ca="1" si="5"/>
        <v>6674.8194567854043</v>
      </c>
      <c r="H46" s="673">
        <f t="shared" si="5"/>
        <v>0</v>
      </c>
      <c r="I46" s="673">
        <f t="shared" si="5"/>
        <v>0</v>
      </c>
      <c r="J46" s="673">
        <f t="shared" si="5"/>
        <v>0</v>
      </c>
      <c r="K46" s="673">
        <f t="shared" si="5"/>
        <v>46.193377785457955</v>
      </c>
      <c r="L46" s="673">
        <f t="shared" si="5"/>
        <v>0</v>
      </c>
      <c r="M46" s="673">
        <f t="shared" ca="1" si="5"/>
        <v>0</v>
      </c>
      <c r="N46" s="673">
        <f t="shared" si="5"/>
        <v>0</v>
      </c>
      <c r="O46" s="673">
        <f t="shared" ca="1" si="5"/>
        <v>0</v>
      </c>
      <c r="P46" s="673">
        <f t="shared" si="5"/>
        <v>0</v>
      </c>
      <c r="Q46" s="673">
        <f t="shared" si="5"/>
        <v>0</v>
      </c>
      <c r="R46" s="673">
        <f ca="1">SUM(R39:R45)</f>
        <v>28299.818255825681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1.9408440067001538</v>
      </c>
      <c r="D49" s="637">
        <f ca="1">transport!C58</f>
        <v>0</v>
      </c>
      <c r="E49" s="637">
        <f>transport!D58</f>
        <v>0</v>
      </c>
      <c r="F49" s="637">
        <f>transport!E58</f>
        <v>0</v>
      </c>
      <c r="G49" s="637">
        <f>transport!F58</f>
        <v>0</v>
      </c>
      <c r="H49" s="637">
        <f>transport!G58</f>
        <v>118.39262108369957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120.33346509039973</v>
      </c>
    </row>
    <row r="50" spans="1:18">
      <c r="A50" s="773" t="s">
        <v>294</v>
      </c>
      <c r="B50" s="783"/>
      <c r="C50" s="643">
        <f ca="1">transport!B18</f>
        <v>50.951364002092042</v>
      </c>
      <c r="D50" s="643">
        <f>transport!C18</f>
        <v>0</v>
      </c>
      <c r="E50" s="643">
        <f>transport!D18</f>
        <v>55.784447019026146</v>
      </c>
      <c r="F50" s="643">
        <f>transport!E18</f>
        <v>20.840096923537612</v>
      </c>
      <c r="G50" s="643">
        <f>transport!F18</f>
        <v>0</v>
      </c>
      <c r="H50" s="643">
        <f>transport!G18</f>
        <v>12342.467701237309</v>
      </c>
      <c r="I50" s="643">
        <f>transport!H18</f>
        <v>3256.0721259403595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15726.115735122325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52.892208008792196</v>
      </c>
      <c r="D52" s="673">
        <f t="shared" ref="D52:Q52" ca="1" si="6">SUM(D48:D51)</f>
        <v>0</v>
      </c>
      <c r="E52" s="673">
        <f t="shared" si="6"/>
        <v>55.784447019026146</v>
      </c>
      <c r="F52" s="673">
        <f t="shared" si="6"/>
        <v>20.840096923537612</v>
      </c>
      <c r="G52" s="673">
        <f t="shared" si="6"/>
        <v>0</v>
      </c>
      <c r="H52" s="673">
        <f t="shared" si="6"/>
        <v>12460.860322321008</v>
      </c>
      <c r="I52" s="673">
        <f t="shared" si="6"/>
        <v>3256.0721259403595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15846.449200212724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590.46178580214382</v>
      </c>
      <c r="D54" s="643">
        <f ca="1">+landbouw!C12</f>
        <v>9476.9999437697152</v>
      </c>
      <c r="E54" s="643">
        <f>+landbouw!D12</f>
        <v>0</v>
      </c>
      <c r="F54" s="643">
        <f>+landbouw!E12</f>
        <v>25.145338555672808</v>
      </c>
      <c r="G54" s="643">
        <f>+landbouw!F12</f>
        <v>3038.7873223149982</v>
      </c>
      <c r="H54" s="643">
        <f>+landbouw!G12</f>
        <v>0</v>
      </c>
      <c r="I54" s="643">
        <f>+landbouw!H12</f>
        <v>0</v>
      </c>
      <c r="J54" s="643">
        <f>+landbouw!I12</f>
        <v>0</v>
      </c>
      <c r="K54" s="643">
        <f>+landbouw!J12</f>
        <v>252.40291248781747</v>
      </c>
      <c r="L54" s="643">
        <f>+landbouw!K12</f>
        <v>0</v>
      </c>
      <c r="M54" s="643">
        <f>+landbouw!L12</f>
        <v>0</v>
      </c>
      <c r="N54" s="643">
        <f>+landbouw!M12</f>
        <v>0</v>
      </c>
      <c r="O54" s="643">
        <f>+landbouw!N12</f>
        <v>0</v>
      </c>
      <c r="P54" s="643">
        <f>+landbouw!O12</f>
        <v>0</v>
      </c>
      <c r="Q54" s="644">
        <f>+landbouw!P12</f>
        <v>0</v>
      </c>
      <c r="R54" s="672">
        <f ca="1">SUM(C54:Q54)</f>
        <v>13383.797302930348</v>
      </c>
    </row>
    <row r="55" spans="1:18" ht="15" thickBot="1">
      <c r="A55" s="773" t="s">
        <v>634</v>
      </c>
      <c r="B55" s="783"/>
      <c r="C55" s="643">
        <f ca="1">C25*'EF ele_warmte'!B12</f>
        <v>177.58053772300801</v>
      </c>
      <c r="D55" s="643"/>
      <c r="E55" s="643">
        <f>E25*EF_CO2_aardgas</f>
        <v>190.0834544188682</v>
      </c>
      <c r="F55" s="643"/>
      <c r="G55" s="643"/>
      <c r="H55" s="643"/>
      <c r="I55" s="643"/>
      <c r="J55" s="643"/>
      <c r="K55" s="643"/>
      <c r="L55" s="643"/>
      <c r="M55" s="643"/>
      <c r="N55" s="643"/>
      <c r="O55" s="643"/>
      <c r="P55" s="643"/>
      <c r="Q55" s="644"/>
      <c r="R55" s="672">
        <f ca="1">SUM(C55:Q55)</f>
        <v>367.66399214187618</v>
      </c>
    </row>
    <row r="56" spans="1:18" ht="15.75" thickBot="1">
      <c r="A56" s="771" t="s">
        <v>635</v>
      </c>
      <c r="B56" s="784"/>
      <c r="C56" s="673">
        <f ca="1">SUM(C54:C55)</f>
        <v>768.0423235251518</v>
      </c>
      <c r="D56" s="673">
        <f t="shared" ref="D56:Q56" ca="1" si="7">SUM(D54:D55)</f>
        <v>9476.9999437697152</v>
      </c>
      <c r="E56" s="673">
        <f t="shared" si="7"/>
        <v>190.0834544188682</v>
      </c>
      <c r="F56" s="673">
        <f t="shared" si="7"/>
        <v>25.145338555672808</v>
      </c>
      <c r="G56" s="673">
        <f t="shared" si="7"/>
        <v>3038.7873223149982</v>
      </c>
      <c r="H56" s="673">
        <f t="shared" si="7"/>
        <v>0</v>
      </c>
      <c r="I56" s="673">
        <f t="shared" si="7"/>
        <v>0</v>
      </c>
      <c r="J56" s="673">
        <f t="shared" si="7"/>
        <v>0</v>
      </c>
      <c r="K56" s="673">
        <f t="shared" si="7"/>
        <v>252.40291248781747</v>
      </c>
      <c r="L56" s="673">
        <f t="shared" si="7"/>
        <v>0</v>
      </c>
      <c r="M56" s="673">
        <f t="shared" si="7"/>
        <v>0</v>
      </c>
      <c r="N56" s="673">
        <f t="shared" si="7"/>
        <v>0</v>
      </c>
      <c r="O56" s="673">
        <f t="shared" si="7"/>
        <v>0</v>
      </c>
      <c r="P56" s="673">
        <f t="shared" si="7"/>
        <v>0</v>
      </c>
      <c r="Q56" s="674">
        <f t="shared" si="7"/>
        <v>0</v>
      </c>
      <c r="R56" s="675">
        <f ca="1">SUM(R54:R55)</f>
        <v>13751.461295072224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9035.546312212904</v>
      </c>
      <c r="D61" s="681">
        <f t="shared" ref="D61:Q61" ca="1" si="8">D46+D52+D56</f>
        <v>9476.9999437697152</v>
      </c>
      <c r="E61" s="681">
        <f t="shared" ca="1" si="8"/>
        <v>13246.460863791888</v>
      </c>
      <c r="F61" s="681">
        <f t="shared" ca="1" si="8"/>
        <v>409.58611370107178</v>
      </c>
      <c r="G61" s="681">
        <f t="shared" ca="1" si="8"/>
        <v>9713.6067791004025</v>
      </c>
      <c r="H61" s="681">
        <f t="shared" si="8"/>
        <v>12460.860322321008</v>
      </c>
      <c r="I61" s="681">
        <f t="shared" si="8"/>
        <v>3256.0721259403595</v>
      </c>
      <c r="J61" s="681">
        <f t="shared" si="8"/>
        <v>0</v>
      </c>
      <c r="K61" s="681">
        <f t="shared" si="8"/>
        <v>298.59629027327543</v>
      </c>
      <c r="L61" s="681">
        <f t="shared" si="8"/>
        <v>0</v>
      </c>
      <c r="M61" s="681">
        <f t="shared" ca="1" si="8"/>
        <v>0</v>
      </c>
      <c r="N61" s="681">
        <f t="shared" si="8"/>
        <v>0</v>
      </c>
      <c r="O61" s="681">
        <f t="shared" ca="1" si="8"/>
        <v>0</v>
      </c>
      <c r="P61" s="681">
        <f t="shared" si="8"/>
        <v>0</v>
      </c>
      <c r="Q61" s="681">
        <f t="shared" si="8"/>
        <v>0</v>
      </c>
      <c r="R61" s="681">
        <f ca="1">R46+R52+R56</f>
        <v>57897.728751110626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0.17974940435139661</v>
      </c>
      <c r="D63" s="727">
        <f t="shared" ca="1" si="9"/>
        <v>0.20215683132172119</v>
      </c>
      <c r="E63" s="916">
        <f t="shared" ca="1" si="9"/>
        <v>0.20200000000000001</v>
      </c>
      <c r="F63" s="727">
        <f t="shared" ca="1" si="9"/>
        <v>0.22700000000000001</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6684.3879195171448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31646.111113642801</v>
      </c>
      <c r="D76" s="899">
        <f>'lokale energieproductie'!C8</f>
        <v>31670.680922718482</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6397.4775463891337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6684.3879195171448</v>
      </c>
      <c r="C78" s="699">
        <f>SUM(C72:C77)</f>
        <v>31646.111113642801</v>
      </c>
      <c r="D78" s="700">
        <f t="shared" ref="D78:H78" si="10">SUM(D76:D77)</f>
        <v>31670.680922718482</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6397.4775463891337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46879.444448194801</v>
      </c>
      <c r="D87" s="723">
        <f>'lokale energieproductie'!C17</f>
        <v>46915.841305790666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9476.9999437697152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46879.444448194801</v>
      </c>
      <c r="D90" s="699">
        <f t="shared" ref="D90:H90" si="12">SUM(D87:D89)</f>
        <v>46915.841305790666</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9476.9999437697152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18126.3417324045</v>
      </c>
      <c r="C4" s="443">
        <f>huishoudens!C8</f>
        <v>0</v>
      </c>
      <c r="D4" s="443">
        <f>huishoudens!D8</f>
        <v>39146.562614018469</v>
      </c>
      <c r="E4" s="443">
        <f>huishoudens!E8</f>
        <v>1393.2212669090052</v>
      </c>
      <c r="F4" s="443">
        <f>huishoudens!F8</f>
        <v>17650.077112374627</v>
      </c>
      <c r="G4" s="443">
        <f>huishoudens!G8</f>
        <v>0</v>
      </c>
      <c r="H4" s="443">
        <f>huishoudens!H8</f>
        <v>0</v>
      </c>
      <c r="I4" s="443">
        <f>huishoudens!I8</f>
        <v>0</v>
      </c>
      <c r="J4" s="443">
        <f>huishoudens!J8</f>
        <v>112.97066410893788</v>
      </c>
      <c r="K4" s="443">
        <f>huishoudens!K8</f>
        <v>0</v>
      </c>
      <c r="L4" s="443">
        <f>huishoudens!L8</f>
        <v>0</v>
      </c>
      <c r="M4" s="443">
        <f>huishoudens!M8</f>
        <v>0</v>
      </c>
      <c r="N4" s="443">
        <f>huishoudens!N8</f>
        <v>5361.3717581373794</v>
      </c>
      <c r="O4" s="443">
        <f>huishoudens!O8</f>
        <v>386.87185278047122</v>
      </c>
      <c r="P4" s="444">
        <f>huishoudens!P8</f>
        <v>400.29045369203089</v>
      </c>
      <c r="Q4" s="445">
        <f>SUM(B4:P4)</f>
        <v>82577.707454425428</v>
      </c>
    </row>
    <row r="5" spans="1:17">
      <c r="A5" s="442" t="s">
        <v>149</v>
      </c>
      <c r="B5" s="443">
        <f ca="1">tertiair!B16</f>
        <v>10050.017927018778</v>
      </c>
      <c r="C5" s="443">
        <f ca="1">tertiair!C16</f>
        <v>0</v>
      </c>
      <c r="D5" s="443">
        <f ca="1">tertiair!D16</f>
        <v>10791.685998418412</v>
      </c>
      <c r="E5" s="443">
        <f ca="1">tertiair!E16</f>
        <v>38.191314110863502</v>
      </c>
      <c r="F5" s="443">
        <f ca="1">tertiair!F16</f>
        <v>2893.5302787024089</v>
      </c>
      <c r="G5" s="443">
        <f>tertiair!G16</f>
        <v>0</v>
      </c>
      <c r="H5" s="443">
        <f>tertiair!H16</f>
        <v>0</v>
      </c>
      <c r="I5" s="443">
        <f>tertiair!I16</f>
        <v>0</v>
      </c>
      <c r="J5" s="443">
        <f>tertiair!J16</f>
        <v>3.2925932781512846E-2</v>
      </c>
      <c r="K5" s="443">
        <f>tertiair!K16</f>
        <v>0</v>
      </c>
      <c r="L5" s="443">
        <f ca="1">tertiair!L16</f>
        <v>0</v>
      </c>
      <c r="M5" s="443">
        <f>tertiair!M16</f>
        <v>0</v>
      </c>
      <c r="N5" s="443">
        <f ca="1">tertiair!N16</f>
        <v>1207.1022608905325</v>
      </c>
      <c r="O5" s="443">
        <f>tertiair!O16</f>
        <v>14.691782297523464</v>
      </c>
      <c r="P5" s="444">
        <f>tertiair!P16</f>
        <v>472.85224475845519</v>
      </c>
      <c r="Q5" s="442">
        <f t="shared" ref="Q5:Q14" ca="1" si="0">SUM(B5:P5)</f>
        <v>25468.104732129756</v>
      </c>
    </row>
    <row r="6" spans="1:17">
      <c r="A6" s="442" t="s">
        <v>187</v>
      </c>
      <c r="B6" s="443">
        <f>'openbare verlichting'!B8</f>
        <v>781.59</v>
      </c>
      <c r="C6" s="443"/>
      <c r="D6" s="443"/>
      <c r="E6" s="443"/>
      <c r="F6" s="443"/>
      <c r="G6" s="443"/>
      <c r="H6" s="443"/>
      <c r="I6" s="443"/>
      <c r="J6" s="443"/>
      <c r="K6" s="443"/>
      <c r="L6" s="443"/>
      <c r="M6" s="443"/>
      <c r="N6" s="443"/>
      <c r="O6" s="443"/>
      <c r="P6" s="444"/>
      <c r="Q6" s="442">
        <f t="shared" si="0"/>
        <v>781.59</v>
      </c>
    </row>
    <row r="7" spans="1:17">
      <c r="A7" s="442" t="s">
        <v>105</v>
      </c>
      <c r="B7" s="443">
        <f>landbouw!B8</f>
        <v>3284.9165088070899</v>
      </c>
      <c r="C7" s="443">
        <f>landbouw!C8</f>
        <v>46879.444448194801</v>
      </c>
      <c r="D7" s="443">
        <f>landbouw!D8</f>
        <v>0</v>
      </c>
      <c r="E7" s="443">
        <f>landbouw!E8</f>
        <v>110.77241654481412</v>
      </c>
      <c r="F7" s="443">
        <f>landbouw!F8</f>
        <v>11381.225926273401</v>
      </c>
      <c r="G7" s="443">
        <f>landbouw!G8</f>
        <v>0</v>
      </c>
      <c r="H7" s="443">
        <f>landbouw!H8</f>
        <v>0</v>
      </c>
      <c r="I7" s="443">
        <f>landbouw!I8</f>
        <v>0</v>
      </c>
      <c r="J7" s="443">
        <f>landbouw!J8</f>
        <v>713.00257764920195</v>
      </c>
      <c r="K7" s="443">
        <f>landbouw!K8</f>
        <v>0</v>
      </c>
      <c r="L7" s="443">
        <f>landbouw!L8</f>
        <v>0</v>
      </c>
      <c r="M7" s="443">
        <f>landbouw!M8</f>
        <v>0</v>
      </c>
      <c r="N7" s="443">
        <f>landbouw!N8</f>
        <v>0</v>
      </c>
      <c r="O7" s="443">
        <f>landbouw!O8</f>
        <v>0</v>
      </c>
      <c r="P7" s="444">
        <f>landbouw!P8</f>
        <v>0</v>
      </c>
      <c r="Q7" s="442">
        <f t="shared" si="0"/>
        <v>62369.36187746931</v>
      </c>
    </row>
    <row r="8" spans="1:17">
      <c r="A8" s="442" t="s">
        <v>569</v>
      </c>
      <c r="B8" s="443">
        <f>industrie!B18</f>
        <v>16742.406401952088</v>
      </c>
      <c r="C8" s="443">
        <f>industrie!C18</f>
        <v>0</v>
      </c>
      <c r="D8" s="443">
        <f>industrie!D18</f>
        <v>14421.122488325467</v>
      </c>
      <c r="E8" s="443">
        <f>industrie!E18</f>
        <v>170.35252127908015</v>
      </c>
      <c r="F8" s="443">
        <f>industrie!F18</f>
        <v>4455.7164171079976</v>
      </c>
      <c r="G8" s="443">
        <f>industrie!G18</f>
        <v>0</v>
      </c>
      <c r="H8" s="443">
        <f>industrie!H18</f>
        <v>0</v>
      </c>
      <c r="I8" s="443">
        <f>industrie!I18</f>
        <v>0</v>
      </c>
      <c r="J8" s="443">
        <f>industrie!J18</f>
        <v>17.486177713811546</v>
      </c>
      <c r="K8" s="443">
        <f>industrie!K18</f>
        <v>0</v>
      </c>
      <c r="L8" s="443">
        <f>industrie!L18</f>
        <v>0</v>
      </c>
      <c r="M8" s="443">
        <f>industrie!M18</f>
        <v>0</v>
      </c>
      <c r="N8" s="443">
        <f>industrie!N18</f>
        <v>508.05800266098845</v>
      </c>
      <c r="O8" s="443">
        <f>industrie!O18</f>
        <v>0</v>
      </c>
      <c r="P8" s="444">
        <f>industrie!P18</f>
        <v>0</v>
      </c>
      <c r="Q8" s="442">
        <f t="shared" si="0"/>
        <v>36315.142009039439</v>
      </c>
    </row>
    <row r="9" spans="1:17" s="448" customFormat="1">
      <c r="A9" s="446" t="s">
        <v>521</v>
      </c>
      <c r="B9" s="447">
        <f>transport!B14</f>
        <v>283.45776268880388</v>
      </c>
      <c r="C9" s="447">
        <f>transport!C14</f>
        <v>0</v>
      </c>
      <c r="D9" s="447">
        <f>transport!D14</f>
        <v>276.16062880706011</v>
      </c>
      <c r="E9" s="447">
        <f>transport!E14</f>
        <v>91.806594376817671</v>
      </c>
      <c r="F9" s="447">
        <f>transport!F14</f>
        <v>0</v>
      </c>
      <c r="G9" s="447">
        <f>transport!G14</f>
        <v>46226.470791150969</v>
      </c>
      <c r="H9" s="447">
        <f>transport!H14</f>
        <v>13076.594883294616</v>
      </c>
      <c r="I9" s="447">
        <f>transport!I14</f>
        <v>0</v>
      </c>
      <c r="J9" s="447">
        <f>transport!J14</f>
        <v>0</v>
      </c>
      <c r="K9" s="447">
        <f>transport!K14</f>
        <v>0</v>
      </c>
      <c r="L9" s="447">
        <f>transport!L14</f>
        <v>0</v>
      </c>
      <c r="M9" s="447">
        <f>transport!M14</f>
        <v>6299.7486440043385</v>
      </c>
      <c r="N9" s="447">
        <f>transport!N14</f>
        <v>0</v>
      </c>
      <c r="O9" s="447">
        <f>transport!O14</f>
        <v>0</v>
      </c>
      <c r="P9" s="447">
        <f>transport!P14</f>
        <v>0</v>
      </c>
      <c r="Q9" s="446">
        <f>SUM(B9:P9)</f>
        <v>66254.239304322604</v>
      </c>
    </row>
    <row r="10" spans="1:17">
      <c r="A10" s="442" t="s">
        <v>511</v>
      </c>
      <c r="B10" s="443">
        <f>transport!B54</f>
        <v>10.797498960864143</v>
      </c>
      <c r="C10" s="443">
        <f>transport!C54</f>
        <v>0</v>
      </c>
      <c r="D10" s="443">
        <f>transport!D54</f>
        <v>0</v>
      </c>
      <c r="E10" s="443">
        <f>transport!E54</f>
        <v>0</v>
      </c>
      <c r="F10" s="443">
        <f>transport!F54</f>
        <v>0</v>
      </c>
      <c r="G10" s="443">
        <f>transport!G54</f>
        <v>443.41805649325676</v>
      </c>
      <c r="H10" s="443">
        <f>transport!H54</f>
        <v>0</v>
      </c>
      <c r="I10" s="443">
        <f>transport!I54</f>
        <v>0</v>
      </c>
      <c r="J10" s="443">
        <f>transport!J54</f>
        <v>0</v>
      </c>
      <c r="K10" s="443">
        <f>transport!K54</f>
        <v>0</v>
      </c>
      <c r="L10" s="443">
        <f>transport!L54</f>
        <v>0</v>
      </c>
      <c r="M10" s="443">
        <f>transport!M54</f>
        <v>49.635724091463828</v>
      </c>
      <c r="N10" s="443">
        <f>transport!N54</f>
        <v>0</v>
      </c>
      <c r="O10" s="443">
        <f>transport!O54</f>
        <v>0</v>
      </c>
      <c r="P10" s="444">
        <f>transport!P54</f>
        <v>0</v>
      </c>
      <c r="Q10" s="442">
        <f t="shared" si="0"/>
        <v>503.8512795455847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987.93394261185608</v>
      </c>
      <c r="C14" s="450"/>
      <c r="D14" s="450">
        <f>'SEAP template'!E25</f>
        <v>941.00720009340694</v>
      </c>
      <c r="E14" s="450"/>
      <c r="F14" s="450"/>
      <c r="G14" s="450"/>
      <c r="H14" s="450"/>
      <c r="I14" s="450"/>
      <c r="J14" s="450"/>
      <c r="K14" s="450"/>
      <c r="L14" s="450"/>
      <c r="M14" s="450"/>
      <c r="N14" s="450"/>
      <c r="O14" s="450"/>
      <c r="P14" s="451"/>
      <c r="Q14" s="442">
        <f t="shared" si="0"/>
        <v>1928.941142705263</v>
      </c>
    </row>
    <row r="15" spans="1:17" s="454" customFormat="1">
      <c r="A15" s="452" t="s">
        <v>515</v>
      </c>
      <c r="B15" s="453">
        <f ca="1">SUM(B4:B14)</f>
        <v>50267.461774443982</v>
      </c>
      <c r="C15" s="453">
        <f t="shared" ref="C15:Q15" ca="1" si="1">SUM(C4:C14)</f>
        <v>46879.444448194801</v>
      </c>
      <c r="D15" s="453">
        <f t="shared" ca="1" si="1"/>
        <v>65576.538929662813</v>
      </c>
      <c r="E15" s="453">
        <f t="shared" ca="1" si="1"/>
        <v>1804.3441132205805</v>
      </c>
      <c r="F15" s="453">
        <f t="shared" ca="1" si="1"/>
        <v>36380.549734458436</v>
      </c>
      <c r="G15" s="453">
        <f t="shared" si="1"/>
        <v>46669.888847644223</v>
      </c>
      <c r="H15" s="453">
        <f t="shared" si="1"/>
        <v>13076.594883294616</v>
      </c>
      <c r="I15" s="453">
        <f t="shared" si="1"/>
        <v>0</v>
      </c>
      <c r="J15" s="453">
        <f t="shared" si="1"/>
        <v>843.49234540473287</v>
      </c>
      <c r="K15" s="453">
        <f t="shared" si="1"/>
        <v>0</v>
      </c>
      <c r="L15" s="453">
        <f t="shared" ca="1" si="1"/>
        <v>0</v>
      </c>
      <c r="M15" s="453">
        <f t="shared" si="1"/>
        <v>6349.3843680958025</v>
      </c>
      <c r="N15" s="453">
        <f t="shared" ca="1" si="1"/>
        <v>7076.5320216889004</v>
      </c>
      <c r="O15" s="453">
        <f t="shared" si="1"/>
        <v>401.56363507799466</v>
      </c>
      <c r="P15" s="453">
        <f t="shared" si="1"/>
        <v>873.14269845048602</v>
      </c>
      <c r="Q15" s="453">
        <f t="shared" ca="1" si="1"/>
        <v>276198.93779963738</v>
      </c>
    </row>
    <row r="17" spans="1:17">
      <c r="A17" s="455" t="s">
        <v>516</v>
      </c>
      <c r="B17" s="732">
        <f ca="1">huishoudens!B10</f>
        <v>0.17974940435139664</v>
      </c>
      <c r="C17" s="732">
        <f ca="1">huishoudens!C10</f>
        <v>0.20215683132172119</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3258.1991294695717</v>
      </c>
      <c r="C22" s="443">
        <f t="shared" ref="C22:C32" ca="1" si="3">C4*$C$17</f>
        <v>0</v>
      </c>
      <c r="D22" s="443">
        <f t="shared" ref="D22:D32" si="4">D4*$D$17</f>
        <v>7907.6056480317311</v>
      </c>
      <c r="E22" s="443">
        <f t="shared" ref="E22:E32" si="5">E4*$E$17</f>
        <v>316.26122758834418</v>
      </c>
      <c r="F22" s="443">
        <f t="shared" ref="F22:F32" si="6">F4*$F$17</f>
        <v>4712.5705890040254</v>
      </c>
      <c r="G22" s="443">
        <f t="shared" ref="G22:G32" si="7">G4*$G$17</f>
        <v>0</v>
      </c>
      <c r="H22" s="443">
        <f t="shared" ref="H22:H32" si="8">H4*$H$17</f>
        <v>0</v>
      </c>
      <c r="I22" s="443">
        <f t="shared" ref="I22:I32" si="9">I4*$I$17</f>
        <v>0</v>
      </c>
      <c r="J22" s="443">
        <f t="shared" ref="J22:J32" si="10">J4*$J$17</f>
        <v>39.991615094564011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16234.628209188239</v>
      </c>
    </row>
    <row r="23" spans="1:17">
      <c r="A23" s="442" t="s">
        <v>149</v>
      </c>
      <c r="B23" s="443">
        <f t="shared" ca="1" si="2"/>
        <v>1806.4847361024833</v>
      </c>
      <c r="C23" s="443">
        <f t="shared" ca="1" si="3"/>
        <v>0</v>
      </c>
      <c r="D23" s="443">
        <f t="shared" ca="1" si="4"/>
        <v>2179.9205716805195</v>
      </c>
      <c r="E23" s="443">
        <f t="shared" ca="1" si="5"/>
        <v>8.6694283031660149</v>
      </c>
      <c r="F23" s="443">
        <f t="shared" ca="1" si="6"/>
        <v>772.57258441354315</v>
      </c>
      <c r="G23" s="443">
        <f t="shared" si="7"/>
        <v>0</v>
      </c>
      <c r="H23" s="443">
        <f t="shared" si="8"/>
        <v>0</v>
      </c>
      <c r="I23" s="443">
        <f t="shared" si="9"/>
        <v>0</v>
      </c>
      <c r="J23" s="443">
        <f t="shared" si="10"/>
        <v>1.1655780204655547E-2</v>
      </c>
      <c r="K23" s="443">
        <f t="shared" si="11"/>
        <v>0</v>
      </c>
      <c r="L23" s="443">
        <f t="shared" ca="1" si="12"/>
        <v>0</v>
      </c>
      <c r="M23" s="443">
        <f t="shared" si="13"/>
        <v>0</v>
      </c>
      <c r="N23" s="443">
        <f t="shared" ca="1" si="14"/>
        <v>0</v>
      </c>
      <c r="O23" s="443">
        <f t="shared" si="15"/>
        <v>0</v>
      </c>
      <c r="P23" s="444">
        <f t="shared" si="16"/>
        <v>0</v>
      </c>
      <c r="Q23" s="442">
        <f t="shared" ref="Q23:Q31" ca="1" si="17">SUM(B23:P23)</f>
        <v>4767.6589762799176</v>
      </c>
    </row>
    <row r="24" spans="1:17">
      <c r="A24" s="442" t="s">
        <v>187</v>
      </c>
      <c r="B24" s="443">
        <f t="shared" ca="1" si="2"/>
        <v>140.4903369470081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140.4903369470081</v>
      </c>
    </row>
    <row r="25" spans="1:17">
      <c r="A25" s="442" t="s">
        <v>105</v>
      </c>
      <c r="B25" s="443">
        <f t="shared" ca="1" si="2"/>
        <v>590.46178580214382</v>
      </c>
      <c r="C25" s="443">
        <f t="shared" ca="1" si="3"/>
        <v>9476.9999437697152</v>
      </c>
      <c r="D25" s="443">
        <f t="shared" si="4"/>
        <v>0</v>
      </c>
      <c r="E25" s="443">
        <f t="shared" si="5"/>
        <v>25.145338555672808</v>
      </c>
      <c r="F25" s="443">
        <f t="shared" si="6"/>
        <v>3038.7873223149982</v>
      </c>
      <c r="G25" s="443">
        <f t="shared" si="7"/>
        <v>0</v>
      </c>
      <c r="H25" s="443">
        <f t="shared" si="8"/>
        <v>0</v>
      </c>
      <c r="I25" s="443">
        <f t="shared" si="9"/>
        <v>0</v>
      </c>
      <c r="J25" s="443">
        <f t="shared" si="10"/>
        <v>252.40291248781747</v>
      </c>
      <c r="K25" s="443">
        <f t="shared" si="11"/>
        <v>0</v>
      </c>
      <c r="L25" s="443">
        <f t="shared" si="12"/>
        <v>0</v>
      </c>
      <c r="M25" s="443">
        <f t="shared" si="13"/>
        <v>0</v>
      </c>
      <c r="N25" s="443">
        <f t="shared" si="14"/>
        <v>0</v>
      </c>
      <c r="O25" s="443">
        <f t="shared" si="15"/>
        <v>0</v>
      </c>
      <c r="P25" s="444">
        <f t="shared" si="16"/>
        <v>0</v>
      </c>
      <c r="Q25" s="442">
        <f t="shared" ca="1" si="17"/>
        <v>13383.797302930348</v>
      </c>
    </row>
    <row r="26" spans="1:17">
      <c r="A26" s="442" t="s">
        <v>569</v>
      </c>
      <c r="B26" s="443">
        <f t="shared" ca="1" si="2"/>
        <v>3009.4375781598974</v>
      </c>
      <c r="C26" s="443">
        <f t="shared" ca="1" si="3"/>
        <v>0</v>
      </c>
      <c r="D26" s="443">
        <f t="shared" si="4"/>
        <v>2913.0667426417444</v>
      </c>
      <c r="E26" s="443">
        <f t="shared" si="5"/>
        <v>38.670022330351195</v>
      </c>
      <c r="F26" s="443">
        <f t="shared" si="6"/>
        <v>1189.6762833678354</v>
      </c>
      <c r="G26" s="443">
        <f t="shared" si="7"/>
        <v>0</v>
      </c>
      <c r="H26" s="443">
        <f t="shared" si="8"/>
        <v>0</v>
      </c>
      <c r="I26" s="443">
        <f t="shared" si="9"/>
        <v>0</v>
      </c>
      <c r="J26" s="443">
        <f t="shared" si="10"/>
        <v>6.1901069106892868</v>
      </c>
      <c r="K26" s="443">
        <f t="shared" si="11"/>
        <v>0</v>
      </c>
      <c r="L26" s="443">
        <f t="shared" si="12"/>
        <v>0</v>
      </c>
      <c r="M26" s="443">
        <f t="shared" si="13"/>
        <v>0</v>
      </c>
      <c r="N26" s="443">
        <f t="shared" si="14"/>
        <v>0</v>
      </c>
      <c r="O26" s="443">
        <f t="shared" si="15"/>
        <v>0</v>
      </c>
      <c r="P26" s="444">
        <f t="shared" si="16"/>
        <v>0</v>
      </c>
      <c r="Q26" s="442">
        <f t="shared" ca="1" si="17"/>
        <v>7157.0407334105175</v>
      </c>
    </row>
    <row r="27" spans="1:17" s="448" customFormat="1">
      <c r="A27" s="446" t="s">
        <v>521</v>
      </c>
      <c r="B27" s="726">
        <f t="shared" ca="1" si="2"/>
        <v>50.951364002092042</v>
      </c>
      <c r="C27" s="447">
        <f t="shared" ca="1" si="3"/>
        <v>0</v>
      </c>
      <c r="D27" s="447">
        <f t="shared" si="4"/>
        <v>55.784447019026146</v>
      </c>
      <c r="E27" s="447">
        <f t="shared" si="5"/>
        <v>20.840096923537612</v>
      </c>
      <c r="F27" s="447">
        <f t="shared" si="6"/>
        <v>0</v>
      </c>
      <c r="G27" s="447">
        <f t="shared" si="7"/>
        <v>12342.467701237309</v>
      </c>
      <c r="H27" s="447">
        <f t="shared" si="8"/>
        <v>3256.0721259403595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15726.115735122325</v>
      </c>
    </row>
    <row r="28" spans="1:17" ht="16.5" customHeight="1">
      <c r="A28" s="442" t="s">
        <v>511</v>
      </c>
      <c r="B28" s="443">
        <f t="shared" ca="1" si="2"/>
        <v>1.9408440067001538</v>
      </c>
      <c r="C28" s="443">
        <f t="shared" ca="1" si="3"/>
        <v>0</v>
      </c>
      <c r="D28" s="443">
        <f t="shared" si="4"/>
        <v>0</v>
      </c>
      <c r="E28" s="443">
        <f t="shared" si="5"/>
        <v>0</v>
      </c>
      <c r="F28" s="443">
        <f t="shared" si="6"/>
        <v>0</v>
      </c>
      <c r="G28" s="443">
        <f t="shared" si="7"/>
        <v>118.39262108369957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120.33346509039973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177.58053772300801</v>
      </c>
      <c r="C32" s="443">
        <f t="shared" ca="1" si="3"/>
        <v>0</v>
      </c>
      <c r="D32" s="443">
        <f t="shared" si="4"/>
        <v>190.0834544188682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367.66399214187618</v>
      </c>
    </row>
    <row r="33" spans="1:17" s="454" customFormat="1">
      <c r="A33" s="452" t="s">
        <v>515</v>
      </c>
      <c r="B33" s="453">
        <f ca="1">SUM(B22:B32)</f>
        <v>9035.546312212904</v>
      </c>
      <c r="C33" s="453">
        <f t="shared" ref="C33:Q33" ca="1" si="19">SUM(C22:C32)</f>
        <v>9476.9999437697152</v>
      </c>
      <c r="D33" s="453">
        <f t="shared" ca="1" si="19"/>
        <v>13246.460863791888</v>
      </c>
      <c r="E33" s="453">
        <f t="shared" ca="1" si="19"/>
        <v>409.58611370107178</v>
      </c>
      <c r="F33" s="453">
        <f t="shared" ca="1" si="19"/>
        <v>9713.6067791004007</v>
      </c>
      <c r="G33" s="453">
        <f t="shared" si="19"/>
        <v>12460.860322321008</v>
      </c>
      <c r="H33" s="453">
        <f t="shared" si="19"/>
        <v>3256.0721259403595</v>
      </c>
      <c r="I33" s="453">
        <f t="shared" si="19"/>
        <v>0</v>
      </c>
      <c r="J33" s="453">
        <f t="shared" si="19"/>
        <v>298.59629027327543</v>
      </c>
      <c r="K33" s="453">
        <f t="shared" si="19"/>
        <v>0</v>
      </c>
      <c r="L33" s="453">
        <f t="shared" ca="1" si="19"/>
        <v>0</v>
      </c>
      <c r="M33" s="453">
        <f t="shared" si="19"/>
        <v>0</v>
      </c>
      <c r="N33" s="453">
        <f t="shared" ca="1" si="19"/>
        <v>0</v>
      </c>
      <c r="O33" s="453">
        <f t="shared" si="19"/>
        <v>0</v>
      </c>
      <c r="P33" s="453">
        <f t="shared" si="19"/>
        <v>0</v>
      </c>
      <c r="Q33" s="453">
        <f t="shared" ca="1" si="19"/>
        <v>57897.728751110633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6684.3879195171448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31646.111113642801</v>
      </c>
      <c r="D8" s="967">
        <f>'SEAP template'!D76</f>
        <v>31670.680922718482</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6397.4775463891337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6684.3879195171448</v>
      </c>
      <c r="C10" s="969">
        <f>SUM(C4:C9)</f>
        <v>31646.111113642801</v>
      </c>
      <c r="D10" s="969">
        <f t="shared" ref="D10:H10" si="0">SUM(D8:D9)</f>
        <v>31670.680922718482</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6397.4775463891337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0.17974940435139664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46879.444448194801</v>
      </c>
      <c r="D17" s="968">
        <f>'SEAP template'!D87</f>
        <v>46915.841305790666</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9476.9999437697152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46879.444448194801</v>
      </c>
      <c r="D20" s="969">
        <f t="shared" ref="D20:H20" si="2">SUM(D17:D19)</f>
        <v>46915.841305790666</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9476.9999437697152</v>
      </c>
    </row>
    <row r="21" spans="1:16">
      <c r="B21" s="836"/>
    </row>
    <row r="22" spans="1:16">
      <c r="A22" s="455" t="s">
        <v>677</v>
      </c>
      <c r="B22" s="732" t="s">
        <v>675</v>
      </c>
      <c r="C22" s="732">
        <f ca="1">'EF ele_warmte'!B22</f>
        <v>0.20215683132172119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0.17974940435139664</v>
      </c>
      <c r="C17" s="492">
        <f ca="1">'EF ele_warmte'!B22</f>
        <v>0.20215683132172119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0.17974940435139664</v>
      </c>
      <c r="C17" s="492">
        <f ca="1">'EF ele_warmte'!B22</f>
        <v>0.20215683132172119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0.17974940435139664</v>
      </c>
      <c r="C29" s="493">
        <f ca="1">'EF ele_warmte'!B22</f>
        <v>0.20215683132172119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4730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739.93999999999971</v>
      </c>
      <c r="C14" s="323"/>
      <c r="D14" s="323"/>
      <c r="E14" s="323"/>
      <c r="F14" s="323"/>
    </row>
    <row r="15" spans="1:6">
      <c r="A15" s="1266" t="s">
        <v>177</v>
      </c>
      <c r="B15" s="1267">
        <v>556</v>
      </c>
      <c r="C15" s="323"/>
      <c r="D15" s="323"/>
      <c r="E15" s="323"/>
      <c r="F15" s="323"/>
    </row>
    <row r="16" spans="1:6">
      <c r="A16" s="1266" t="s">
        <v>6</v>
      </c>
      <c r="B16" s="1267">
        <v>121</v>
      </c>
      <c r="C16" s="323"/>
      <c r="D16" s="323"/>
      <c r="E16" s="323"/>
      <c r="F16" s="323"/>
    </row>
    <row r="17" spans="1:6">
      <c r="A17" s="1266" t="s">
        <v>7</v>
      </c>
      <c r="B17" s="1267">
        <v>65</v>
      </c>
      <c r="C17" s="323"/>
      <c r="D17" s="323"/>
      <c r="E17" s="323"/>
      <c r="F17" s="323"/>
    </row>
    <row r="18" spans="1:6">
      <c r="A18" s="1266" t="s">
        <v>8</v>
      </c>
      <c r="B18" s="1267">
        <v>141</v>
      </c>
      <c r="C18" s="323"/>
      <c r="D18" s="323"/>
      <c r="E18" s="323"/>
      <c r="F18" s="323"/>
    </row>
    <row r="19" spans="1:6">
      <c r="A19" s="1266" t="s">
        <v>9</v>
      </c>
      <c r="B19" s="1267">
        <v>120</v>
      </c>
      <c r="C19" s="323"/>
      <c r="D19" s="323"/>
      <c r="E19" s="323"/>
      <c r="F19" s="323"/>
    </row>
    <row r="20" spans="1:6">
      <c r="A20" s="1266" t="s">
        <v>10</v>
      </c>
      <c r="B20" s="1267">
        <v>75</v>
      </c>
      <c r="C20" s="323"/>
      <c r="D20" s="323"/>
      <c r="E20" s="323"/>
      <c r="F20" s="323"/>
    </row>
    <row r="21" spans="1:6">
      <c r="A21" s="1266" t="s">
        <v>11</v>
      </c>
      <c r="B21" s="1267">
        <v>1115</v>
      </c>
      <c r="C21" s="323"/>
      <c r="D21" s="323"/>
      <c r="E21" s="323"/>
      <c r="F21" s="323"/>
    </row>
    <row r="22" spans="1:6">
      <c r="A22" s="1266" t="s">
        <v>12</v>
      </c>
      <c r="B22" s="1267">
        <v>6120</v>
      </c>
      <c r="C22" s="323"/>
      <c r="D22" s="323"/>
      <c r="E22" s="323"/>
      <c r="F22" s="323"/>
    </row>
    <row r="23" spans="1:6">
      <c r="A23" s="1266" t="s">
        <v>13</v>
      </c>
      <c r="B23" s="1267">
        <v>49</v>
      </c>
      <c r="C23" s="323"/>
      <c r="D23" s="323"/>
      <c r="E23" s="323"/>
      <c r="F23" s="323"/>
    </row>
    <row r="24" spans="1:6">
      <c r="A24" s="1266" t="s">
        <v>14</v>
      </c>
      <c r="B24" s="1267">
        <v>3</v>
      </c>
      <c r="C24" s="323"/>
      <c r="D24" s="323"/>
      <c r="E24" s="323"/>
      <c r="F24" s="323"/>
    </row>
    <row r="25" spans="1:6">
      <c r="A25" s="1266" t="s">
        <v>15</v>
      </c>
      <c r="B25" s="1267">
        <v>354</v>
      </c>
      <c r="C25" s="323"/>
      <c r="D25" s="323"/>
      <c r="E25" s="323"/>
      <c r="F25" s="323"/>
    </row>
    <row r="26" spans="1:6">
      <c r="A26" s="1266" t="s">
        <v>16</v>
      </c>
      <c r="B26" s="1267">
        <v>33</v>
      </c>
      <c r="C26" s="323"/>
      <c r="D26" s="323"/>
      <c r="E26" s="323"/>
      <c r="F26" s="323"/>
    </row>
    <row r="27" spans="1:6">
      <c r="A27" s="1266" t="s">
        <v>17</v>
      </c>
      <c r="B27" s="1267">
        <v>0</v>
      </c>
      <c r="C27" s="323"/>
      <c r="D27" s="323"/>
      <c r="E27" s="323"/>
      <c r="F27" s="323"/>
    </row>
    <row r="28" spans="1:6">
      <c r="A28" s="1268" t="s">
        <v>18</v>
      </c>
      <c r="B28" s="1269">
        <v>103908</v>
      </c>
      <c r="C28" s="323"/>
      <c r="D28" s="323"/>
      <c r="E28" s="323"/>
      <c r="F28" s="323"/>
    </row>
    <row r="29" spans="1:6">
      <c r="A29" s="1268" t="s">
        <v>628</v>
      </c>
      <c r="B29" s="1269">
        <v>61</v>
      </c>
      <c r="C29" s="323"/>
      <c r="D29" s="323"/>
      <c r="E29" s="323"/>
      <c r="F29" s="323"/>
    </row>
    <row r="30" spans="1:6">
      <c r="A30" s="1261" t="s">
        <v>629</v>
      </c>
      <c r="B30" s="1270">
        <v>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8</v>
      </c>
      <c r="F36" s="1267">
        <v>156933.05190575501</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3389</v>
      </c>
      <c r="D39" s="1267">
        <v>43351675.0985808</v>
      </c>
      <c r="E39" s="1267">
        <v>4526</v>
      </c>
      <c r="F39" s="1267">
        <v>13283284.915478</v>
      </c>
    </row>
    <row r="40" spans="1:6">
      <c r="A40" s="1266" t="s">
        <v>29</v>
      </c>
      <c r="B40" s="1266" t="s">
        <v>28</v>
      </c>
      <c r="C40" s="1267">
        <v>0</v>
      </c>
      <c r="D40" s="1267">
        <v>0</v>
      </c>
      <c r="E40" s="1267">
        <v>0</v>
      </c>
      <c r="F40" s="1267">
        <v>0</v>
      </c>
    </row>
    <row r="41" spans="1:6">
      <c r="A41" s="1266" t="s">
        <v>31</v>
      </c>
      <c r="B41" s="1266" t="s">
        <v>32</v>
      </c>
      <c r="C41" s="1267">
        <v>118</v>
      </c>
      <c r="D41" s="1267">
        <v>2894184.5369839198</v>
      </c>
      <c r="E41" s="1267">
        <v>246</v>
      </c>
      <c r="F41" s="1267">
        <v>4702089.8388134697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9</v>
      </c>
      <c r="D44" s="1267">
        <v>148510.495965287</v>
      </c>
      <c r="E44" s="1267">
        <v>26</v>
      </c>
      <c r="F44" s="1267">
        <v>798607.46802350995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1040485.15159207</v>
      </c>
    </row>
    <row r="48" spans="1:6">
      <c r="A48" s="1266" t="s">
        <v>31</v>
      </c>
      <c r="B48" s="1266" t="s">
        <v>28</v>
      </c>
      <c r="C48" s="1267">
        <v>4</v>
      </c>
      <c r="D48" s="1267">
        <v>4227571.9136206601</v>
      </c>
      <c r="E48" s="1267">
        <v>3</v>
      </c>
      <c r="F48" s="1267">
        <v>2022889.85222597</v>
      </c>
    </row>
    <row r="49" spans="1:6">
      <c r="A49" s="1266" t="s">
        <v>31</v>
      </c>
      <c r="B49" s="1266" t="s">
        <v>39</v>
      </c>
      <c r="C49" s="1267">
        <v>3</v>
      </c>
      <c r="D49" s="1267">
        <v>6449982.6273619598</v>
      </c>
      <c r="E49" s="1267">
        <v>19</v>
      </c>
      <c r="F49" s="1267">
        <v>2297006.0104837702</v>
      </c>
    </row>
    <row r="50" spans="1:6">
      <c r="A50" s="1266" t="s">
        <v>31</v>
      </c>
      <c r="B50" s="1266" t="s">
        <v>40</v>
      </c>
      <c r="C50" s="1267">
        <v>7</v>
      </c>
      <c r="D50" s="1267">
        <v>2249985.7398283798</v>
      </c>
      <c r="E50" s="1267">
        <v>16</v>
      </c>
      <c r="F50" s="1267">
        <v>5881328.0808132999</v>
      </c>
    </row>
    <row r="51" spans="1:6">
      <c r="A51" s="1266" t="s">
        <v>41</v>
      </c>
      <c r="B51" s="1266" t="s">
        <v>42</v>
      </c>
      <c r="C51" s="1267">
        <v>18</v>
      </c>
      <c r="D51" s="1267">
        <v>85949351.111811996</v>
      </c>
      <c r="E51" s="1267">
        <v>65</v>
      </c>
      <c r="F51" s="1267">
        <v>3284916.5088070901</v>
      </c>
    </row>
    <row r="52" spans="1:6">
      <c r="A52" s="1266" t="s">
        <v>41</v>
      </c>
      <c r="B52" s="1266" t="s">
        <v>28</v>
      </c>
      <c r="C52" s="1267">
        <v>0</v>
      </c>
      <c r="D52" s="1267">
        <v>0</v>
      </c>
      <c r="E52" s="1267">
        <v>0</v>
      </c>
      <c r="F52" s="1267">
        <v>0</v>
      </c>
    </row>
    <row r="53" spans="1:6">
      <c r="A53" s="1266" t="s">
        <v>43</v>
      </c>
      <c r="B53" s="1266" t="s">
        <v>44</v>
      </c>
      <c r="C53" s="1267">
        <v>69</v>
      </c>
      <c r="D53" s="1267">
        <v>941007.20009340695</v>
      </c>
      <c r="E53" s="1267">
        <v>146</v>
      </c>
      <c r="F53" s="1267">
        <v>987933.94261185604</v>
      </c>
    </row>
    <row r="54" spans="1:6">
      <c r="A54" s="1266" t="s">
        <v>45</v>
      </c>
      <c r="B54" s="1266" t="s">
        <v>46</v>
      </c>
      <c r="C54" s="1267">
        <v>0</v>
      </c>
      <c r="D54" s="1267">
        <v>0</v>
      </c>
      <c r="E54" s="1267">
        <v>1</v>
      </c>
      <c r="F54" s="1267">
        <v>781590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49</v>
      </c>
      <c r="D57" s="1267">
        <v>1943673.68669785</v>
      </c>
      <c r="E57" s="1267">
        <v>88</v>
      </c>
      <c r="F57" s="1267">
        <v>3072037.7544225198</v>
      </c>
    </row>
    <row r="58" spans="1:6">
      <c r="A58" s="1266" t="s">
        <v>48</v>
      </c>
      <c r="B58" s="1266" t="s">
        <v>50</v>
      </c>
      <c r="C58" s="1267">
        <v>29</v>
      </c>
      <c r="D58" s="1267">
        <v>3424237.0316030802</v>
      </c>
      <c r="E58" s="1267">
        <v>31</v>
      </c>
      <c r="F58" s="1267">
        <v>1094815.3005395001</v>
      </c>
    </row>
    <row r="59" spans="1:6">
      <c r="A59" s="1266" t="s">
        <v>48</v>
      </c>
      <c r="B59" s="1266" t="s">
        <v>51</v>
      </c>
      <c r="C59" s="1267">
        <v>91</v>
      </c>
      <c r="D59" s="1267">
        <v>2533890.5466586798</v>
      </c>
      <c r="E59" s="1267">
        <v>179</v>
      </c>
      <c r="F59" s="1267">
        <v>3503564.4222595398</v>
      </c>
    </row>
    <row r="60" spans="1:6">
      <c r="A60" s="1266" t="s">
        <v>48</v>
      </c>
      <c r="B60" s="1266" t="s">
        <v>52</v>
      </c>
      <c r="C60" s="1267">
        <v>35</v>
      </c>
      <c r="D60" s="1267">
        <v>1279581.6065829</v>
      </c>
      <c r="E60" s="1267">
        <v>46</v>
      </c>
      <c r="F60" s="1267">
        <v>711453.01982585795</v>
      </c>
    </row>
    <row r="61" spans="1:6">
      <c r="A61" s="1266" t="s">
        <v>48</v>
      </c>
      <c r="B61" s="1266" t="s">
        <v>53</v>
      </c>
      <c r="C61" s="1267">
        <v>119</v>
      </c>
      <c r="D61" s="1267">
        <v>2073193.4045996501</v>
      </c>
      <c r="E61" s="1267">
        <v>238</v>
      </c>
      <c r="F61" s="1267">
        <v>1539877.74118522</v>
      </c>
    </row>
    <row r="62" spans="1:6">
      <c r="A62" s="1266" t="s">
        <v>48</v>
      </c>
      <c r="B62" s="1266" t="s">
        <v>54</v>
      </c>
      <c r="C62" s="1267">
        <v>12</v>
      </c>
      <c r="D62" s="1267">
        <v>696349.52498564997</v>
      </c>
      <c r="E62" s="1267">
        <v>13</v>
      </c>
      <c r="F62" s="1267">
        <v>128269.688786142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1097.5666138910001</v>
      </c>
      <c r="E65" s="1267">
        <v>1</v>
      </c>
      <c r="F65" s="1267">
        <v>3605.8383176399998</v>
      </c>
    </row>
    <row r="66" spans="1:6">
      <c r="A66" s="1266" t="s">
        <v>55</v>
      </c>
      <c r="B66" s="1266" t="s">
        <v>57</v>
      </c>
      <c r="C66" s="1267">
        <v>0</v>
      </c>
      <c r="D66" s="1267">
        <v>0</v>
      </c>
      <c r="E66" s="1267">
        <v>10</v>
      </c>
      <c r="F66" s="1267">
        <v>141010.24397720399</v>
      </c>
    </row>
    <row r="67" spans="1:6">
      <c r="A67" s="1268" t="s">
        <v>55</v>
      </c>
      <c r="B67" s="1268" t="s">
        <v>58</v>
      </c>
      <c r="C67" s="1267">
        <v>0</v>
      </c>
      <c r="D67" s="1267">
        <v>0</v>
      </c>
      <c r="E67" s="1267">
        <v>0</v>
      </c>
      <c r="F67" s="1267">
        <v>0</v>
      </c>
    </row>
    <row r="68" spans="1:6">
      <c r="A68" s="1261" t="s">
        <v>55</v>
      </c>
      <c r="B68" s="1261" t="s">
        <v>59</v>
      </c>
      <c r="C68" s="1270">
        <v>4</v>
      </c>
      <c r="D68" s="1270">
        <v>41803.132642997101</v>
      </c>
      <c r="E68" s="1270">
        <v>10</v>
      </c>
      <c r="F68" s="1270">
        <v>78466.607636166897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54858689</v>
      </c>
      <c r="E73" s="441"/>
      <c r="F73" s="323"/>
    </row>
    <row r="74" spans="1:6">
      <c r="A74" s="1266" t="s">
        <v>63</v>
      </c>
      <c r="B74" s="1266" t="s">
        <v>589</v>
      </c>
      <c r="C74" s="1280" t="s">
        <v>591</v>
      </c>
      <c r="D74" s="1281">
        <v>7134013.2603112701</v>
      </c>
      <c r="E74" s="441"/>
      <c r="F74" s="323"/>
    </row>
    <row r="75" spans="1:6">
      <c r="A75" s="1266" t="s">
        <v>64</v>
      </c>
      <c r="B75" s="1266" t="s">
        <v>588</v>
      </c>
      <c r="C75" s="1280" t="s">
        <v>592</v>
      </c>
      <c r="D75" s="1281">
        <v>10560350</v>
      </c>
      <c r="E75" s="441"/>
      <c r="F75" s="323"/>
    </row>
    <row r="76" spans="1:6">
      <c r="A76" s="1266" t="s">
        <v>64</v>
      </c>
      <c r="B76" s="1266" t="s">
        <v>589</v>
      </c>
      <c r="C76" s="1280" t="s">
        <v>593</v>
      </c>
      <c r="D76" s="1281">
        <v>776708.26031127037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140889.47937745927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4843.0568169265016</v>
      </c>
      <c r="C91" s="323"/>
      <c r="D91" s="323"/>
      <c r="E91" s="323"/>
      <c r="F91" s="323"/>
    </row>
    <row r="92" spans="1:6">
      <c r="A92" s="1261" t="s">
        <v>68</v>
      </c>
      <c r="B92" s="1262">
        <v>1841.331102590643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2052</v>
      </c>
      <c r="C97" s="323"/>
      <c r="D97" s="323"/>
      <c r="E97" s="323"/>
      <c r="F97" s="323"/>
    </row>
    <row r="98" spans="1:6">
      <c r="A98" s="1266" t="s">
        <v>71</v>
      </c>
      <c r="B98" s="1267">
        <v>2</v>
      </c>
      <c r="C98" s="323"/>
      <c r="D98" s="323"/>
      <c r="E98" s="323"/>
      <c r="F98" s="323"/>
    </row>
    <row r="99" spans="1:6">
      <c r="A99" s="1266" t="s">
        <v>72</v>
      </c>
      <c r="B99" s="1267">
        <v>59</v>
      </c>
      <c r="C99" s="323"/>
      <c r="D99" s="323"/>
      <c r="E99" s="323"/>
      <c r="F99" s="323"/>
    </row>
    <row r="100" spans="1:6">
      <c r="A100" s="1266" t="s">
        <v>73</v>
      </c>
      <c r="B100" s="1267">
        <v>288</v>
      </c>
      <c r="C100" s="323"/>
      <c r="D100" s="323"/>
      <c r="E100" s="323"/>
      <c r="F100" s="323"/>
    </row>
    <row r="101" spans="1:6">
      <c r="A101" s="1266" t="s">
        <v>74</v>
      </c>
      <c r="B101" s="1267">
        <v>90</v>
      </c>
      <c r="C101" s="323"/>
      <c r="D101" s="323"/>
      <c r="E101" s="323"/>
      <c r="F101" s="323"/>
    </row>
    <row r="102" spans="1:6">
      <c r="A102" s="1266" t="s">
        <v>75</v>
      </c>
      <c r="B102" s="1267">
        <v>91</v>
      </c>
      <c r="C102" s="323"/>
      <c r="D102" s="323"/>
      <c r="E102" s="323"/>
      <c r="F102" s="323"/>
    </row>
    <row r="103" spans="1:6">
      <c r="A103" s="1266" t="s">
        <v>76</v>
      </c>
      <c r="B103" s="1267">
        <v>141</v>
      </c>
      <c r="C103" s="323"/>
      <c r="D103" s="323"/>
      <c r="E103" s="323"/>
      <c r="F103" s="323"/>
    </row>
    <row r="104" spans="1:6">
      <c r="A104" s="1266" t="s">
        <v>77</v>
      </c>
      <c r="B104" s="1267">
        <v>1324</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19</v>
      </c>
      <c r="C123" s="1267">
        <v>31</v>
      </c>
      <c r="D123" s="323"/>
      <c r="E123" s="323"/>
      <c r="F123" s="323"/>
    </row>
    <row r="124" spans="1:6">
      <c r="A124" s="1268" t="s">
        <v>88</v>
      </c>
      <c r="B124" s="1289">
        <v>1</v>
      </c>
      <c r="C124" s="1289">
        <v>0</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164</v>
      </c>
      <c r="C129" s="323"/>
      <c r="D129" s="323"/>
      <c r="E129" s="323"/>
      <c r="F129" s="323"/>
    </row>
    <row r="130" spans="1:6">
      <c r="A130" s="1266" t="s">
        <v>282</v>
      </c>
      <c r="B130" s="1267">
        <v>3</v>
      </c>
      <c r="C130" s="323"/>
      <c r="D130" s="323"/>
      <c r="E130" s="323"/>
      <c r="F130" s="323"/>
    </row>
    <row r="131" spans="1:6">
      <c r="A131" s="1266" t="s">
        <v>283</v>
      </c>
      <c r="B131" s="1267">
        <v>8</v>
      </c>
      <c r="C131" s="323"/>
      <c r="D131" s="323"/>
      <c r="E131" s="323"/>
      <c r="F131" s="323"/>
    </row>
    <row r="132" spans="1:6">
      <c r="A132" s="1261" t="s">
        <v>284</v>
      </c>
      <c r="B132" s="1262">
        <v>18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50267.461774443982</v>
      </c>
      <c r="C3" s="43" t="s">
        <v>163</v>
      </c>
      <c r="D3" s="43"/>
      <c r="E3" s="153"/>
      <c r="F3" s="43"/>
      <c r="G3" s="43"/>
      <c r="H3" s="43"/>
      <c r="I3" s="43"/>
      <c r="J3" s="43"/>
      <c r="K3" s="96"/>
    </row>
    <row r="4" spans="1:11">
      <c r="A4" s="348" t="s">
        <v>164</v>
      </c>
      <c r="B4" s="49">
        <f>IF(ISERROR('SEAP template'!B78+'SEAP template'!C78),0,'SEAP template'!B78+'SEAP template'!C78)</f>
        <v>38330.499033159947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6397.4775463891337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0.17974940435139664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9476.9999437697152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46879.444448194801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0.20215683132172119</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781.59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781.59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0.17974940435139664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140.4903369470081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13283.284915478</v>
      </c>
      <c r="C5" s="17">
        <f>IF(ISERROR('Eigen informatie GS &amp; warmtenet'!B59),0,'Eigen informatie GS &amp; warmtenet'!B59)</f>
        <v>0</v>
      </c>
      <c r="D5" s="30">
        <f>(SUM(HH_hh_gas_kWh,HH_rest_gas_kWh)/1000)*0.903</f>
        <v>39146.562614018469</v>
      </c>
      <c r="E5" s="17">
        <f>B32*B41</f>
        <v>1393.2212669090052</v>
      </c>
      <c r="F5" s="17">
        <f>B36*B45</f>
        <v>17650.077112374627</v>
      </c>
      <c r="G5" s="18"/>
      <c r="H5" s="17"/>
      <c r="I5" s="17"/>
      <c r="J5" s="17">
        <f>B35*B44+C35*C44</f>
        <v>112.97066410893788</v>
      </c>
      <c r="K5" s="17"/>
      <c r="L5" s="17"/>
      <c r="M5" s="17"/>
      <c r="N5" s="17">
        <f>B34*B43+C34*C43</f>
        <v>5361.3717581373794</v>
      </c>
      <c r="O5" s="17">
        <f>B52*B53*B54</f>
        <v>386.87185278047122</v>
      </c>
      <c r="P5" s="17">
        <f>B60*B61*B62/1000-B60*B61*B62/1000/B63</f>
        <v>400.29045369203089</v>
      </c>
    </row>
    <row r="6" spans="1:16">
      <c r="A6" s="16" t="s">
        <v>556</v>
      </c>
      <c r="B6" s="734">
        <f>kWh_PV_kleiner_dan_10kW</f>
        <v>4843.0568169265016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18126.3417324045</v>
      </c>
      <c r="C8" s="21">
        <f>C5</f>
        <v>0</v>
      </c>
      <c r="D8" s="21">
        <f>D5</f>
        <v>39146.562614018469</v>
      </c>
      <c r="E8" s="21">
        <f>E5</f>
        <v>1393.2212669090052</v>
      </c>
      <c r="F8" s="21">
        <f>F5</f>
        <v>17650.077112374627</v>
      </c>
      <c r="G8" s="21"/>
      <c r="H8" s="21"/>
      <c r="I8" s="21"/>
      <c r="J8" s="21">
        <f>J5</f>
        <v>112.97066410893788</v>
      </c>
      <c r="K8" s="21"/>
      <c r="L8" s="21">
        <f>L5</f>
        <v>0</v>
      </c>
      <c r="M8" s="21">
        <f>M5</f>
        <v>0</v>
      </c>
      <c r="N8" s="21">
        <f>N5</f>
        <v>5361.3717581373794</v>
      </c>
      <c r="O8" s="21">
        <f>O5</f>
        <v>386.87185278047122</v>
      </c>
      <c r="P8" s="21">
        <f>P5</f>
        <v>400.29045369203089</v>
      </c>
    </row>
    <row r="9" spans="1:16">
      <c r="B9" s="19"/>
      <c r="C9" s="19"/>
      <c r="D9" s="253"/>
      <c r="E9" s="19"/>
      <c r="F9" s="19"/>
      <c r="G9" s="19"/>
      <c r="H9" s="19"/>
      <c r="I9" s="19"/>
      <c r="J9" s="19"/>
      <c r="K9" s="19"/>
      <c r="L9" s="19"/>
      <c r="M9" s="19"/>
      <c r="N9" s="19"/>
      <c r="O9" s="19"/>
      <c r="P9" s="19"/>
    </row>
    <row r="10" spans="1:16">
      <c r="A10" s="24" t="s">
        <v>207</v>
      </c>
      <c r="B10" s="25">
        <f ca="1">'EF ele_warmte'!B12</f>
        <v>0.17974940435139664</v>
      </c>
      <c r="C10" s="25">
        <f ca="1">'EF ele_warmte'!B22</f>
        <v>0.20215683132172119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3258.1991294695717</v>
      </c>
      <c r="C12" s="23">
        <f ca="1">C10*C8</f>
        <v>0</v>
      </c>
      <c r="D12" s="23">
        <f>D8*D10</f>
        <v>7907.6056480317311</v>
      </c>
      <c r="E12" s="23">
        <f>E10*E8</f>
        <v>316.26122758834418</v>
      </c>
      <c r="F12" s="23">
        <f>F10*F8</f>
        <v>4712.5705890040254</v>
      </c>
      <c r="G12" s="23"/>
      <c r="H12" s="23"/>
      <c r="I12" s="23"/>
      <c r="J12" s="23">
        <f>J10*J8</f>
        <v>39.991615094564011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4730</v>
      </c>
      <c r="C26" s="36"/>
      <c r="D26" s="224"/>
    </row>
    <row r="27" spans="1:5" s="15" customFormat="1">
      <c r="A27" s="226" t="s">
        <v>770</v>
      </c>
      <c r="B27" s="37">
        <f>SUM(HH_hh_gas_aantal,HH_rest_gas_aantal)</f>
        <v>3389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3219.55</v>
      </c>
      <c r="C31" s="34" t="s">
        <v>104</v>
      </c>
      <c r="D31" s="170"/>
    </row>
    <row r="32" spans="1:5">
      <c r="A32" s="167" t="s">
        <v>72</v>
      </c>
      <c r="B32" s="33">
        <f>IF((B21*($B$26-($B$27-0.05*$B$27)-$B$60))&lt;0,0,(B21*($B$26-($B$27-0.05*$B$27)-$B$60)))</f>
        <v>24.052751475435301</v>
      </c>
      <c r="C32" s="34" t="s">
        <v>104</v>
      </c>
      <c r="D32" s="170"/>
    </row>
    <row r="33" spans="1:6">
      <c r="A33" s="167" t="s">
        <v>73</v>
      </c>
      <c r="B33" s="33">
        <f>IF((B22*($B$26-($B$27-0.05*$B$27)-$B$60))&lt;0,0,B22*($B$26-($B$27-0.05*$B$27)-$B$60))</f>
        <v>390.56904696391388</v>
      </c>
      <c r="C33" s="34" t="s">
        <v>104</v>
      </c>
      <c r="D33" s="170"/>
    </row>
    <row r="34" spans="1:6">
      <c r="A34" s="167" t="s">
        <v>74</v>
      </c>
      <c r="B34" s="33">
        <f>IF((B24*($B$26-($B$27-0.05*$B$27)-$B$60))&lt;0,0,B24*($B$26-($B$27-0.05*$B$27)-$B$60))</f>
        <v>170.77891804137906</v>
      </c>
      <c r="C34" s="33">
        <f>B26*C24</f>
        <v>794.63886369977047</v>
      </c>
      <c r="D34" s="229"/>
    </row>
    <row r="35" spans="1:6">
      <c r="A35" s="167" t="s">
        <v>76</v>
      </c>
      <c r="B35" s="33">
        <f>IF((B19*($B$26-($B$27-0.05*$B$27)-$B$60))&lt;0,0,B19*($B$26-($B$27-0.05*$B$27)-$B$60))</f>
        <v>10.455673723042644</v>
      </c>
      <c r="C35" s="33">
        <f>B35/2</f>
        <v>5.2278368615213218</v>
      </c>
      <c r="D35" s="229"/>
    </row>
    <row r="36" spans="1:6">
      <c r="A36" s="167" t="s">
        <v>77</v>
      </c>
      <c r="B36" s="33">
        <f>IF((B18*($B$26-($B$27-0.05*$B$27)-$B$60))&lt;0,0,B18*($B$26-($B$27-0.05*$B$27)-$B$60))</f>
        <v>876.59360979622829</v>
      </c>
      <c r="C36" s="34" t="s">
        <v>104</v>
      </c>
      <c r="D36" s="170"/>
    </row>
    <row r="37" spans="1:6">
      <c r="A37" s="167" t="s">
        <v>78</v>
      </c>
      <c r="B37" s="33">
        <f>B60</f>
        <v>38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10050.017927018778</v>
      </c>
      <c r="C5" s="17">
        <f>IF(ISERROR('Eigen informatie GS &amp; warmtenet'!B60),0,'Eigen informatie GS &amp; warmtenet'!B60)</f>
        <v>0</v>
      </c>
      <c r="D5" s="30">
        <f>SUM(D6:D12)</f>
        <v>10791.685998418412</v>
      </c>
      <c r="E5" s="17">
        <f>SUM(E6:E12)</f>
        <v>38.191314110863502</v>
      </c>
      <c r="F5" s="17">
        <f>SUM(F6:F12)</f>
        <v>2893.5302787024089</v>
      </c>
      <c r="G5" s="18"/>
      <c r="H5" s="17"/>
      <c r="I5" s="17"/>
      <c r="J5" s="17">
        <f>SUM(J6:J12)</f>
        <v>3.2925932781512846E-2</v>
      </c>
      <c r="K5" s="17"/>
      <c r="L5" s="17"/>
      <c r="M5" s="17"/>
      <c r="N5" s="17">
        <f>SUM(N6:N12)</f>
        <v>1207.1022608905325</v>
      </c>
      <c r="O5" s="17">
        <f>B38*B39*B40</f>
        <v>14.691782297523464</v>
      </c>
      <c r="P5" s="17">
        <f>B46*B47*B48/1000-B46*B47*B48/1000/B49</f>
        <v>472.85224475845519</v>
      </c>
      <c r="R5" s="32"/>
    </row>
    <row r="6" spans="1:18">
      <c r="A6" s="32" t="s">
        <v>53</v>
      </c>
      <c r="B6" s="37">
        <f>B26</f>
        <v>1539.87774118522</v>
      </c>
      <c r="C6" s="33"/>
      <c r="D6" s="37">
        <f>IF(ISERROR(TER_kantoor_gas_kWh/1000),0,TER_kantoor_gas_kWh/1000)*0.903</f>
        <v>1872.093644353484</v>
      </c>
      <c r="E6" s="33">
        <f>$C$26*'E Balans VL '!I12/100/3.6*1000000</f>
        <v>0</v>
      </c>
      <c r="F6" s="33">
        <f>$C$26*('E Balans VL '!L12+'E Balans VL '!N12)/100/3.6*1000000</f>
        <v>176.0534608232982</v>
      </c>
      <c r="G6" s="34"/>
      <c r="H6" s="33"/>
      <c r="I6" s="33"/>
      <c r="J6" s="33">
        <f>$C$26*('E Balans VL '!D12+'E Balans VL '!E12)/100/3.6*1000000</f>
        <v>0</v>
      </c>
      <c r="K6" s="33"/>
      <c r="L6" s="33"/>
      <c r="M6" s="33"/>
      <c r="N6" s="33">
        <f>$C$26*'E Balans VL '!Y12/100/3.6*1000000</f>
        <v>1.7441440925866731</v>
      </c>
      <c r="O6" s="33"/>
      <c r="P6" s="33"/>
      <c r="R6" s="32"/>
    </row>
    <row r="7" spans="1:18">
      <c r="A7" s="32" t="s">
        <v>52</v>
      </c>
      <c r="B7" s="37">
        <f t="shared" ref="B7:B12" si="0">B27</f>
        <v>711.45301982585795</v>
      </c>
      <c r="C7" s="33"/>
      <c r="D7" s="37">
        <f>IF(ISERROR(TER_horeca_gas_kWh/1000),0,TER_horeca_gas_kWh/1000)*0.903</f>
        <v>1155.4621907443588</v>
      </c>
      <c r="E7" s="33">
        <f>$C$27*'E Balans VL '!I9/100/3.6*1000000</f>
        <v>0</v>
      </c>
      <c r="F7" s="33">
        <f>$C$27*('E Balans VL '!L9+'E Balans VL '!N9)/100/3.6*1000000</f>
        <v>74.790285662949941</v>
      </c>
      <c r="G7" s="34"/>
      <c r="H7" s="33"/>
      <c r="I7" s="33"/>
      <c r="J7" s="33">
        <f>$C$27*('E Balans VL '!D9+'E Balans VL '!E9)/100/3.6*1000000</f>
        <v>0</v>
      </c>
      <c r="K7" s="33"/>
      <c r="L7" s="33"/>
      <c r="M7" s="33"/>
      <c r="N7" s="33">
        <f>$C$27*'E Balans VL '!Y9/100/3.6*1000000</f>
        <v>8.0141646851323625</v>
      </c>
      <c r="O7" s="33"/>
      <c r="P7" s="33"/>
      <c r="R7" s="32"/>
    </row>
    <row r="8" spans="1:18">
      <c r="A8" s="6" t="s">
        <v>51</v>
      </c>
      <c r="B8" s="37">
        <f t="shared" si="0"/>
        <v>3503.5644222595397</v>
      </c>
      <c r="C8" s="33"/>
      <c r="D8" s="37">
        <f>IF(ISERROR(TER_handel_gas_kWh/1000),0,TER_handel_gas_kWh/1000)*0.903</f>
        <v>2288.103163632788</v>
      </c>
      <c r="E8" s="33">
        <f>$C$28*'E Balans VL '!I13/100/3.6*1000000</f>
        <v>0.75521162652188345</v>
      </c>
      <c r="F8" s="33">
        <f>$C$28*('E Balans VL '!L13+'E Balans VL '!N13)/100/3.6*1000000</f>
        <v>492.71061125089761</v>
      </c>
      <c r="G8" s="34"/>
      <c r="H8" s="33"/>
      <c r="I8" s="33"/>
      <c r="J8" s="33">
        <f>$C$28*('E Balans VL '!D13+'E Balans VL '!E13)/100/3.6*1000000</f>
        <v>0</v>
      </c>
      <c r="K8" s="33"/>
      <c r="L8" s="33"/>
      <c r="M8" s="33"/>
      <c r="N8" s="33">
        <f>$C$28*'E Balans VL '!Y13/100/3.6*1000000</f>
        <v>3.3617358180117294</v>
      </c>
      <c r="O8" s="33"/>
      <c r="P8" s="33"/>
      <c r="R8" s="32"/>
    </row>
    <row r="9" spans="1:18">
      <c r="A9" s="32" t="s">
        <v>50</v>
      </c>
      <c r="B9" s="37">
        <f t="shared" si="0"/>
        <v>1094.8153005395002</v>
      </c>
      <c r="C9" s="33"/>
      <c r="D9" s="37">
        <f>IF(ISERROR(TER_gezond_gas_kWh/1000),0,TER_gezond_gas_kWh/1000)*0.903</f>
        <v>3092.0860395375817</v>
      </c>
      <c r="E9" s="33">
        <f>$C$29*'E Balans VL '!I10/100/3.6*1000000</f>
        <v>0</v>
      </c>
      <c r="F9" s="33">
        <f>$C$29*('E Balans VL '!L10+'E Balans VL '!N10)/100/3.6*1000000</f>
        <v>29.812117600025136</v>
      </c>
      <c r="G9" s="34"/>
      <c r="H9" s="33"/>
      <c r="I9" s="33"/>
      <c r="J9" s="33">
        <f>$C$29*('E Balans VL '!D10+'E Balans VL '!E10)/100/3.6*1000000</f>
        <v>0</v>
      </c>
      <c r="K9" s="33"/>
      <c r="L9" s="33"/>
      <c r="M9" s="33"/>
      <c r="N9" s="33">
        <f>$C$29*'E Balans VL '!Y10/100/3.6*1000000</f>
        <v>6.9411504625226081</v>
      </c>
      <c r="O9" s="33"/>
      <c r="P9" s="33"/>
      <c r="R9" s="32"/>
    </row>
    <row r="10" spans="1:18">
      <c r="A10" s="32" t="s">
        <v>49</v>
      </c>
      <c r="B10" s="37">
        <f t="shared" si="0"/>
        <v>3072.0377544225198</v>
      </c>
      <c r="C10" s="33"/>
      <c r="D10" s="37">
        <f>IF(ISERROR(TER_ander_gas_kWh/1000),0,TER_ander_gas_kWh/1000)*0.903</f>
        <v>1755.1373390881586</v>
      </c>
      <c r="E10" s="33">
        <f>$C$30*'E Balans VL '!I14/100/3.6*1000000</f>
        <v>37.436102484341617</v>
      </c>
      <c r="F10" s="33">
        <f>$C$30*('E Balans VL '!L14+'E Balans VL '!N14)/100/3.6*1000000</f>
        <v>2114.8033419456556</v>
      </c>
      <c r="G10" s="34"/>
      <c r="H10" s="33"/>
      <c r="I10" s="33"/>
      <c r="J10" s="33">
        <f>$C$30*('E Balans VL '!D14+'E Balans VL '!E14)/100/3.6*1000000</f>
        <v>3.2925932781512846E-2</v>
      </c>
      <c r="K10" s="33"/>
      <c r="L10" s="33"/>
      <c r="M10" s="33"/>
      <c r="N10" s="33">
        <f>$C$30*'E Balans VL '!Y14/100/3.6*1000000</f>
        <v>1186.7222542287998</v>
      </c>
      <c r="O10" s="33"/>
      <c r="P10" s="33"/>
      <c r="R10" s="32"/>
    </row>
    <row r="11" spans="1:18">
      <c r="A11" s="32" t="s">
        <v>54</v>
      </c>
      <c r="B11" s="37">
        <f t="shared" si="0"/>
        <v>128.26968878614198</v>
      </c>
      <c r="C11" s="33"/>
      <c r="D11" s="37">
        <f>IF(ISERROR(TER_onderwijs_gas_kWh/1000),0,TER_onderwijs_gas_kWh/1000)*0.903</f>
        <v>628.80362106204188</v>
      </c>
      <c r="E11" s="33">
        <f>$C$31*'E Balans VL '!I11/100/3.6*1000000</f>
        <v>0</v>
      </c>
      <c r="F11" s="33">
        <f>$C$31*('E Balans VL '!L11+'E Balans VL '!N11)/100/3.6*1000000</f>
        <v>5.3604614195825118</v>
      </c>
      <c r="G11" s="34"/>
      <c r="H11" s="33"/>
      <c r="I11" s="33"/>
      <c r="J11" s="33">
        <f>$C$31*('E Balans VL '!D11+'E Balans VL '!E11)/100/3.6*1000000</f>
        <v>0</v>
      </c>
      <c r="K11" s="33"/>
      <c r="L11" s="33"/>
      <c r="M11" s="33"/>
      <c r="N11" s="33">
        <f>$C$31*'E Balans VL '!Y11/100/3.6*1000000</f>
        <v>0.31881160347942616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10050.017927018778</v>
      </c>
      <c r="C16" s="21">
        <f t="shared" ca="1" si="1"/>
        <v>0</v>
      </c>
      <c r="D16" s="21">
        <f t="shared" ca="1" si="1"/>
        <v>10791.685998418412</v>
      </c>
      <c r="E16" s="21">
        <f t="shared" ca="1" si="1"/>
        <v>38.191314110863502</v>
      </c>
      <c r="F16" s="21">
        <f t="shared" ca="1" si="1"/>
        <v>2893.5302787024089</v>
      </c>
      <c r="G16" s="21">
        <f t="shared" si="1"/>
        <v>0</v>
      </c>
      <c r="H16" s="21">
        <f t="shared" si="1"/>
        <v>0</v>
      </c>
      <c r="I16" s="21">
        <f t="shared" si="1"/>
        <v>0</v>
      </c>
      <c r="J16" s="21">
        <f t="shared" si="1"/>
        <v>3.2925932781512846E-2</v>
      </c>
      <c r="K16" s="21">
        <f t="shared" si="1"/>
        <v>0</v>
      </c>
      <c r="L16" s="21">
        <f t="shared" ca="1" si="1"/>
        <v>0</v>
      </c>
      <c r="M16" s="21">
        <f t="shared" si="1"/>
        <v>0</v>
      </c>
      <c r="N16" s="21">
        <f t="shared" ca="1" si="1"/>
        <v>1207.1022608905325</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0.17974940435139664</v>
      </c>
      <c r="C18" s="25">
        <f ca="1">'EF ele_warmte'!B22</f>
        <v>0.20215683132172119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1806.4847361024833</v>
      </c>
      <c r="C20" s="23">
        <f t="shared" ref="C20:P20" ca="1" si="2">C16*C18</f>
        <v>0</v>
      </c>
      <c r="D20" s="23">
        <f t="shared" ca="1" si="2"/>
        <v>2179.9205716805195</v>
      </c>
      <c r="E20" s="23">
        <f t="shared" ca="1" si="2"/>
        <v>8.6694283031660149</v>
      </c>
      <c r="F20" s="23">
        <f t="shared" ca="1" si="2"/>
        <v>772.57258441354315</v>
      </c>
      <c r="G20" s="23">
        <f t="shared" si="2"/>
        <v>0</v>
      </c>
      <c r="H20" s="23">
        <f t="shared" si="2"/>
        <v>0</v>
      </c>
      <c r="I20" s="23">
        <f t="shared" si="2"/>
        <v>0</v>
      </c>
      <c r="J20" s="23">
        <f t="shared" si="2"/>
        <v>1.1655780204655547E-2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1539.87774118522</v>
      </c>
      <c r="C26" s="39">
        <f>IF(ISERROR(B26*3.6/1000000/'E Balans VL '!Z12*100),0,B26*3.6/1000000/'E Balans VL '!Z12*100)</f>
        <v>4.7335917174361038E-2</v>
      </c>
      <c r="D26" s="232" t="s">
        <v>768</v>
      </c>
      <c r="F26" s="6"/>
    </row>
    <row r="27" spans="1:18" ht="30">
      <c r="A27" s="227" t="s">
        <v>52</v>
      </c>
      <c r="B27" s="33">
        <f>IF(ISERROR(TER_horeca_ele_kWh/1000),0,TER_horeca_ele_kWh/1000)</f>
        <v>711.45301982585795</v>
      </c>
      <c r="C27" s="39">
        <f>IF(ISERROR(B27*3.6/1000000/'E Balans VL '!Z9*100),0,B27*3.6/1000000/'E Balans VL '!Z9*100)</f>
        <v>5.7768880634615265E-2</v>
      </c>
      <c r="D27" s="232" t="s">
        <v>768</v>
      </c>
      <c r="F27" s="6"/>
    </row>
    <row r="28" spans="1:18" ht="30">
      <c r="A28" s="167" t="s">
        <v>51</v>
      </c>
      <c r="B28" s="33">
        <f>IF(ISERROR(TER_handel_ele_kWh/1000),0,TER_handel_ele_kWh/1000)</f>
        <v>3503.5644222595397</v>
      </c>
      <c r="C28" s="39">
        <f>IF(ISERROR(B28*3.6/1000000/'E Balans VL '!Z13*100),0,B28*3.6/1000000/'E Balans VL '!Z13*100)</f>
        <v>0.1152017812106183</v>
      </c>
      <c r="D28" s="232" t="s">
        <v>768</v>
      </c>
      <c r="F28" s="6"/>
    </row>
    <row r="29" spans="1:18" ht="30">
      <c r="A29" s="227" t="s">
        <v>50</v>
      </c>
      <c r="B29" s="33">
        <f>IF(ISERROR(TER_gezond_ele_kWh/1000),0,TER_gezond_ele_kWh/1000)</f>
        <v>1094.8153005395002</v>
      </c>
      <c r="C29" s="39">
        <f>IF(ISERROR(B29*3.6/1000000/'E Balans VL '!Z10*100),0,B29*3.6/1000000/'E Balans VL '!Z10*100)</f>
        <v>0.10682087403182734</v>
      </c>
      <c r="D29" s="232" t="s">
        <v>768</v>
      </c>
      <c r="F29" s="6"/>
    </row>
    <row r="30" spans="1:18" ht="30">
      <c r="A30" s="227" t="s">
        <v>49</v>
      </c>
      <c r="B30" s="33">
        <f>IF(ISERROR(TER_ander_ele_kWh/1000),0,TER_ander_ele_kWh/1000)</f>
        <v>3072.0377544225198</v>
      </c>
      <c r="C30" s="39">
        <f>IF(ISERROR(B30*3.6/1000000/'E Balans VL '!Z14*100),0,B30*3.6/1000000/'E Balans VL '!Z14*100)</f>
        <v>0.13485023664783416</v>
      </c>
      <c r="D30" s="232" t="s">
        <v>768</v>
      </c>
      <c r="F30" s="6"/>
    </row>
    <row r="31" spans="1:18" ht="30">
      <c r="A31" s="227" t="s">
        <v>54</v>
      </c>
      <c r="B31" s="33">
        <f>IF(ISERROR(TER_onderwijs_ele_kWh/1000),0,TER_onderwijs_ele_kWh/1000)</f>
        <v>128.26968878614198</v>
      </c>
      <c r="C31" s="39">
        <f>IF(ISERROR(B31*3.6/1000000/'E Balans VL '!Z11*100),0,B31*3.6/1000000/'E Balans VL '!Z11*100)</f>
        <v>4.3943102573283092E-2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9</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16742.406401952088</v>
      </c>
      <c r="C5" s="17">
        <f>IF(ISERROR('Eigen informatie GS &amp; warmtenet'!B61),0,'Eigen informatie GS &amp; warmtenet'!B61)</f>
        <v>0</v>
      </c>
      <c r="D5" s="30">
        <f>SUM(D6:D15)</f>
        <v>14421.122488325467</v>
      </c>
      <c r="E5" s="17">
        <f>SUM(E6:E15)</f>
        <v>170.35252127908015</v>
      </c>
      <c r="F5" s="17">
        <f>SUM(F6:F15)</f>
        <v>4455.7164171079976</v>
      </c>
      <c r="G5" s="18"/>
      <c r="H5" s="17"/>
      <c r="I5" s="17"/>
      <c r="J5" s="17">
        <f>SUM(J6:J15)</f>
        <v>17.486177713811546</v>
      </c>
      <c r="K5" s="17"/>
      <c r="L5" s="17"/>
      <c r="M5" s="17"/>
      <c r="N5" s="17">
        <f>SUM(N6:N15)</f>
        <v>508.05800266098845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798.60746802350991</v>
      </c>
      <c r="C8" s="33"/>
      <c r="D8" s="37">
        <f>IF( ISERROR(IND_metaal_Gas_kWH/1000),0,IND_metaal_Gas_kWH/1000)*0.903</f>
        <v>134.10497785665416</v>
      </c>
      <c r="E8" s="33">
        <f>C30*'E Balans VL '!I18/100/3.6*1000000</f>
        <v>2.3254175375036032</v>
      </c>
      <c r="F8" s="33">
        <f>C30*'E Balans VL '!L18/100/3.6*1000000+C30*'E Balans VL '!N18/100/3.6*1000000</f>
        <v>30.692127287324837</v>
      </c>
      <c r="G8" s="34"/>
      <c r="H8" s="33"/>
      <c r="I8" s="33"/>
      <c r="J8" s="40">
        <f>C30*'E Balans VL '!D18/100/3.6*1000000+C30*'E Balans VL '!E18/100/3.6*1000000</f>
        <v>2.1579275523737629E-15</v>
      </c>
      <c r="K8" s="33"/>
      <c r="L8" s="33"/>
      <c r="M8" s="33"/>
      <c r="N8" s="33">
        <f>C30*'E Balans VL '!Y18/100/3.6*1000000</f>
        <v>11.845237262361884</v>
      </c>
      <c r="O8" s="33"/>
      <c r="P8" s="33"/>
      <c r="R8" s="32"/>
    </row>
    <row r="9" spans="1:18">
      <c r="A9" s="6" t="s">
        <v>32</v>
      </c>
      <c r="B9" s="37">
        <f t="shared" si="0"/>
        <v>4702.0898388134701</v>
      </c>
      <c r="C9" s="33"/>
      <c r="D9" s="37">
        <f>IF( ISERROR(IND_andere_gas_kWh/1000),0,IND_andere_gas_kWh/1000)*0.903</f>
        <v>2613.4486368964795</v>
      </c>
      <c r="E9" s="33">
        <f>C31*'E Balans VL '!I19/100/3.6*1000000</f>
        <v>23.845016983999027</v>
      </c>
      <c r="F9" s="33">
        <f>C31*'E Balans VL '!L19/100/3.6*1000000+C31*'E Balans VL '!N19/100/3.6*1000000</f>
        <v>3558.6249238683758</v>
      </c>
      <c r="G9" s="34"/>
      <c r="H9" s="33"/>
      <c r="I9" s="33"/>
      <c r="J9" s="40">
        <f>C31*'E Balans VL '!D19/100/3.6*1000000+C31*'E Balans VL '!E19/100/3.6*1000000</f>
        <v>0</v>
      </c>
      <c r="K9" s="33"/>
      <c r="L9" s="33"/>
      <c r="M9" s="33"/>
      <c r="N9" s="33">
        <f>C31*'E Balans VL '!Y19/100/3.6*1000000</f>
        <v>173.0895302622186</v>
      </c>
      <c r="O9" s="33"/>
      <c r="P9" s="33"/>
      <c r="R9" s="32"/>
    </row>
    <row r="10" spans="1:18">
      <c r="A10" s="6" t="s">
        <v>40</v>
      </c>
      <c r="B10" s="37">
        <f t="shared" si="0"/>
        <v>5881.3280808132995</v>
      </c>
      <c r="C10" s="33"/>
      <c r="D10" s="37">
        <f>IF( ISERROR(IND_voed_gas_kWh/1000),0,IND_voed_gas_kWh/1000)*0.903</f>
        <v>2031.7371230650269</v>
      </c>
      <c r="E10" s="33">
        <f>C32*'E Balans VL '!I20/100/3.6*1000000</f>
        <v>6.8776540754356636</v>
      </c>
      <c r="F10" s="33">
        <f>C32*'E Balans VL '!L20/100/3.6*1000000+C32*'E Balans VL '!N20/100/3.6*1000000</f>
        <v>274.63270543851326</v>
      </c>
      <c r="G10" s="34"/>
      <c r="H10" s="33"/>
      <c r="I10" s="33"/>
      <c r="J10" s="40">
        <f>C32*'E Balans VL '!D20/100/3.6*1000000+C32*'E Balans VL '!E20/100/3.6*1000000</f>
        <v>0</v>
      </c>
      <c r="K10" s="33"/>
      <c r="L10" s="33"/>
      <c r="M10" s="33"/>
      <c r="N10" s="33">
        <f>C32*'E Balans VL '!Y20/100/3.6*1000000</f>
        <v>337.29408031033523</v>
      </c>
      <c r="O10" s="33"/>
      <c r="P10" s="33"/>
      <c r="R10" s="32"/>
    </row>
    <row r="11" spans="1:18">
      <c r="A11" s="6" t="s">
        <v>39</v>
      </c>
      <c r="B11" s="37">
        <f t="shared" si="0"/>
        <v>2297.0060104837703</v>
      </c>
      <c r="C11" s="33"/>
      <c r="D11" s="37">
        <f>IF( ISERROR(IND_textiel_gas_kWh/1000),0,IND_textiel_gas_kWh/1000)*0.903</f>
        <v>5824.33431250785</v>
      </c>
      <c r="E11" s="33">
        <f>C33*'E Balans VL '!I21/100/3.6*1000000</f>
        <v>31.946423099397535</v>
      </c>
      <c r="F11" s="33">
        <f>C33*'E Balans VL '!L21/100/3.6*1000000+C33*'E Balans VL '!N21/100/3.6*1000000</f>
        <v>72.729419205756031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1040.48515159207</v>
      </c>
      <c r="C13" s="33"/>
      <c r="D13" s="37">
        <f>IF( ISERROR(IND_papier_gas_kWh/1000),0,IND_papier_gas_kWh/1000)*0.903</f>
        <v>0</v>
      </c>
      <c r="E13" s="33">
        <f>C35*'E Balans VL '!I23/100/3.6*1000000</f>
        <v>0</v>
      </c>
      <c r="F13" s="33">
        <f>C35*'E Balans VL '!L23/100/3.6*1000000+C35*'E Balans VL '!N23/100/3.6*1000000</f>
        <v>124.30742615209873</v>
      </c>
      <c r="G13" s="34"/>
      <c r="H13" s="33"/>
      <c r="I13" s="33"/>
      <c r="J13" s="40">
        <f>C35*'E Balans VL '!D23/100/3.6*1000000+C35*'E Balans VL '!E23/100/3.6*1000000</f>
        <v>6.2791598827409958</v>
      </c>
      <c r="K13" s="33"/>
      <c r="L13" s="33"/>
      <c r="M13" s="33"/>
      <c r="N13" s="33">
        <f>C35*'E Balans VL '!Y23/100/3.6*1000000</f>
        <v>-83.62065809644713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2022.8898522259701</v>
      </c>
      <c r="C15" s="33"/>
      <c r="D15" s="37">
        <f>IF( ISERROR(IND_rest_gas_kWh/1000),0,IND_rest_gas_kWh/1000)*0.903</f>
        <v>3817.497437999456</v>
      </c>
      <c r="E15" s="33">
        <f>C37*'E Balans VL '!I15/100/3.6*1000000</f>
        <v>105.35800958274433</v>
      </c>
      <c r="F15" s="33">
        <f>C37*'E Balans VL '!L15/100/3.6*1000000+C37*'E Balans VL '!N15/100/3.6*1000000</f>
        <v>394.72981515592932</v>
      </c>
      <c r="G15" s="34"/>
      <c r="H15" s="33"/>
      <c r="I15" s="33"/>
      <c r="J15" s="40">
        <f>C37*'E Balans VL '!D15/100/3.6*1000000+C37*'E Balans VL '!E15/100/3.6*1000000</f>
        <v>11.207017831070548</v>
      </c>
      <c r="K15" s="33"/>
      <c r="L15" s="33"/>
      <c r="M15" s="33"/>
      <c r="N15" s="33">
        <f>C37*'E Balans VL '!Y15/100/3.6*1000000</f>
        <v>69.449812922519811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16742.406401952088</v>
      </c>
      <c r="C18" s="21">
        <f>C5+C16</f>
        <v>0</v>
      </c>
      <c r="D18" s="21">
        <f>MAX((D5+D16),0)</f>
        <v>14421.122488325467</v>
      </c>
      <c r="E18" s="21">
        <f>MAX((E5+E16),0)</f>
        <v>170.35252127908015</v>
      </c>
      <c r="F18" s="21">
        <f>MAX((F5+F16),0)</f>
        <v>4455.7164171079976</v>
      </c>
      <c r="G18" s="21"/>
      <c r="H18" s="21"/>
      <c r="I18" s="21"/>
      <c r="J18" s="21">
        <f>MAX((J5+J16),0)</f>
        <v>17.486177713811546</v>
      </c>
      <c r="K18" s="21"/>
      <c r="L18" s="21">
        <f>MAX((L5+L16),0)</f>
        <v>0</v>
      </c>
      <c r="M18" s="21"/>
      <c r="N18" s="21">
        <f>MAX((N5+N16),0)</f>
        <v>508.05800266098845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0.17974940435139664</v>
      </c>
      <c r="C20" s="25">
        <f ca="1">'EF ele_warmte'!B22</f>
        <v>0.20215683132172119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3009.4375781598974</v>
      </c>
      <c r="C22" s="23">
        <f ca="1">C18*C20</f>
        <v>0</v>
      </c>
      <c r="D22" s="23">
        <f>D18*D20</f>
        <v>2913.0667426417444</v>
      </c>
      <c r="E22" s="23">
        <f>E18*E20</f>
        <v>38.670022330351195</v>
      </c>
      <c r="F22" s="23">
        <f>F18*F20</f>
        <v>1189.6762833678354</v>
      </c>
      <c r="G22" s="23"/>
      <c r="H22" s="23"/>
      <c r="I22" s="23"/>
      <c r="J22" s="23">
        <f>J18*J20</f>
        <v>6.1901069106892868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798.60746802350991</v>
      </c>
      <c r="C30" s="39">
        <f>IF(ISERROR(B30*3.6/1000000/'E Balans VL '!Z18*100),0,B30*3.6/1000000/'E Balans VL '!Z18*100)</f>
        <v>5.597822431159491E-2</v>
      </c>
      <c r="D30" s="232" t="s">
        <v>768</v>
      </c>
    </row>
    <row r="31" spans="1:18" ht="30">
      <c r="A31" s="6" t="s">
        <v>32</v>
      </c>
      <c r="B31" s="37">
        <f>IF( ISERROR(IND_ander_ele_kWh/1000),0,IND_ander_ele_kWh/1000)</f>
        <v>4702.0898388134701</v>
      </c>
      <c r="C31" s="39">
        <f>IF(ISERROR(B31*3.6/1000000/'E Balans VL '!Z19*100),0,B31*3.6/1000000/'E Balans VL '!Z19*100)</f>
        <v>0.22030568609957146</v>
      </c>
      <c r="D31" s="232" t="s">
        <v>768</v>
      </c>
    </row>
    <row r="32" spans="1:18" ht="30">
      <c r="A32" s="167" t="s">
        <v>40</v>
      </c>
      <c r="B32" s="37">
        <f>IF( ISERROR(IND_voed_ele_kWh/1000),0,IND_voed_ele_kWh/1000)</f>
        <v>5881.3280808132995</v>
      </c>
      <c r="C32" s="39">
        <f>IF(ISERROR(B32*3.6/1000000/'E Balans VL '!Z20*100),0,B32*3.6/1000000/'E Balans VL '!Z20*100)</f>
        <v>0.1941318372239339</v>
      </c>
      <c r="D32" s="232" t="s">
        <v>768</v>
      </c>
    </row>
    <row r="33" spans="1:5" ht="30">
      <c r="A33" s="167" t="s">
        <v>39</v>
      </c>
      <c r="B33" s="37">
        <f>IF( ISERROR(IND_textiel_ele_kWh/1000),0,IND_textiel_ele_kWh/1000)</f>
        <v>2297.0060104837703</v>
      </c>
      <c r="C33" s="39">
        <f>IF(ISERROR(B33*3.6/1000000/'E Balans VL '!Z21*100),0,B33*3.6/1000000/'E Balans VL '!Z21*100)</f>
        <v>0.42616682688177376</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1040.48515159207</v>
      </c>
      <c r="C35" s="39">
        <f>IF(ISERROR(B35*3.6/1000000/'E Balans VL '!Z22*100),0,B35*3.6/1000000/'E Balans VL '!Z22*100)</f>
        <v>0.43661374561821431</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2022.8898522259701</v>
      </c>
      <c r="C37" s="39">
        <f>IF(ISERROR(B37*3.6/1000000/'E Balans VL '!Z15*100),0,B37*3.6/1000000/'E Balans VL '!Z15*100)</f>
        <v>1.8622466389226312E-2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3284.9165088070899</v>
      </c>
      <c r="C5" s="17">
        <f>'Eigen informatie GS &amp; warmtenet'!B62</f>
        <v>0</v>
      </c>
      <c r="D5" s="30">
        <f>IF(ISERROR(SUM(LB_lb_gas_kWh,LB_rest_gas_kWh)/1000),0,SUM(LB_lb_gas_kWh,LB_rest_gas_kWh)/1000)*0.903</f>
        <v>77612.264053966239</v>
      </c>
      <c r="E5" s="17">
        <f>B17*'E Balans VL '!I25/3.6*1000000/100</f>
        <v>110.77241654481412</v>
      </c>
      <c r="F5" s="17">
        <f>B17*('E Balans VL '!L25/3.6*1000000+'E Balans VL '!N25/3.6*1000000)/100</f>
        <v>11381.225926273401</v>
      </c>
      <c r="G5" s="18"/>
      <c r="H5" s="17"/>
      <c r="I5" s="17"/>
      <c r="J5" s="17">
        <f>('E Balans VL '!D25+'E Balans VL '!E25)/3.6*1000000*landbouw!B17/100</f>
        <v>713.00257764920195</v>
      </c>
      <c r="K5" s="17"/>
      <c r="L5" s="17">
        <f>L6*(-1)</f>
        <v>0</v>
      </c>
      <c r="M5" s="17"/>
      <c r="N5" s="17">
        <f>N6*(-1)</f>
        <v>0</v>
      </c>
      <c r="O5" s="17"/>
      <c r="P5" s="17"/>
      <c r="R5" s="32"/>
    </row>
    <row r="6" spans="1:18">
      <c r="A6" s="16" t="s">
        <v>808</v>
      </c>
      <c r="B6" s="17" t="s">
        <v>204</v>
      </c>
      <c r="C6" s="17">
        <f>'lokale energieproductie'!O39+'lokale energieproductie'!O32</f>
        <v>46879.444448194801</v>
      </c>
      <c r="D6" s="301">
        <f>('lokale energieproductie'!P32+'lokale energieproductie'!P39)*(-1)</f>
        <v>-78586.522228509144</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3284.9165088070899</v>
      </c>
      <c r="C8" s="21">
        <f>C5+C6</f>
        <v>46879.444448194801</v>
      </c>
      <c r="D8" s="21">
        <f>MAX((D5+D6),0)</f>
        <v>0</v>
      </c>
      <c r="E8" s="21">
        <f>MAX((E5+E6),0)</f>
        <v>110.77241654481412</v>
      </c>
      <c r="F8" s="21">
        <f>MAX((F5+F6),0)</f>
        <v>11381.225926273401</v>
      </c>
      <c r="G8" s="21"/>
      <c r="H8" s="21"/>
      <c r="I8" s="21"/>
      <c r="J8" s="21">
        <f>MAX((J5+J6),0)</f>
        <v>713.00257764920195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0.17974940435139664</v>
      </c>
      <c r="C10" s="31">
        <f ca="1">'EF ele_warmte'!B22</f>
        <v>0.20215683132172119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590.46178580214382</v>
      </c>
      <c r="C12" s="23">
        <f ca="1">C8*C10</f>
        <v>9476.9999437697152</v>
      </c>
      <c r="D12" s="23">
        <f>D8*D10</f>
        <v>0</v>
      </c>
      <c r="E12" s="23">
        <f>E8*E10</f>
        <v>25.145338555672808</v>
      </c>
      <c r="F12" s="23">
        <f>F8*F10</f>
        <v>3038.7873223149982</v>
      </c>
      <c r="G12" s="23"/>
      <c r="H12" s="23"/>
      <c r="I12" s="23"/>
      <c r="J12" s="23">
        <f>J8*J10</f>
        <v>252.40291248781747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0.46924872305743237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49.093846073286308</v>
      </c>
      <c r="C26" s="242">
        <f>B26*'GWP N2O_CH4'!B5</f>
        <v>1030.9707675390125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46.040559833601897</v>
      </c>
      <c r="C27" s="242">
        <f>B27*'GWP N2O_CH4'!B5</f>
        <v>966.85175650563986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1.2816953508657813</v>
      </c>
      <c r="C28" s="242">
        <f>B28*'GWP N2O_CH4'!B4</f>
        <v>397.32555876839223</v>
      </c>
      <c r="D28" s="50"/>
    </row>
    <row r="29" spans="1:4">
      <c r="A29" s="41" t="s">
        <v>266</v>
      </c>
      <c r="B29" s="242">
        <f>B34*'ha_N2O bodem landbouw'!B4</f>
        <v>5.0113864687470464</v>
      </c>
      <c r="C29" s="242">
        <f>B29*'GWP N2O_CH4'!B4</f>
        <v>1553.5298053115844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1.0987273671093959E-3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1.0204479456796939E-3</v>
      </c>
      <c r="C5" s="428" t="s">
        <v>204</v>
      </c>
      <c r="D5" s="413">
        <f>SUM(D6:D11)</f>
        <v>9.9417826370541652E-4</v>
      </c>
      <c r="E5" s="413">
        <f>SUM(E6:E11)</f>
        <v>3.3050373975654357E-4</v>
      </c>
      <c r="F5" s="426" t="s">
        <v>204</v>
      </c>
      <c r="G5" s="413">
        <f>SUM(G6:G11)</f>
        <v>0.16641529484814349</v>
      </c>
      <c r="H5" s="413">
        <f>SUM(H6:H11)</f>
        <v>4.7075741579860622E-2</v>
      </c>
      <c r="I5" s="428" t="s">
        <v>204</v>
      </c>
      <c r="J5" s="428" t="s">
        <v>204</v>
      </c>
      <c r="K5" s="428" t="s">
        <v>204</v>
      </c>
      <c r="L5" s="428" t="s">
        <v>204</v>
      </c>
      <c r="M5" s="413">
        <f>SUM(M6:M11)</f>
        <v>2.2679095118415621E-2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8.1110957113880928E-4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7.4772069769293793E-4</v>
      </c>
      <c r="E6" s="839">
        <f>vkm_GW_PW*SUMIFS(TableVerdeelsleutelVkm[LPG],TableVerdeelsleutelVkm[Voertuigtype],"Lichte voertuigen")*SUMIFS(TableECFTransport[EnergieConsumptieFactor (PJ per km)],TableECFTransport[Index],CONCATENATE($A6,"_LPG_LPG"))</f>
        <v>2.5137584639541911E-4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7.1144089660937271E-2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3.5572197980251685E-2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1.1024690656291811E-2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2.9649469731173105E-6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6.5579919288514948E-2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4.7265401304813666E-7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7.340983900428151E-3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2.0605062205544556E-4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2.4645756601247853E-4</v>
      </c>
      <c r="E8" s="416">
        <f>vkm_NGW_PW*SUMIFS(TableVerdeelsleutelVkm[LPG],TableVerdeelsleutelVkm[Voertuigtype],"Lichte voertuigen")*SUMIFS(TableECFTransport[EnergieConsumptieFactor (PJ per km)],TableECFTransport[Index],CONCATENATE($A8,"_LPG_LPG"))</f>
        <v>7.912789336112446E-5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2.0499559015607186E-2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1.1503008832409713E-2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3.2845035323986098E-3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3.2280551232177457E-7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9.1917268830840823E-3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6.2113186174872223E-8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1.0289170292970534E-3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283.45776268880388</v>
      </c>
      <c r="C14" s="21"/>
      <c r="D14" s="21">
        <f t="shared" ref="D14:M14" si="0">((D5)*10^9/3600)+D12</f>
        <v>276.16062880706011</v>
      </c>
      <c r="E14" s="21">
        <f t="shared" si="0"/>
        <v>91.806594376817671</v>
      </c>
      <c r="F14" s="21"/>
      <c r="G14" s="21">
        <f t="shared" si="0"/>
        <v>46226.470791150969</v>
      </c>
      <c r="H14" s="21">
        <f t="shared" si="0"/>
        <v>13076.594883294616</v>
      </c>
      <c r="I14" s="21"/>
      <c r="J14" s="21"/>
      <c r="K14" s="21"/>
      <c r="L14" s="21"/>
      <c r="M14" s="21">
        <f t="shared" si="0"/>
        <v>6299.7486440043385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0.17974940435139664</v>
      </c>
      <c r="C16" s="56">
        <f ca="1">'EF ele_warmte'!B22</f>
        <v>0.20215683132172119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50.951364002092042</v>
      </c>
      <c r="C18" s="23"/>
      <c r="D18" s="23">
        <f t="shared" ref="D18:M18" si="1">D14*D16</f>
        <v>55.784447019026146</v>
      </c>
      <c r="E18" s="23">
        <f t="shared" si="1"/>
        <v>20.840096923537612</v>
      </c>
      <c r="F18" s="23"/>
      <c r="G18" s="23">
        <f t="shared" si="1"/>
        <v>12342.467701237309</v>
      </c>
      <c r="H18" s="23">
        <f t="shared" si="1"/>
        <v>3256.0721259403595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3.8870996259110912E-5</v>
      </c>
      <c r="C50" s="312">
        <f t="shared" ref="C50:P50" si="2">SUM(C51:C52)</f>
        <v>0</v>
      </c>
      <c r="D50" s="312">
        <f t="shared" si="2"/>
        <v>0</v>
      </c>
      <c r="E50" s="312">
        <f t="shared" si="2"/>
        <v>0</v>
      </c>
      <c r="F50" s="312">
        <f t="shared" si="2"/>
        <v>0</v>
      </c>
      <c r="G50" s="312">
        <f t="shared" si="2"/>
        <v>1.5963050033757245E-3</v>
      </c>
      <c r="H50" s="312">
        <f t="shared" si="2"/>
        <v>0</v>
      </c>
      <c r="I50" s="312">
        <f t="shared" si="2"/>
        <v>0</v>
      </c>
      <c r="J50" s="312">
        <f t="shared" si="2"/>
        <v>0</v>
      </c>
      <c r="K50" s="312">
        <f t="shared" si="2"/>
        <v>0</v>
      </c>
      <c r="L50" s="312">
        <f t="shared" si="2"/>
        <v>0</v>
      </c>
      <c r="M50" s="312">
        <f t="shared" si="2"/>
        <v>1.7868860672926978E-4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3.8870996259110912E-5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1.5963050033757245E-3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1.7868860672926978E-4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10.797498960864143</v>
      </c>
      <c r="C54" s="21">
        <f t="shared" ref="C54:P54" si="3">(C50)*10^9/3600</f>
        <v>0</v>
      </c>
      <c r="D54" s="21">
        <f t="shared" si="3"/>
        <v>0</v>
      </c>
      <c r="E54" s="21">
        <f t="shared" si="3"/>
        <v>0</v>
      </c>
      <c r="F54" s="21">
        <f t="shared" si="3"/>
        <v>0</v>
      </c>
      <c r="G54" s="21">
        <f t="shared" si="3"/>
        <v>443.41805649325676</v>
      </c>
      <c r="H54" s="21">
        <f t="shared" si="3"/>
        <v>0</v>
      </c>
      <c r="I54" s="21">
        <f t="shared" si="3"/>
        <v>0</v>
      </c>
      <c r="J54" s="21">
        <f t="shared" si="3"/>
        <v>0</v>
      </c>
      <c r="K54" s="21">
        <f t="shared" si="3"/>
        <v>0</v>
      </c>
      <c r="L54" s="21">
        <f t="shared" si="3"/>
        <v>0</v>
      </c>
      <c r="M54" s="21">
        <f t="shared" si="3"/>
        <v>49.635724091463828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0.17974940435139664</v>
      </c>
      <c r="C56" s="56">
        <f ca="1">'EF ele_warmte'!B22</f>
        <v>0.20215683132172119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1.9408440067001538</v>
      </c>
      <c r="C58" s="23">
        <f t="shared" ref="C58:P58" ca="1" si="4">C54*C56</f>
        <v>0</v>
      </c>
      <c r="D58" s="23">
        <f t="shared" si="4"/>
        <v>0</v>
      </c>
      <c r="E58" s="23">
        <f t="shared" si="4"/>
        <v>0</v>
      </c>
      <c r="F58" s="23">
        <f t="shared" si="4"/>
        <v>0</v>
      </c>
      <c r="G58" s="23">
        <f t="shared" si="4"/>
        <v>118.39262108369957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6684.3879195171448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31646.111113642801</v>
      </c>
      <c r="C8" s="539">
        <f>B48</f>
        <v>31670.680922718482</v>
      </c>
      <c r="D8" s="540">
        <f>J48</f>
        <v>0</v>
      </c>
      <c r="E8" s="540">
        <f>E48</f>
        <v>0</v>
      </c>
      <c r="F8" s="541"/>
      <c r="G8" s="542"/>
      <c r="H8" s="540">
        <f>I48</f>
        <v>0</v>
      </c>
      <c r="I8" s="540">
        <f>G48+F48</f>
        <v>0</v>
      </c>
      <c r="J8" s="540">
        <f>H48+D48+C48</f>
        <v>0</v>
      </c>
      <c r="K8" s="540"/>
      <c r="L8" s="540"/>
      <c r="M8" s="540"/>
      <c r="N8" s="543"/>
      <c r="O8" s="544">
        <f>C8*$C$12+D8*$D$12+E8*$E$12+F8*$F$12+G8*$G$12+H8*$H$12+I8*$I$12+J8*$J$12</f>
        <v>6397.4775463891337</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38330.499033159947</v>
      </c>
      <c r="C10" s="554">
        <f t="shared" ref="C10:L10" si="0">SUM(C8:C9)</f>
        <v>31670.680922718482</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6397.4775463891337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46879.444448194801</v>
      </c>
      <c r="C17" s="570">
        <f>B49</f>
        <v>46915.841305790666</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9476.9999437697152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46879.444448194801</v>
      </c>
      <c r="C20" s="553">
        <f>SUM(C17:C19)</f>
        <v>46915.841305790666</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9476.9999437697152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36007</v>
      </c>
      <c r="C28" s="741"/>
      <c r="D28" s="628"/>
      <c r="E28" s="627"/>
      <c r="F28" s="627"/>
      <c r="G28" s="627"/>
      <c r="H28" s="627"/>
      <c r="I28" s="627"/>
      <c r="J28" s="740"/>
      <c r="K28" s="740"/>
      <c r="L28" s="627"/>
      <c r="M28" s="627">
        <v>5871</v>
      </c>
      <c r="N28" s="627">
        <v>31646.111113642801</v>
      </c>
      <c r="O28" s="627">
        <v>46879.444448194801</v>
      </c>
      <c r="P28" s="627">
        <v>78586.522228509144</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5871</v>
      </c>
      <c r="N29" s="588">
        <f>SUM(N28:N28)</f>
        <v>31646.111113642801</v>
      </c>
      <c r="O29" s="588">
        <f>SUM(O28:O28)</f>
        <v>46879.444448194801</v>
      </c>
      <c r="P29" s="588">
        <f>SUM(P28:P28)</f>
        <v>78586.522228509144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5871</v>
      </c>
      <c r="N32" s="593">
        <f>SUMIF($AA$28:$AA$28,"landbouw",N28:N28)</f>
        <v>31646.111113642801</v>
      </c>
      <c r="O32" s="593">
        <f>SUMIF($AA$28:$AA$28,"landbouw",O28:O28)</f>
        <v>46879.444448194801</v>
      </c>
      <c r="P32" s="593">
        <f>SUMIF($AA$28:$AA$28,"landbouw",P28:P28)</f>
        <v>78586.522228509144</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0.59699602394125062</v>
      </c>
      <c r="C45" s="612">
        <f>IF(ISERROR(N29/(O29+N29)),0,N29/(N29+O29))</f>
        <v>0.40300397605874949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31670.680922718482</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46915.841305790666</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2022-10-04T13:58:46Z</dcterms:modified>
</cp:coreProperties>
</file>