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5D07ECC7-FDD2-4CC0-9AD8-EF6C8255C4B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J49" i="18" s="1"/>
  <c r="D17" i="18"/>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D8" i="13"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B5" i="17"/>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C20" i="14" s="1"/>
  <c r="D7" i="22"/>
  <c r="B52" i="22"/>
  <c r="C37" i="22"/>
  <c r="C73" i="22"/>
  <c r="H9" i="22"/>
  <c r="H10" i="22"/>
  <c r="H8" i="22"/>
  <c r="H6" i="22"/>
  <c r="H5" i="22" s="1"/>
  <c r="H14" i="22"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B35" i="19"/>
  <c r="B6" i="13"/>
  <c r="B17" i="17"/>
  <c r="J5" i="17" s="1"/>
  <c r="B34" i="17"/>
  <c r="B29" i="17" s="1"/>
  <c r="C29" i="17" s="1"/>
  <c r="B6" i="16"/>
  <c r="W39" i="18"/>
  <c r="V39" i="18"/>
  <c r="U39" i="18"/>
  <c r="L6" i="17" s="1"/>
  <c r="L5" i="17" s="1"/>
  <c r="T39" i="18"/>
  <c r="S39" i="18"/>
  <c r="R39" i="18"/>
  <c r="Q39" i="18"/>
  <c r="P39" i="18"/>
  <c r="O39" i="18"/>
  <c r="N39" i="18"/>
  <c r="M39" i="18"/>
  <c r="W38" i="18"/>
  <c r="V38" i="18"/>
  <c r="U38" i="18"/>
  <c r="T38" i="18"/>
  <c r="S38" i="18"/>
  <c r="R38" i="18"/>
  <c r="Q38" i="18"/>
  <c r="P38" i="18"/>
  <c r="O38" i="18"/>
  <c r="N38" i="18"/>
  <c r="M38" i="18"/>
  <c r="W37" i="18"/>
  <c r="V37" i="18"/>
  <c r="U37" i="18"/>
  <c r="T37" i="18"/>
  <c r="L16" i="16" s="1"/>
  <c r="S37" i="18"/>
  <c r="R37" i="18"/>
  <c r="Q37" i="18"/>
  <c r="P37" i="18"/>
  <c r="O37" i="18"/>
  <c r="N37" i="18"/>
  <c r="M37" i="18"/>
  <c r="W36" i="18"/>
  <c r="V36" i="18"/>
  <c r="U36" i="18"/>
  <c r="T36" i="18"/>
  <c r="S36" i="18"/>
  <c r="R36" i="18"/>
  <c r="Q36" i="18"/>
  <c r="P36" i="18"/>
  <c r="O36" i="18"/>
  <c r="B19" i="18" s="1"/>
  <c r="N36" i="18"/>
  <c r="M36" i="18"/>
  <c r="W32" i="18"/>
  <c r="V32" i="18"/>
  <c r="N6" i="17" s="1"/>
  <c r="U32" i="18"/>
  <c r="T32" i="18"/>
  <c r="S32" i="18"/>
  <c r="F6" i="17" s="1"/>
  <c r="R32" i="18"/>
  <c r="Q32" i="18"/>
  <c r="P32" i="18"/>
  <c r="D6" i="17" s="1"/>
  <c r="D8" i="17" s="1"/>
  <c r="O32" i="18"/>
  <c r="C6" i="17" s="1"/>
  <c r="N32" i="18"/>
  <c r="M32" i="18"/>
  <c r="W31" i="18"/>
  <c r="V31" i="18"/>
  <c r="U31" i="18"/>
  <c r="L13" i="15" s="1"/>
  <c r="L16" i="15" s="1"/>
  <c r="M10" i="14" s="1"/>
  <c r="T31" i="18"/>
  <c r="S31" i="18"/>
  <c r="R31" i="18"/>
  <c r="Q31" i="18"/>
  <c r="P31" i="18"/>
  <c r="O31" i="18"/>
  <c r="C13" i="15"/>
  <c r="C16" i="15" s="1"/>
  <c r="N31" i="18"/>
  <c r="B13" i="15" s="1"/>
  <c r="M31" i="18"/>
  <c r="W30" i="18"/>
  <c r="V30" i="18"/>
  <c r="U30" i="18"/>
  <c r="T30" i="18"/>
  <c r="S30" i="18"/>
  <c r="F16" i="16"/>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N89" i="14" s="1"/>
  <c r="G19" i="18"/>
  <c r="H89" i="14" s="1"/>
  <c r="H19" i="59" s="1"/>
  <c r="F19" i="18"/>
  <c r="G89" i="14" s="1"/>
  <c r="L18" i="18"/>
  <c r="O88" i="14"/>
  <c r="O18" i="59" s="1"/>
  <c r="K18" i="18"/>
  <c r="N88" i="14"/>
  <c r="N18" i="59"/>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H77" i="14" s="1"/>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B7" i="48" s="1"/>
  <c r="B51" i="16"/>
  <c r="P5" i="16" s="1"/>
  <c r="P18" i="16" s="1"/>
  <c r="B45" i="16"/>
  <c r="B43" i="16"/>
  <c r="O5" i="16" s="1"/>
  <c r="B37" i="16"/>
  <c r="C37" i="16" s="1"/>
  <c r="B36" i="16"/>
  <c r="B35" i="16"/>
  <c r="C35" i="16" s="1"/>
  <c r="B34" i="16"/>
  <c r="B12" i="16" s="1"/>
  <c r="B33" i="16"/>
  <c r="C33" i="16"/>
  <c r="F11" i="16"/>
  <c r="B32" i="16"/>
  <c r="C32" i="16" s="1"/>
  <c r="B31" i="16"/>
  <c r="B30" i="16"/>
  <c r="C30" i="16"/>
  <c r="B29" i="16"/>
  <c r="C29" i="16"/>
  <c r="N20" i="16"/>
  <c r="M20" i="16"/>
  <c r="M22" i="16"/>
  <c r="N43" i="14"/>
  <c r="L20" i="16"/>
  <c r="K20" i="16"/>
  <c r="J20" i="16"/>
  <c r="I20" i="16"/>
  <c r="H20" i="16"/>
  <c r="G20" i="16"/>
  <c r="F20" i="16"/>
  <c r="E20" i="16"/>
  <c r="D20" i="16"/>
  <c r="C5" i="16"/>
  <c r="B40" i="15"/>
  <c r="B32" i="15"/>
  <c r="C32" i="15"/>
  <c r="B31" i="15"/>
  <c r="C31" i="15"/>
  <c r="N11" i="15" s="1"/>
  <c r="E11" i="15"/>
  <c r="B30" i="15"/>
  <c r="C30" i="15" s="1"/>
  <c r="B29" i="15"/>
  <c r="C29" i="15" s="1"/>
  <c r="J9" i="15" s="1"/>
  <c r="B28" i="15"/>
  <c r="C28" i="15"/>
  <c r="B27" i="15"/>
  <c r="C27" i="15"/>
  <c r="N7" i="15" s="1"/>
  <c r="F7" i="15"/>
  <c r="B26" i="15"/>
  <c r="C26" i="15" s="1"/>
  <c r="N18" i="15"/>
  <c r="M18" i="15"/>
  <c r="L18" i="15"/>
  <c r="K18" i="15"/>
  <c r="J18" i="15"/>
  <c r="I18" i="15"/>
  <c r="H18" i="15"/>
  <c r="G18" i="15"/>
  <c r="F18" i="15"/>
  <c r="E18" i="15"/>
  <c r="D18" i="15"/>
  <c r="H10" i="14"/>
  <c r="P5" i="15"/>
  <c r="P16" i="15" s="1"/>
  <c r="C5" i="15"/>
  <c r="B60" i="13"/>
  <c r="B34" i="13" s="1"/>
  <c r="B37" i="13"/>
  <c r="B54" i="13"/>
  <c r="O8" i="13"/>
  <c r="O4" i="48" s="1"/>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E87" i="14"/>
  <c r="E17" i="59" s="1"/>
  <c r="O76" i="14"/>
  <c r="O8" i="59" s="1"/>
  <c r="N76" i="14"/>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F5" i="13" s="1"/>
  <c r="F8" i="13" s="1"/>
  <c r="B35" i="13"/>
  <c r="C35" i="13" s="1"/>
  <c r="B33" i="13"/>
  <c r="B32" i="13"/>
  <c r="C34" i="13"/>
  <c r="J30" i="48"/>
  <c r="J32" i="48"/>
  <c r="F30" i="48"/>
  <c r="F32" i="48"/>
  <c r="N30" i="48"/>
  <c r="N32" i="48"/>
  <c r="O20" i="59"/>
  <c r="K10" i="18"/>
  <c r="N77" i="14"/>
  <c r="L10" i="18"/>
  <c r="O77" i="14"/>
  <c r="H16" i="14"/>
  <c r="B8" i="9"/>
  <c r="B6" i="48" s="1"/>
  <c r="L18" i="16"/>
  <c r="M13" i="14"/>
  <c r="I14" i="15"/>
  <c r="I16" i="15"/>
  <c r="J10" i="14"/>
  <c r="J16" i="14" s="1"/>
  <c r="B13" i="16"/>
  <c r="D12" i="17"/>
  <c r="E54" i="14" s="1"/>
  <c r="E9" i="14"/>
  <c r="D14" i="15"/>
  <c r="N5" i="17"/>
  <c r="J8" i="17"/>
  <c r="N16" i="16"/>
  <c r="N13" i="15"/>
  <c r="F13" i="15"/>
  <c r="D13" i="15"/>
  <c r="B67" i="22"/>
  <c r="M11" i="22"/>
  <c r="G10" i="22"/>
  <c r="M9" i="22"/>
  <c r="G8" i="22"/>
  <c r="M7" i="22"/>
  <c r="G6" i="22"/>
  <c r="G11" i="22"/>
  <c r="M8" i="22"/>
  <c r="G7" i="22"/>
  <c r="M10" i="22"/>
  <c r="G9" i="22"/>
  <c r="M6" i="22"/>
  <c r="B12" i="48"/>
  <c r="Q12" i="48"/>
  <c r="O9" i="14"/>
  <c r="B7" i="15"/>
  <c r="B11" i="15"/>
  <c r="B11" i="16"/>
  <c r="J9" i="14"/>
  <c r="B49" i="18"/>
  <c r="B16" i="16"/>
  <c r="K9" i="14"/>
  <c r="J11" i="48"/>
  <c r="J29" i="48"/>
  <c r="M9" i="14"/>
  <c r="L11" i="48"/>
  <c r="O19" i="14"/>
  <c r="O22" i="14"/>
  <c r="N10" i="48"/>
  <c r="N28" i="48"/>
  <c r="J19" i="14"/>
  <c r="J22" i="14"/>
  <c r="I10" i="48"/>
  <c r="I28" i="48"/>
  <c r="J19" i="19"/>
  <c r="K39" i="14"/>
  <c r="N19" i="19"/>
  <c r="O39" i="14"/>
  <c r="C45" i="18"/>
  <c r="J48" i="18" s="1"/>
  <c r="D8" i="18" s="1"/>
  <c r="C16" i="16"/>
  <c r="C18" i="16" s="1"/>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Q6" i="48"/>
  <c r="L12" i="13"/>
  <c r="M41" i="14"/>
  <c r="F18" i="14"/>
  <c r="E13" i="48"/>
  <c r="E31" i="48"/>
  <c r="K20" i="15"/>
  <c r="L40" i="14"/>
  <c r="L9" i="14"/>
  <c r="K11" i="48"/>
  <c r="K29" i="48"/>
  <c r="D11" i="48"/>
  <c r="D29" i="48"/>
  <c r="F19" i="19"/>
  <c r="G39" i="14"/>
  <c r="L19" i="19"/>
  <c r="M39" i="14"/>
  <c r="M12" i="13"/>
  <c r="N41" i="14"/>
  <c r="C78" i="22"/>
  <c r="M27" i="20"/>
  <c r="M12" i="22"/>
  <c r="H27" i="20"/>
  <c r="J7" i="15"/>
  <c r="J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P10" i="14" s="1"/>
  <c r="M20" i="15"/>
  <c r="N40" i="14"/>
  <c r="N46" i="14" s="1"/>
  <c r="N10" i="14"/>
  <c r="N16" i="14" s="1"/>
  <c r="G20" i="15"/>
  <c r="H40" i="14"/>
  <c r="H46" i="14" s="1"/>
  <c r="H20" i="15"/>
  <c r="I40" i="14" s="1"/>
  <c r="I46" i="14"/>
  <c r="I10" i="14"/>
  <c r="I16" i="14" s="1"/>
  <c r="B74" i="14"/>
  <c r="B6" i="59"/>
  <c r="F8" i="16"/>
  <c r="C24" i="14"/>
  <c r="C26" i="14" s="1"/>
  <c r="B73" i="14"/>
  <c r="B5" i="59" s="1"/>
  <c r="F6" i="15"/>
  <c r="F8" i="15"/>
  <c r="B8" i="15"/>
  <c r="I20" i="15"/>
  <c r="J40" i="14"/>
  <c r="J46" i="14" s="1"/>
  <c r="J61" i="14" s="1"/>
  <c r="E8" i="15"/>
  <c r="B10" i="15"/>
  <c r="B6" i="15"/>
  <c r="N9" i="15"/>
  <c r="J11" i="16"/>
  <c r="B15" i="16"/>
  <c r="B12" i="15"/>
  <c r="B7" i="16"/>
  <c r="E10" i="16"/>
  <c r="N11" i="16"/>
  <c r="F9" i="15"/>
  <c r="B8" i="16"/>
  <c r="B10" i="16"/>
  <c r="E11" i="16"/>
  <c r="E7" i="16"/>
  <c r="J7" i="16"/>
  <c r="F7" i="16"/>
  <c r="N7" i="16"/>
  <c r="E9" i="15"/>
  <c r="N15" i="16"/>
  <c r="C34" i="16"/>
  <c r="N12" i="16" s="1"/>
  <c r="B9" i="15"/>
  <c r="E11" i="48"/>
  <c r="E29" i="48"/>
  <c r="F9" i="14"/>
  <c r="D9" i="14"/>
  <c r="E19" i="19"/>
  <c r="F39" i="14"/>
  <c r="C11" i="48"/>
  <c r="D19" i="19"/>
  <c r="E39" i="14"/>
  <c r="C9" i="14"/>
  <c r="B11" i="48"/>
  <c r="E14" i="22"/>
  <c r="D5" i="22"/>
  <c r="D14" i="22" s="1"/>
  <c r="P11" i="48"/>
  <c r="P29" i="48"/>
  <c r="H5" i="48"/>
  <c r="H23" i="48" s="1"/>
  <c r="O11" i="48"/>
  <c r="P9" i="14"/>
  <c r="M5" i="48"/>
  <c r="G29" i="48"/>
  <c r="C11" i="14"/>
  <c r="B4" i="48"/>
  <c r="E30" i="48"/>
  <c r="I31" i="48"/>
  <c r="I27" i="48"/>
  <c r="I30" i="48"/>
  <c r="K27" i="48"/>
  <c r="O30" i="48"/>
  <c r="K22" i="48"/>
  <c r="G22" i="48"/>
  <c r="M17" i="48"/>
  <c r="K30" i="48"/>
  <c r="I22" i="48"/>
  <c r="G30" i="48"/>
  <c r="H25" i="48"/>
  <c r="L17" i="48"/>
  <c r="L32" i="48"/>
  <c r="H22" i="48"/>
  <c r="K25" i="48"/>
  <c r="K26" i="48"/>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D24" i="14" s="1"/>
  <c r="G25" i="48"/>
  <c r="I25" i="48"/>
  <c r="D88" i="14"/>
  <c r="H88" i="14"/>
  <c r="H90" i="14" s="1"/>
  <c r="F88" i="14"/>
  <c r="F18" i="59"/>
  <c r="L20" i="18"/>
  <c r="G77" i="14"/>
  <c r="G78" i="14" s="1"/>
  <c r="O90" i="14"/>
  <c r="D11" i="14"/>
  <c r="C4" i="48"/>
  <c r="G51" i="22"/>
  <c r="G50" i="22" s="1"/>
  <c r="G54" i="22" s="1"/>
  <c r="M51" i="22"/>
  <c r="M50" i="22" s="1"/>
  <c r="M54" i="22" s="1"/>
  <c r="I5" i="48"/>
  <c r="J7" i="48"/>
  <c r="J25" i="48" s="1"/>
  <c r="K33" i="48"/>
  <c r="J27" i="14"/>
  <c r="M24" i="48"/>
  <c r="M32" i="48"/>
  <c r="K15" i="48"/>
  <c r="H78" i="14"/>
  <c r="H9" i="59"/>
  <c r="H10" i="59"/>
  <c r="N9" i="59"/>
  <c r="H18" i="59"/>
  <c r="H20" i="59" s="1"/>
  <c r="O78" i="14"/>
  <c r="O9" i="59"/>
  <c r="O10" i="59" s="1"/>
  <c r="L8" i="48"/>
  <c r="L26" i="48"/>
  <c r="L22" i="16"/>
  <c r="M43" i="14"/>
  <c r="C17" i="18"/>
  <c r="D87" i="14" s="1"/>
  <c r="D10" i="14"/>
  <c r="C88" i="14"/>
  <c r="C18" i="59" s="1"/>
  <c r="L46" i="14"/>
  <c r="L61" i="14" s="1"/>
  <c r="L16" i="14"/>
  <c r="L27" i="14"/>
  <c r="D18" i="16"/>
  <c r="D22" i="16"/>
  <c r="E43" i="14"/>
  <c r="G31" i="20"/>
  <c r="H48" i="14"/>
  <c r="G12" i="22"/>
  <c r="D16" i="15"/>
  <c r="E8" i="17"/>
  <c r="E12" i="17" s="1"/>
  <c r="F24" i="14"/>
  <c r="F26" i="14" s="1"/>
  <c r="O18" i="16"/>
  <c r="N5" i="13"/>
  <c r="N8" i="13"/>
  <c r="H13" i="48"/>
  <c r="H31" i="48"/>
  <c r="H12" i="22"/>
  <c r="E5" i="13"/>
  <c r="E8" i="13" s="1"/>
  <c r="E12" i="13"/>
  <c r="F41" i="14"/>
  <c r="N8" i="17"/>
  <c r="N12" i="17" s="1"/>
  <c r="O54" i="14" s="1"/>
  <c r="O56" i="14" s="1"/>
  <c r="L8" i="17"/>
  <c r="E24" i="14"/>
  <c r="E26" i="14" s="1"/>
  <c r="B9" i="48"/>
  <c r="E48" i="18"/>
  <c r="E8" i="18" s="1"/>
  <c r="D48" i="18"/>
  <c r="M29" i="48"/>
  <c r="C49" i="18"/>
  <c r="C48" i="18"/>
  <c r="E49" i="18"/>
  <c r="E17" i="18"/>
  <c r="F87" i="14" s="1"/>
  <c r="G49" i="18"/>
  <c r="I17" i="18" s="1"/>
  <c r="D7" i="48"/>
  <c r="D25" i="48"/>
  <c r="H48" i="18"/>
  <c r="G48" i="18"/>
  <c r="I8" i="18" s="1"/>
  <c r="D49" i="18"/>
  <c r="L28" i="48"/>
  <c r="H49" i="18"/>
  <c r="I49" i="18"/>
  <c r="H17" i="18" s="1"/>
  <c r="F49" i="18"/>
  <c r="F48" i="18"/>
  <c r="B48" i="18"/>
  <c r="C8" i="18" s="1"/>
  <c r="L31" i="48"/>
  <c r="L24" i="48"/>
  <c r="L22" i="48"/>
  <c r="M23" i="48"/>
  <c r="M22" i="48"/>
  <c r="I18" i="14"/>
  <c r="D9" i="48"/>
  <c r="D27" i="48"/>
  <c r="F20" i="14"/>
  <c r="F22" i="14" s="1"/>
  <c r="L30" i="48"/>
  <c r="B20" i="18"/>
  <c r="C7" i="48"/>
  <c r="D26" i="14"/>
  <c r="L29" i="48"/>
  <c r="M31" i="20"/>
  <c r="N48" i="14"/>
  <c r="N18" i="14"/>
  <c r="M13" i="48"/>
  <c r="M31" i="48"/>
  <c r="H31" i="20"/>
  <c r="I48" i="14"/>
  <c r="G13" i="48"/>
  <c r="G31" i="48"/>
  <c r="H18" i="14"/>
  <c r="M5" i="22"/>
  <c r="M14" i="22"/>
  <c r="G5" i="22"/>
  <c r="O20" i="15"/>
  <c r="P40" i="14"/>
  <c r="Q10" i="14"/>
  <c r="F4" i="48"/>
  <c r="F22" i="48"/>
  <c r="B5" i="15"/>
  <c r="B16" i="15"/>
  <c r="C10" i="14" s="1"/>
  <c r="F13" i="16"/>
  <c r="E13" i="16"/>
  <c r="N13" i="16"/>
  <c r="J13" i="16"/>
  <c r="J12" i="16"/>
  <c r="F12" i="16"/>
  <c r="E12" i="16"/>
  <c r="Q11" i="48"/>
  <c r="O5" i="48"/>
  <c r="O23" i="48" s="1"/>
  <c r="R9" i="14"/>
  <c r="O29" i="48"/>
  <c r="L27" i="48"/>
  <c r="M30" i="48"/>
  <c r="M26" i="48"/>
  <c r="M25" i="48"/>
  <c r="J5" i="13"/>
  <c r="J8" i="13"/>
  <c r="K11" i="14" s="1"/>
  <c r="C5" i="48"/>
  <c r="G14" i="22"/>
  <c r="G9" i="48" s="1"/>
  <c r="I23" i="48"/>
  <c r="I33" i="48" s="1"/>
  <c r="I15" i="48"/>
  <c r="E13" i="14"/>
  <c r="O8" i="48"/>
  <c r="O26" i="48" s="1"/>
  <c r="F54" i="14"/>
  <c r="F56" i="14" s="1"/>
  <c r="E7" i="48"/>
  <c r="E25" i="48" s="1"/>
  <c r="D76" i="14"/>
  <c r="D8" i="59"/>
  <c r="D8" i="48"/>
  <c r="D26" i="48"/>
  <c r="O24" i="14"/>
  <c r="O26" i="14" s="1"/>
  <c r="M58" i="22"/>
  <c r="N49" i="14" s="1"/>
  <c r="D18" i="22"/>
  <c r="E50" i="14" s="1"/>
  <c r="E52" i="14" s="1"/>
  <c r="C22" i="14"/>
  <c r="J8" i="18"/>
  <c r="J76" i="14"/>
  <c r="J17" i="18"/>
  <c r="M87" i="14"/>
  <c r="E20" i="14"/>
  <c r="E22" i="14" s="1"/>
  <c r="E27" i="14" s="1"/>
  <c r="E18" i="22"/>
  <c r="F50" i="14" s="1"/>
  <c r="F52" i="14" s="1"/>
  <c r="E9" i="48"/>
  <c r="E10" i="14"/>
  <c r="E16" i="14" s="1"/>
  <c r="G58" i="22"/>
  <c r="H49" i="14" s="1"/>
  <c r="R18" i="14"/>
  <c r="Q13" i="48"/>
  <c r="I20" i="14"/>
  <c r="I22" i="14" s="1"/>
  <c r="I27" i="14" s="1"/>
  <c r="M18" i="22"/>
  <c r="N50" i="14" s="1"/>
  <c r="J63" i="14"/>
  <c r="L5" i="48"/>
  <c r="M16" i="14"/>
  <c r="B5" i="48"/>
  <c r="O11" i="14"/>
  <c r="E4" i="48"/>
  <c r="F11" i="14"/>
  <c r="J4" i="48"/>
  <c r="J12" i="13"/>
  <c r="K41" i="14" s="1"/>
  <c r="L20" i="15"/>
  <c r="O15" i="48"/>
  <c r="D17" i="59"/>
  <c r="E27" i="48"/>
  <c r="L23" i="48"/>
  <c r="J87" i="14"/>
  <c r="H20" i="14"/>
  <c r="H18" i="22"/>
  <c r="I50" i="14"/>
  <c r="I52" i="14" s="1"/>
  <c r="I61" i="14" s="1"/>
  <c r="I63" i="14" s="1"/>
  <c r="H9" i="48"/>
  <c r="M40" i="14"/>
  <c r="M46" i="14" s="1"/>
  <c r="J22" i="48"/>
  <c r="H15" i="48"/>
  <c r="H27" i="48"/>
  <c r="H33" i="48" s="1"/>
  <c r="E56" i="14"/>
  <c r="J8" i="59" l="1"/>
  <c r="J17" i="59"/>
  <c r="M17" i="59"/>
  <c r="N52" i="14"/>
  <c r="F17" i="59"/>
  <c r="F76" i="14"/>
  <c r="D20" i="15"/>
  <c r="E40" i="14" s="1"/>
  <c r="E46" i="14" s="1"/>
  <c r="E61" i="14" s="1"/>
  <c r="E63" i="14" s="1"/>
  <c r="D5" i="48"/>
  <c r="M10" i="48"/>
  <c r="M28" i="48" s="1"/>
  <c r="N19" i="14"/>
  <c r="I76" i="14"/>
  <c r="L12" i="17"/>
  <c r="M54" i="14" s="1"/>
  <c r="M56" i="14" s="1"/>
  <c r="M61" i="14" s="1"/>
  <c r="M63" i="14" s="1"/>
  <c r="L7" i="48"/>
  <c r="L25" i="48" s="1"/>
  <c r="L33" i="48" s="1"/>
  <c r="Q88" i="14"/>
  <c r="P18" i="59" s="1"/>
  <c r="D18" i="59"/>
  <c r="B88" i="14"/>
  <c r="B18" i="59" s="1"/>
  <c r="L15" i="48"/>
  <c r="I87" i="14"/>
  <c r="M24" i="14"/>
  <c r="M26" i="14" s="1"/>
  <c r="M27" i="14" s="1"/>
  <c r="O33" i="48"/>
  <c r="O22" i="16"/>
  <c r="P43" i="14" s="1"/>
  <c r="P46" i="14" s="1"/>
  <c r="P61" i="14" s="1"/>
  <c r="P13" i="14"/>
  <c r="P16" i="14" s="1"/>
  <c r="P27" i="14" s="1"/>
  <c r="H19" i="14"/>
  <c r="H22" i="14" s="1"/>
  <c r="H27" i="14" s="1"/>
  <c r="G10" i="48"/>
  <c r="J12" i="17"/>
  <c r="K54" i="14" s="1"/>
  <c r="K56" i="14" s="1"/>
  <c r="K24" i="14"/>
  <c r="K26" i="14" s="1"/>
  <c r="G11" i="14"/>
  <c r="F12" i="13"/>
  <c r="G41" i="14" s="1"/>
  <c r="G10" i="59"/>
  <c r="P20" i="15"/>
  <c r="Q40" i="14" s="1"/>
  <c r="P5" i="48"/>
  <c r="P23" i="48" s="1"/>
  <c r="E10" i="15"/>
  <c r="J10" i="15"/>
  <c r="N10" i="15"/>
  <c r="F10" i="15"/>
  <c r="N12" i="15"/>
  <c r="J12" i="15"/>
  <c r="F12" i="15"/>
  <c r="E12" i="15"/>
  <c r="C36" i="16"/>
  <c r="B14" i="16"/>
  <c r="Q13" i="14"/>
  <c r="P22" i="16"/>
  <c r="Q43" i="14" s="1"/>
  <c r="P8" i="48"/>
  <c r="P26" i="48" s="1"/>
  <c r="G15" i="48"/>
  <c r="G27" i="48"/>
  <c r="N4" i="48"/>
  <c r="N12" i="13"/>
  <c r="O41" i="14" s="1"/>
  <c r="E22" i="48"/>
  <c r="M9" i="48"/>
  <c r="N20" i="14"/>
  <c r="R20" i="14" s="1"/>
  <c r="Q87" i="14"/>
  <c r="F5" i="15"/>
  <c r="F16" i="15" s="1"/>
  <c r="N61" i="14"/>
  <c r="G19" i="59"/>
  <c r="G90" i="14"/>
  <c r="G18" i="22"/>
  <c r="H50" i="14" s="1"/>
  <c r="H52" i="14" s="1"/>
  <c r="H61" i="14" s="1"/>
  <c r="H63" i="14" s="1"/>
  <c r="O17" i="18"/>
  <c r="N7" i="48"/>
  <c r="N25" i="48" s="1"/>
  <c r="L63" i="14"/>
  <c r="G9" i="59"/>
  <c r="F20" i="18"/>
  <c r="R19" i="14"/>
  <c r="C8" i="48"/>
  <c r="D13" i="14"/>
  <c r="D16" i="14" s="1"/>
  <c r="D27" i="14" s="1"/>
  <c r="B20" i="6" s="1"/>
  <c r="G20" i="59"/>
  <c r="C54" i="18"/>
  <c r="B9" i="18"/>
  <c r="N8" i="59"/>
  <c r="N10" i="59" s="1"/>
  <c r="N78" i="14"/>
  <c r="N19" i="59"/>
  <c r="N90" i="14"/>
  <c r="I48" i="18"/>
  <c r="H8" i="18" s="1"/>
  <c r="J6" i="15"/>
  <c r="N6" i="15"/>
  <c r="N5" i="15" s="1"/>
  <c r="N16" i="15" s="1"/>
  <c r="E6" i="15"/>
  <c r="E5" i="15" s="1"/>
  <c r="E16" i="15" s="1"/>
  <c r="N8" i="15"/>
  <c r="J8" i="15"/>
  <c r="C31" i="16"/>
  <c r="B9" i="16"/>
  <c r="E15" i="16"/>
  <c r="F15" i="16"/>
  <c r="E76" i="14"/>
  <c r="J15" i="16"/>
  <c r="N10" i="16"/>
  <c r="F10" i="16"/>
  <c r="J10" i="16"/>
  <c r="O18" i="18"/>
  <c r="K8" i="59"/>
  <c r="K10" i="59" s="1"/>
  <c r="K78" i="14"/>
  <c r="L18" i="59"/>
  <c r="L20" i="59" s="1"/>
  <c r="L90" i="14"/>
  <c r="N20" i="59"/>
  <c r="N8" i="16"/>
  <c r="E8" i="16"/>
  <c r="J8" i="16"/>
  <c r="B54" i="18"/>
  <c r="P5" i="13"/>
  <c r="P8" i="13" s="1"/>
  <c r="F5" i="17"/>
  <c r="F8" i="17" s="1"/>
  <c r="D14" i="48"/>
  <c r="D58" i="18" l="1"/>
  <c r="G58" i="18"/>
  <c r="I58" i="18"/>
  <c r="H19" i="18" s="1"/>
  <c r="B58" i="18"/>
  <c r="C19" i="18" s="1"/>
  <c r="E58" i="18"/>
  <c r="E19" i="18" s="1"/>
  <c r="H58" i="18"/>
  <c r="J58" i="18"/>
  <c r="D19" i="18" s="1"/>
  <c r="C58" i="18"/>
  <c r="F58" i="18"/>
  <c r="J5" i="15"/>
  <c r="J16" i="15" s="1"/>
  <c r="B10" i="18"/>
  <c r="C15" i="48"/>
  <c r="N63" i="14"/>
  <c r="P63" i="14"/>
  <c r="D15" i="48"/>
  <c r="D23" i="48"/>
  <c r="D33" i="48" s="1"/>
  <c r="Q14" i="48"/>
  <c r="D32" i="48"/>
  <c r="M76" i="14"/>
  <c r="D57" i="18"/>
  <c r="H57" i="18"/>
  <c r="E57" i="18"/>
  <c r="E9" i="18" s="1"/>
  <c r="I57" i="18"/>
  <c r="H9" i="18" s="1"/>
  <c r="M77" i="14" s="1"/>
  <c r="M9" i="59" s="1"/>
  <c r="F57" i="18"/>
  <c r="J57" i="18"/>
  <c r="D9" i="18" s="1"/>
  <c r="B57" i="18"/>
  <c r="C9" i="18" s="1"/>
  <c r="C57" i="18"/>
  <c r="G57" i="18"/>
  <c r="I9" i="18" s="1"/>
  <c r="R22" i="14"/>
  <c r="F5" i="48"/>
  <c r="F20" i="15"/>
  <c r="G40" i="14" s="1"/>
  <c r="G10" i="14"/>
  <c r="M15" i="48"/>
  <c r="M27" i="48"/>
  <c r="M33" i="48" s="1"/>
  <c r="N22" i="48"/>
  <c r="F14" i="16"/>
  <c r="J14" i="16"/>
  <c r="E14" i="16"/>
  <c r="N14" i="16"/>
  <c r="G28" i="48"/>
  <c r="Q10" i="48"/>
  <c r="Q9" i="48"/>
  <c r="G24" i="14"/>
  <c r="F7" i="48"/>
  <c r="F12" i="17"/>
  <c r="G54" i="14" s="1"/>
  <c r="G56" i="14" s="1"/>
  <c r="E5" i="16"/>
  <c r="E18" i="16" s="1"/>
  <c r="B5" i="16"/>
  <c r="B18" i="16" s="1"/>
  <c r="F10" i="14"/>
  <c r="E5" i="48"/>
  <c r="E20" i="15"/>
  <c r="F40" i="14" s="1"/>
  <c r="G33" i="48"/>
  <c r="I8" i="59"/>
  <c r="B76" i="14"/>
  <c r="N22" i="14"/>
  <c r="N27" i="14" s="1"/>
  <c r="O8" i="18"/>
  <c r="Q11" i="14"/>
  <c r="P12" i="13"/>
  <c r="Q41" i="14" s="1"/>
  <c r="P4" i="48"/>
  <c r="E8" i="59"/>
  <c r="C76" i="14"/>
  <c r="Q76" i="14"/>
  <c r="J9" i="16"/>
  <c r="J5" i="16" s="1"/>
  <c r="J18" i="16" s="1"/>
  <c r="E9" i="16"/>
  <c r="F9" i="16"/>
  <c r="F5" i="16" s="1"/>
  <c r="F18" i="16" s="1"/>
  <c r="N9" i="16"/>
  <c r="N5" i="16" s="1"/>
  <c r="N18" i="16" s="1"/>
  <c r="N20" i="15"/>
  <c r="O40" i="14" s="1"/>
  <c r="O10" i="14"/>
  <c r="N5" i="48"/>
  <c r="N23" i="48" s="1"/>
  <c r="P17" i="59"/>
  <c r="Q46" i="14"/>
  <c r="Q61" i="14" s="1"/>
  <c r="I17" i="59"/>
  <c r="C87" i="14"/>
  <c r="B87" i="14"/>
  <c r="F8" i="59"/>
  <c r="K13" i="14" l="1"/>
  <c r="J8" i="48"/>
  <c r="J26" i="48" s="1"/>
  <c r="J22" i="16"/>
  <c r="K43" i="14" s="1"/>
  <c r="N8" i="48"/>
  <c r="N26" i="48" s="1"/>
  <c r="N33" i="48" s="1"/>
  <c r="O13" i="14"/>
  <c r="N22" i="16"/>
  <c r="O43" i="14" s="1"/>
  <c r="B17" i="59"/>
  <c r="D89" i="14"/>
  <c r="C20" i="18"/>
  <c r="C17" i="59"/>
  <c r="G13" i="14"/>
  <c r="F8" i="48"/>
  <c r="F26" i="48" s="1"/>
  <c r="F22" i="16"/>
  <c r="G43" i="14" s="1"/>
  <c r="C8" i="59"/>
  <c r="P22" i="48"/>
  <c r="P33" i="48" s="1"/>
  <c r="P15" i="48"/>
  <c r="E23" i="48"/>
  <c r="E15" i="48"/>
  <c r="F23" i="48"/>
  <c r="F15" i="48"/>
  <c r="D77" i="14"/>
  <c r="O9" i="18"/>
  <c r="O10" i="18" s="1"/>
  <c r="C10" i="18"/>
  <c r="F77" i="14"/>
  <c r="E10" i="18"/>
  <c r="M78" i="14"/>
  <c r="M8" i="59"/>
  <c r="M10" i="59" s="1"/>
  <c r="E89" i="14"/>
  <c r="D20" i="18"/>
  <c r="M89" i="14"/>
  <c r="H20" i="18"/>
  <c r="E22" i="16"/>
  <c r="F43" i="14" s="1"/>
  <c r="F13" i="14"/>
  <c r="F16" i="14" s="1"/>
  <c r="F27" i="14" s="1"/>
  <c r="E8" i="48"/>
  <c r="E26" i="48" s="1"/>
  <c r="H10" i="18"/>
  <c r="O16" i="14"/>
  <c r="O27" i="14" s="1"/>
  <c r="R10" i="14"/>
  <c r="Q7" i="48"/>
  <c r="F25" i="48"/>
  <c r="Q4" i="48"/>
  <c r="E77" i="14"/>
  <c r="D10" i="18"/>
  <c r="J9" i="18"/>
  <c r="J5" i="48"/>
  <c r="K10" i="14"/>
  <c r="K16" i="14" s="1"/>
  <c r="K27" i="14" s="1"/>
  <c r="J20" i="15"/>
  <c r="K40" i="14" s="1"/>
  <c r="K46" i="14" s="1"/>
  <c r="K61" i="14" s="1"/>
  <c r="K63" i="14" s="1"/>
  <c r="J19" i="18"/>
  <c r="I19" i="18"/>
  <c r="O19" i="18" s="1"/>
  <c r="O20" i="18" s="1"/>
  <c r="P8" i="59"/>
  <c r="F46" i="14"/>
  <c r="F61" i="14" s="1"/>
  <c r="G46" i="14"/>
  <c r="G61" i="14" s="1"/>
  <c r="G63" i="14" s="1"/>
  <c r="O46" i="14"/>
  <c r="O61" i="14" s="1"/>
  <c r="O63" i="14" s="1"/>
  <c r="Q16" i="14"/>
  <c r="Q27" i="14" s="1"/>
  <c r="Q63" i="14" s="1"/>
  <c r="R11" i="14"/>
  <c r="B8" i="59"/>
  <c r="C13" i="14"/>
  <c r="B8" i="48"/>
  <c r="G26" i="14"/>
  <c r="R24" i="14"/>
  <c r="R26" i="14" s="1"/>
  <c r="G16" i="14"/>
  <c r="G27" i="14" s="1"/>
  <c r="I77" i="14"/>
  <c r="I10" i="18"/>
  <c r="F89" i="14"/>
  <c r="E20" i="18"/>
  <c r="I9" i="59" l="1"/>
  <c r="I10" i="59" s="1"/>
  <c r="I78" i="14"/>
  <c r="F63" i="14"/>
  <c r="J89" i="14"/>
  <c r="J20" i="18"/>
  <c r="J77" i="14"/>
  <c r="C77" i="14" s="1"/>
  <c r="J10" i="18"/>
  <c r="D9" i="59"/>
  <c r="D10" i="59" s="1"/>
  <c r="Q77" i="14"/>
  <c r="D78" i="14"/>
  <c r="E33" i="48"/>
  <c r="J23" i="48"/>
  <c r="J33" i="48" s="1"/>
  <c r="J15" i="48"/>
  <c r="Q5" i="48"/>
  <c r="Q15" i="48" s="1"/>
  <c r="M19" i="59"/>
  <c r="M20" i="59" s="1"/>
  <c r="M90" i="14"/>
  <c r="E19" i="59"/>
  <c r="E20" i="59" s="1"/>
  <c r="E90" i="14"/>
  <c r="F9" i="59"/>
  <c r="F10" i="59" s="1"/>
  <c r="F78" i="14"/>
  <c r="R13" i="14"/>
  <c r="R16" i="14" s="1"/>
  <c r="R27" i="14" s="1"/>
  <c r="C16" i="14"/>
  <c r="C27" i="14" s="1"/>
  <c r="B3" i="6" s="1"/>
  <c r="I89" i="14"/>
  <c r="I20" i="18"/>
  <c r="Q8" i="48"/>
  <c r="B15" i="48"/>
  <c r="F19" i="59"/>
  <c r="F20" i="59" s="1"/>
  <c r="F90" i="14"/>
  <c r="N15" i="48"/>
  <c r="E9" i="59"/>
  <c r="E10" i="59" s="1"/>
  <c r="E78" i="14"/>
  <c r="F33" i="48"/>
  <c r="D19" i="59"/>
  <c r="D20" i="59" s="1"/>
  <c r="Q89" i="14"/>
  <c r="D90" i="14"/>
  <c r="C9" i="59" l="1"/>
  <c r="C10" i="59" s="1"/>
  <c r="C78" i="14"/>
  <c r="I19" i="59"/>
  <c r="I20" i="59" s="1"/>
  <c r="B89" i="14"/>
  <c r="I90" i="14"/>
  <c r="B77" i="14"/>
  <c r="P9" i="59"/>
  <c r="P10" i="59" s="1"/>
  <c r="Q78" i="14"/>
  <c r="B9" i="6" s="1"/>
  <c r="J19" i="59"/>
  <c r="J20" i="59" s="1"/>
  <c r="J90" i="14"/>
  <c r="P19" i="59"/>
  <c r="P20" i="59" s="1"/>
  <c r="Q90" i="14"/>
  <c r="B17" i="6" s="1"/>
  <c r="B22" i="6" s="1"/>
  <c r="J9" i="59"/>
  <c r="J10" i="59" s="1"/>
  <c r="J78" i="14"/>
  <c r="C89" i="14"/>
  <c r="B19" i="59" l="1"/>
  <c r="B20" i="59" s="1"/>
  <c r="B90" i="14"/>
  <c r="C19" i="59"/>
  <c r="C20" i="59" s="1"/>
  <c r="C90" i="14"/>
  <c r="C18" i="15"/>
  <c r="C20" i="15" s="1"/>
  <c r="D40" i="14" s="1"/>
  <c r="C29" i="20"/>
  <c r="C16" i="22"/>
  <c r="C10" i="17"/>
  <c r="C12" i="17" s="1"/>
  <c r="D54" i="14" s="1"/>
  <c r="D56" i="14" s="1"/>
  <c r="C17" i="49"/>
  <c r="C17" i="19"/>
  <c r="C19" i="19" s="1"/>
  <c r="D39" i="14" s="1"/>
  <c r="C20" i="16"/>
  <c r="C22" i="16" s="1"/>
  <c r="D43" i="14" s="1"/>
  <c r="C10" i="13"/>
  <c r="C22" i="59"/>
  <c r="C56" i="22"/>
  <c r="C58" i="22" s="1"/>
  <c r="D49" i="14" s="1"/>
  <c r="D52" i="14" s="1"/>
  <c r="B9" i="59"/>
  <c r="B10" i="59" s="1"/>
  <c r="B78" i="14"/>
  <c r="B4" i="6" s="1"/>
  <c r="B12" i="6" s="1"/>
  <c r="C55" i="14" l="1"/>
  <c r="R55" i="14" s="1"/>
  <c r="B10" i="9"/>
  <c r="B12" i="9" s="1"/>
  <c r="C12" i="59"/>
  <c r="B20" i="16"/>
  <c r="B22" i="16" s="1"/>
  <c r="C43" i="14" s="1"/>
  <c r="R43" i="14" s="1"/>
  <c r="B17" i="19"/>
  <c r="B19" i="19" s="1"/>
  <c r="C39" i="14" s="1"/>
  <c r="B17" i="49"/>
  <c r="B19" i="49" s="1"/>
  <c r="C42" i="14" s="1"/>
  <c r="R42" i="14" s="1"/>
  <c r="B56" i="22"/>
  <c r="B58" i="22" s="1"/>
  <c r="C49" i="14" s="1"/>
  <c r="R49" i="14" s="1"/>
  <c r="B10" i="17"/>
  <c r="B12" i="17" s="1"/>
  <c r="C54" i="14" s="1"/>
  <c r="B29" i="20"/>
  <c r="B31" i="20" s="1"/>
  <c r="C48" i="14" s="1"/>
  <c r="B10" i="13"/>
  <c r="B18" i="15"/>
  <c r="B20" i="15" s="1"/>
  <c r="C40" i="14" s="1"/>
  <c r="R40" i="14" s="1"/>
  <c r="B16" i="22"/>
  <c r="B18" i="22" s="1"/>
  <c r="C50" i="14" s="1"/>
  <c r="R50" i="14" s="1"/>
  <c r="C12" i="13"/>
  <c r="D41" i="14" s="1"/>
  <c r="C17" i="48"/>
  <c r="D46" i="14"/>
  <c r="D61" i="14" s="1"/>
  <c r="D63" i="14" s="1"/>
  <c r="R54" i="14" l="1"/>
  <c r="R56" i="14" s="1"/>
  <c r="C56" i="14"/>
  <c r="C30" i="48"/>
  <c r="C25" i="48"/>
  <c r="C28" i="48"/>
  <c r="C31" i="48"/>
  <c r="C27" i="48"/>
  <c r="C24" i="48"/>
  <c r="C29" i="48"/>
  <c r="C22" i="48"/>
  <c r="C32" i="48"/>
  <c r="C23" i="48"/>
  <c r="C26" i="48"/>
  <c r="B12" i="13"/>
  <c r="C41" i="14" s="1"/>
  <c r="R41" i="14" s="1"/>
  <c r="B17" i="48"/>
  <c r="R48" i="14"/>
  <c r="R52" i="14" s="1"/>
  <c r="C52" i="14"/>
  <c r="R39" i="14"/>
  <c r="R46" i="14" s="1"/>
  <c r="C46" i="14" l="1"/>
  <c r="C61" i="14" s="1"/>
  <c r="C63" i="14" s="1"/>
  <c r="B24" i="48"/>
  <c r="Q24" i="48" s="1"/>
  <c r="B22" i="48"/>
  <c r="B30" i="48"/>
  <c r="Q30" i="48" s="1"/>
  <c r="B32" i="48"/>
  <c r="Q32" i="48" s="1"/>
  <c r="B31" i="48"/>
  <c r="Q31" i="48" s="1"/>
  <c r="B27" i="48"/>
  <c r="Q27" i="48" s="1"/>
  <c r="B28" i="48"/>
  <c r="Q28" i="48" s="1"/>
  <c r="B29" i="48"/>
  <c r="Q29" i="48" s="1"/>
  <c r="B25" i="48"/>
  <c r="Q25" i="48" s="1"/>
  <c r="B23" i="48"/>
  <c r="Q23" i="48" s="1"/>
  <c r="B26" i="48"/>
  <c r="Q26" i="48" s="1"/>
  <c r="R61" i="14"/>
  <c r="C33" i="48"/>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<sst xmlns="http://schemas.openxmlformats.org/spreadsheetml/2006/main" count="2342" uniqueCount="830">
  <si>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</si>
  <si>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</si>
  <si>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</si>
  <si>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</si>
  <si>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</si>
  <si>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</si>
  <si>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</si>
  <si>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</si>
  <si>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</si>
  <si>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</si>
  <si>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</si>
  <si>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</si>
  <si>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</si>
  <si>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</si>
  <si>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</si>
  <si>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</si>
  <si>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</si>
  <si>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</si>
  <si>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</si>
  <si>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</si>
  <si>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</si>
  <si>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</si>
  <si>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</si>
  <si>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</si>
  <si>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</si>
  <si>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</si>
  <si>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</si>
  <si>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</si>
  <si>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</si>
  <si>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</si>
  <si>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</si>
  <si>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</si>
  <si>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</si>
  <si>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</si>
  <si>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</si>
  <si>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</si>
  <si>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</si>
  <si>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</si>
  <si>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</si>
  <si>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</si>
  <si>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</si>
  <si>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</si>
  <si>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</si>
  <si>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</si>
  <si>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</si>
  <si>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</si>
  <si>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</si>
  <si>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</si>
  <si>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</si>
  <si>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</si>
  <si>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</si>
  <si>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</si>
  <si>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</si>
  <si>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</si>
  <si>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</si>
  <si>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</si>
  <si>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</si>
  <si>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</si>
  <si>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</si>
  <si>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</si>
  <si>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</si>
  <si>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</si>
  <si>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</si>
  <si>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</si>
  <si>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</si>
  <si>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</si>
  <si>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</si>
  <si>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</si>
  <si>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</si>
  <si>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</si>
  <si>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</si>
  <si>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</si>
  <si>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</si>
  <si>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</si>
  <si>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</si>
  <si>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</si>
  <si>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</si>
  <si>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</si>
  <si>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</si>
  <si>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</si>
  <si>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</si>
  <si>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</si>
  <si>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</si>
  <si>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</si>
  <si>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</si>
  <si>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</si>
  <si>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</si>
  <si>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</si>
  <si>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</si>
  <si>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</si>
  <si>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</si>
  <si>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</si>
  <si>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</si>
  <si>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</si>
  <si>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</si>
  <si>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</si>
  <si>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</si>
  <si>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</si>
  <si>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</si>
  <si>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</si>
  <si>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</si>
  <si>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</si>
  <si>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</si>
  <si>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</si>
  <si>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</si>
  <si>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</si>
  <si>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</si>
  <si>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</si>
  <si>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</si>
  <si>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</si>
  <si>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</si>
  <si>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</si>
  <si>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</si>
  <si>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</si>
  <si>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</si>
  <si>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</si>
  <si>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</si>
  <si>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</si>
  <si>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</si>
  <si>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</si>
  <si>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</si>
  <si>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</si>
  <si>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</si>
  <si>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</si>
  <si>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</si>
  <si>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</si>
  <si>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</si>
  <si>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</si>
  <si>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</si>
  <si>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</si>
  <si>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</si>
  <si>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</si>
  <si>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</si>
  <si>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</si>
  <si>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</si>
  <si>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</si>
  <si>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</si>
  <si>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</si>
  <si>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</si>
  <si>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</si>
  <si>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</si>
  <si>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</si>
  <si>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</si>
  <si>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</si>
  <si>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</si>
  <si>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</si>
  <si>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</si>
  <si>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</si>
  <si>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</si>
  <si>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</si>
  <si>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</si>
  <si>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</si>
  <si>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</si>
  <si>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</si>
  <si>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</si>
  <si>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</si>
  <si>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</si>
  <si>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</si>
  <si>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</si>
  <si>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</si>
  <si>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</si>
  <si>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</si>
  <si>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</si>
  <si>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</si>
  <si>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</si>
  <si>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</si>
  <si>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</si>
  <si>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</si>
  <si>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</si>
  <si>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</si>
  <si>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</si>
  <si>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</si>
  <si>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</si>
  <si>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</si>
  <si>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</si>
  <si>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</si>
  <si>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</si>
  <si>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</si>
  <si>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</si>
  <si>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</si>
  <si>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</si>
  <si>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</si>
  <si>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</si>
  <si>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</si>
  <si>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</si>
  <si>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</si>
  <si>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</si>
  <si>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</si>
  <si>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</si>
  <si>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</si>
  <si>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</si>
  <si>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</si>
  <si>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</si>
  <si>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</si>
  <si>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</si>
  <si>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</si>
  <si>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</si>
  <si>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</si>
  <si>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</si>
  <si>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</si>
  <si>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</si>
  <si>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</si>
  <si>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</si>
  <si>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</si>
  <si>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</si>
  <si>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</si>
  <si>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</si>
  <si>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</si>
  <si>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</si>
  <si>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</si>
  <si>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</si>
  <si>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</si>
  <si>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</si>
  <si>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</si>
  <si>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</si>
  <si>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</si>
  <si>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</si>
  <si>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</si>
  <si>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</si>
  <si>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</si>
  <si>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</si>
  <si>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</si>
  <si>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</si>
  <si>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</si>
  <si>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</si>
  <si>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</si>
  <si>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</si>
  <si>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</si>
  <si>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</si>
  <si>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</si>
  <si>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</si>
  <si>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</si>
  <si>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</si>
  <si>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</si>
  <si>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</si>
  <si>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</si>
  <si>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</si>
  <si>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</si>
  <si>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</si>
  <si>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</si>
  <si>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</si>
  <si>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</si>
  <si>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</si>
  <si>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</si>
  <si>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</si>
  <si>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</si>
  <si>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</si>
  <si>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</si>
  <si>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</si>
  <si>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</si>
  <si>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</si>
  <si>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</si>
  <si>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</si>
  <si>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</si>
  <si>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</si>
  <si>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</si>
  <si>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</si>
  <si>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</si>
  <si>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</si>
  <si>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</si>
  <si>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</si>
  <si>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</si>
  <si>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</si>
  <si>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</si>
  <si>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</si>
  <si>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</si>
  <si>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</si>
  <si>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</si>
  <si>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</si>
  <si>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</si>
  <si>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</si>
  <si>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</si>
  <si>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</si>
  <si>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</si>
  <si>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</si>
  <si>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</si>
  <si>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</si>
  <si>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</si>
  <si>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</si>
  <si>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</si>
  <si>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</si>
  <si>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</si>
  <si>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</si>
  <si>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</si>
  <si>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</si>
  <si>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</si>
  <si>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</si>
  <si>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</si>
  <si>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</si>
  <si>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</si>
  <si>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</si>
  <si>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</si>
  <si>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</si>
  <si>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</si>
  <si>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</si>
  <si>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</si>
  <si>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</si>
  <si>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</si>
  <si>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</si>
  <si>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</si>
  <si>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</si>
  <si>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</si>
  <si>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</si>
  <si>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</si>
  <si>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</si>
  <si>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</si>
  <si>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</si>
  <si>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</si>
  <si>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</si>
  <si>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</si>
  <si>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</si>
  <si>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</si>
  <si>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</si>
  <si>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</si>
  <si>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</si>
  <si>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</si>
  <si>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</si>
  <si>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</si>
  <si>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</si>
  <si>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</si>
  <si>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</si>
  <si>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</si>
  <si>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</si>
  <si>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</si>
  <si>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</si>
  <si>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</si>
  <si>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</si>
  <si>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</si>
  <si>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</si>
  <si>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</si>
  <si>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</si>
  <si>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</si>
  <si>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</si>
  <si>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</si>
  <si>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</si>
  <si>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</si>
  <si>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</si>
  <si>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</si>
  <si>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</si>
  <si>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</si>
  <si>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</si>
  <si>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</si>
  <si>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</si>
  <si>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</si>
  <si>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</si>
  <si>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</si>
  <si>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</si>
  <si>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</si>
  <si>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</si>
  <si>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</si>
  <si>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</si>
  <si>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</si>
  <si>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</si>
  <si>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</si>
  <si>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</si>
  <si>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</si>
  <si>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</si>
  <si>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</si>
  <si>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</si>
  <si>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</si>
  <si>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</si>
  <si>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</si>
  <si>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</si>
  <si>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</si>
  <si>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</si>
  <si>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</si>
  <si>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</si>
  <si>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</si>
  <si>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</si>
  <si>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</si>
  <si>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</si>
  <si>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</si>
  <si>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</si>
  <si>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</si>
  <si>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</si>
  <si>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</si>
  <si>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</si>
  <si>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</si>
  <si>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</si>
  <si>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</si>
  <si>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</si>
  <si>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</si>
  <si>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</si>
  <si>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</si>
  <si>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</si>
  <si>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</si>
  <si>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</si>
  <si>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</si>
  <si>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</si>
  <si>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</si>
  <si>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</si>
  <si>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</si>
  <si>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</si>
  <si>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</si>
  <si>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</si>
  <si>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</si>
  <si>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</si>
  <si>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</si>
  <si>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</si>
  <si>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</si>
  <si>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</si>
  <si>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</si>
  <si>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</si>
  <si>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</si>
  <si>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</si>
  <si>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</si>
  <si>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</si>
  <si>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</si>
  <si>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</si>
  <si>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</si>
  <si>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</si>
  <si>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</si>
  <si>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</si>
  <si>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</si>
  <si>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</si>
  <si>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</si>
  <si>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</si>
  <si>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</si>
  <si>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</si>
  <si>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</si>
  <si>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</si>
  <si>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</si>
  <si>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</si>
  <si>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</si>
  <si>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</si>
  <si>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</si>
  <si>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</si>
  <si>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</si>
  <si>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</si>
  <si>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</si>
  <si>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</si>
  <si>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</si>
  <si>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</si>
  <si>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</si>
  <si>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</si>
  <si>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</si>
  <si>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</si>
  <si>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</si>
  <si>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</si>
  <si>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</si>
  <si>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</si>
  <si>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</si>
  <si>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</si>
  <si>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</si>
  <si>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</si>
  <si>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</si>
  <si>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</si>
  <si>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</si>
  <si>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</si>
  <si>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</si>
  <si>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</si>
  <si>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</si>
  <si>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</si>
  <si>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</si>
  <si>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</si>
  <si>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</si>
  <si>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</si>
  <si>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</si>
  <si>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</si>
  <si>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</si>
  <si>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</si>
  <si>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</si>
  <si>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</si>
  <si>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</si>
  <si>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</si>
  <si>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</si>
  <si>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</si>
  <si>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</si>
  <si>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</si>
  <si>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</si>
  <si>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</si>
  <si>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</si>
  <si>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</si>
  <si>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</si>
  <si>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</si>
  <si>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</si>
  <si>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</si>
  <si>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</si>
  <si>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</si>
  <si>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</si>
  <si>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</si>
  <si>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</si>
  <si>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</si>
  <si>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</si>
  <si>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</si>
  <si>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</si>
  <si>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</si>
  <si>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</si>
  <si>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</si>
  <si>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</si>
  <si>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</si>
  <si>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</si>
  <si>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</si>
  <si>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</si>
  <si>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</si>
  <si>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</si>
  <si>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</si>
  <si>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</si>
  <si>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</si>
  <si>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</si>
  <si>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</si>
  <si>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</si>
  <si>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</si>
  <si>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</si>
  <si>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</si>
  <si>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</si>
  <si>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</si>
  <si>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</si>
  <si>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</si>
  <si>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</si>
  <si>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</si>
  <si>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</si>
  <si>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</si>
  <si>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</si>
  <si>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</si>
  <si>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</si>
  <si>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</si>
  <si>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</si>
  <si>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</si>
  <si>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</si>
  <si>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</si>
  <si>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</si>
  <si>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</si>
  <si>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</si>
  <si>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</si>
  <si>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</si>
  <si>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</si>
  <si>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</si>
  <si>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</si>
  <si>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</si>
  <si>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</si>
  <si>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</si>
  <si>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</si>
  <si>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</si>
  <si>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</si>
  <si>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</si>
  <si>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</si>
  <si>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</si>
  <si>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</si>
  <si>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</si>
  <si>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</si>
  <si>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</si>
  <si>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</si>
  <si>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</si>
  <si>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</si>
  <si>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</si>
  <si>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</si>
  <si>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</si>
  <si>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</si>
  <si>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</si>
  <si>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</si>
  <si>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</si>
  <si>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</si>
  <si>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</si>
  <si>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</si>
  <si>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</si>
  <si>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</si>
  <si>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</si>
  <si>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</si>
  <si>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</si>
  <si>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</si>
  <si>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</si>
  <si>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</si>
  <si>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</si>
  <si>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</si>
  <si>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</si>
  <si>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</si>
  <si>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</si>
  <si>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</si>
  <si>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</si>
  <si>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</si>
  <si>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</si>
  <si>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</si>
  <si>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</si>
  <si>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</si>
  <si>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</si>
  <si>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</si>
  <si>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</si>
  <si>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</si>
  <si>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</si>
  <si>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</si>
  <si>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</si>
  <si>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</si>
  <si>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</si>
  <si>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</si>
  <si>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</si>
  <si>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</si>
  <si>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</si>
  <si>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</si>
  <si>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</si>
  <si>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</si>
  <si>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</si>
  <si>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</si>
  <si>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</si>
  <si>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</si>
  <si>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</si>
  <si>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</si>
  <si>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</si>
  <si>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</si>
  <si>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</si>
  <si>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</si>
  <si>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</si>
  <si>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</si>
  <si>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</si>
  <si>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</si>
  <si>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</si>
  <si>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</si>
  <si>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</si>
  <si>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</si>
  <si>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</si>
  <si>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</si>
  <si>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</si>
  <si>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</si>
  <si>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</si>
  <si>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</si>
  <si>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</si>
  <si>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</si>
  <si>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</si>
  <si>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</si>
  <si>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</si>
  <si>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</si>
  <si>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</si>
  <si>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</si>
  <si>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</si>
  <si>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</si>
  <si>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</si>
  <si>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</si>
  <si>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</si>
  <si>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</si>
  <si>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</si>
  <si>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</si>
  <si>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</si>
  <si>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</si>
  <si>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</si>
  <si>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</si>
  <si>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</si>
  <si>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</si>
  <si>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</si>
  <si>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</si>
  <si>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</si>
  <si>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</si>
  <si>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</si>
  <si>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</si>
  <si>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</si>
  <si>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</si>
  <si>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</si>
  <si>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</si>
  <si>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</si>
  <si>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</si>
  <si>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</si>
  <si>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</si>
  <si>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</si>
  <si>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</si>
  <si>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</si>
  <si>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</si>
  <si>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</si>
  <si>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</si>
  <si>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</si>
  <si>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</si>
  <si>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</si>
  <si>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</si>
  <si>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</si>
  <si>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</si>
  <si>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</si>
  <si>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</si>
  <si>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</si>
  <si>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</si>
  <si>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</si>
  <si>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</si>
  <si>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</si>
  <si>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</si>
  <si>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</si>
  <si>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</si>
  <si>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</si>
  <si>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</si>
  <si>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</si>
  <si>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</si>
  <si>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</si>
  <si>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</si>
  <si>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</si>
  <si>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</si>
  <si>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</si>
  <si>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</si>
  <si>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</si>
  <si>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</si>
  <si>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</si>
  <si>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</si>
  <si>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</si>
  <si>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</si>
  <si>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</si>
  <si>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</si>
  <si>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</si>
  <si>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</si>
  <si>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</si>
  <si>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</si>
  <si>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</si>
  <si>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</si>
  <si>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</si>
  <si>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</si>
  <si>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</si>
  <si>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</si>
  <si>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</si>
  <si>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</si>
  <si>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</si>
  <si>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</si>
  <si>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</si>
  <si>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</si>
  <si>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</si>
  <si>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</si>
  <si>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</si>
  <si>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</si>
  <si>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</si>
  <si>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</si>
  <si>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</si>
  <si>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</si>
  <si>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</si>
  <si>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</si>
  <si>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</si>
  <si>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</si>
  <si>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</si>
  <si>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</si>
  <si>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</si>
  <si>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</si>
  <si>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</si>
  <si>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</si>
  <si>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</si>
  <si>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</si>
  <si>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</si>
  <si>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</si>
  <si>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</si>
  <si>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</si>
  <si>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</si>
  <si>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</si>
  <si>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</si>
  <si>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</si>
  <si>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</si>
  <si>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</si>
  <si>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</si>
  <si>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</si>
  <si>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</si>
  <si>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</si>
  <si>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</si>
  <si>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</si>
  <si>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</si>
  <si>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</si>
  <si>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</si>
  <si>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</si>
  <si>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</si>
  <si>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</si>
  <si>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</si>
  <si>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</si>
  <si>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</si>
  <si>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</si>
  <si>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</si>
  <si>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</si>
  <si>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</si>
  <si>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</si>
  <si>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</si>
  <si>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</si>
  <si>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</si>
  <si>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</si>
  <si>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</si>
  <si>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</si>
  <si>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</si>
  <si>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</si>
  <si>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</si>
  <si>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</si>
  <si>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</si>
  <si>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</si>
  <si>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</si>
  <si>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</si>
  <si>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</si>
  <si>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</si>
  <si>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</si>
  <si>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</si>
  <si>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</si>
  <si>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</si>
  <si>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</si>
  <si>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</si>
  <si>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</si>
  <si>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</si>
  <si>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</si>
  <si>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</si>
  <si>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</si>
  <si>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</si>
  <si>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</si>
  <si>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</si>
  <si>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</si>
  <si>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</si>
  <si>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</si>
  <si>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</si>
  <si>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</si>
  <si>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</si>
  <si>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</si>
  <si>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</si>
  <si>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</si>
  <si>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</si>
  <si>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</si>
  <si>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</si>
  <si>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</si>
  <si>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</si>
  <si>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</si>
  <si>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</si>
  <si>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</si>
  <si>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</si>
  <si>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</si>
  <si>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</si>
  <si>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</si>
  <si>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</si>
  <si>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</si>
  <si>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</si>
  <si>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</si>
  <si>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</si>
  <si>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</si>
  <si>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</si>
  <si>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</si>
  <si>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</si>
  <si>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</si>
  <si>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</si>
  <si>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</si>
  <si>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</si>
  <si>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</si>
  <si>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</si>
  <si>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</si>
  <si>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</si>
  <si>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</si>
  <si>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</si>
  <si>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13023</t>
  </si>
  <si>
    <t>MERKSPLAS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</si>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</sst>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4FEDD5A-6868-4DF3-9411-8DFF452DDB1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65418.840105966585</c:v>
                </c:pt>
                <c:pt idx="1">
                  <c:v>30184.126940775401</c:v>
                </c:pt>
                <c:pt idx="2">
                  <c:v>424.94199903772397</c:v>
                </c:pt>
                <c:pt idx="3">
                  <c:v>596273.66502743005</c:v>
                </c:pt>
                <c:pt idx="4">
                  <c:v>6456.6008609911596</c:v>
                </c:pt>
                <c:pt idx="5">
                  <c:v>45911.849052879115</c:v>
                </c:pt>
                <c:pt idx="6">
                  <c:v>772.31698573721144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65418.840105966585</c:v>
                </c:pt>
                <c:pt idx="1">
                  <c:v>30184.126940775401</c:v>
                </c:pt>
                <c:pt idx="2">
                  <c:v>424.94199903772397</c:v>
                </c:pt>
                <c:pt idx="3">
                  <c:v>596273.66502743005</c:v>
                </c:pt>
                <c:pt idx="4">
                  <c:v>6456.6008609911596</c:v>
                </c:pt>
                <c:pt idx="5">
                  <c:v>45911.849052879115</c:v>
                </c:pt>
                <c:pt idx="6">
                  <c:v>772.31698573721144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12783.42820034648</c:v>
                </c:pt>
                <c:pt idx="1">
                  <c:v>5810.4475901913647</c:v>
                </c:pt>
                <c:pt idx="2">
                  <c:v>74.438387121981634</c:v>
                </c:pt>
                <c:pt idx="3">
                  <c:v>115419.37481935248</c:v>
                </c:pt>
                <c:pt idx="4">
                  <c:v>1253.8866870132342</c:v>
                </c:pt>
                <c:pt idx="5">
                  <c:v>10872.51143388556</c:v>
                </c:pt>
                <c:pt idx="6">
                  <c:v>184.3746760107054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12783.42820034648</c:v>
                </c:pt>
                <c:pt idx="1">
                  <c:v>5810.4475901913647</c:v>
                </c:pt>
                <c:pt idx="2">
                  <c:v>74.438387121981634</c:v>
                </c:pt>
                <c:pt idx="3">
                  <c:v>115419.37481935248</c:v>
                </c:pt>
                <c:pt idx="4">
                  <c:v>1253.8866870132342</c:v>
                </c:pt>
                <c:pt idx="5">
                  <c:v>10872.51143388556</c:v>
                </c:pt>
                <c:pt idx="6">
                  <c:v>184.3746760107054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13023</v>
      </c>
      <c r="B6" s="380"/>
      <c r="C6" s="381"/>
    </row>
    <row r="7" spans="1:7" s="378" customFormat="1" ht="15.75" customHeight="1">
      <c r="A7" s="382" t="str">
        <f>txtMunicipality</f>
        <v>MERKSPLAS</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11037.2675141119</v>
      </c>
      <c r="D10" s="637">
        <f ca="1">tertiair!C16</f>
        <v>0</v>
      </c>
      <c r="E10" s="637">
        <f ca="1">tertiair!D16</f>
        <v>16625.299506252366</v>
      </c>
      <c r="F10" s="637">
        <f ca="1">tertiair!E16</f>
        <v>22.705042905583351</v>
      </c>
      <c r="G10" s="637">
        <f ca="1">tertiair!F16</f>
        <v>2202.1823373867524</v>
      </c>
      <c r="H10" s="637">
        <f>tertiair!G16</f>
        <v>0</v>
      </c>
      <c r="I10" s="637">
        <f>tertiair!H16</f>
        <v>0</v>
      </c>
      <c r="J10" s="637">
        <f>tertiair!I16</f>
        <v>0</v>
      </c>
      <c r="K10" s="637">
        <f>tertiair!J16</f>
        <v>1.9508843196688865E-2</v>
      </c>
      <c r="L10" s="637">
        <f>tertiair!K16</f>
        <v>0</v>
      </c>
      <c r="M10" s="637">
        <f ca="1">tertiair!L16</f>
        <v>0</v>
      </c>
      <c r="N10" s="637">
        <f>tertiair!M16</f>
        <v>0</v>
      </c>
      <c r="O10" s="637">
        <f ca="1">tertiair!N16</f>
        <v>706.90324801580505</v>
      </c>
      <c r="P10" s="637">
        <f>tertiair!O16</f>
        <v>14.691782297523464</v>
      </c>
      <c r="Q10" s="638">
        <f>tertiair!P16</f>
        <v>0</v>
      </c>
      <c r="R10" s="640">
        <f ca="1">SUM(C10:Q10)</f>
        <v>30609.068939813125</v>
      </c>
      <c r="S10" s="67"/>
    </row>
    <row r="11" spans="1:19" s="439" customFormat="1">
      <c r="A11" s="757" t="s">
        <v>214</v>
      </c>
      <c r="B11" s="762"/>
      <c r="C11" s="637">
        <f>huishoudens!B8</f>
        <v>14427.152759920813</v>
      </c>
      <c r="D11" s="637">
        <f>huishoudens!C8</f>
        <v>0</v>
      </c>
      <c r="E11" s="637">
        <f>huishoudens!D8</f>
        <v>33852.373002798435</v>
      </c>
      <c r="F11" s="637">
        <f>huishoudens!E8</f>
        <v>939.47461435970763</v>
      </c>
      <c r="G11" s="637">
        <f>huishoudens!F8</f>
        <v>11901.770223013868</v>
      </c>
      <c r="H11" s="637">
        <f>huishoudens!G8</f>
        <v>0</v>
      </c>
      <c r="I11" s="637">
        <f>huishoudens!H8</f>
        <v>0</v>
      </c>
      <c r="J11" s="637">
        <f>huishoudens!I8</f>
        <v>0</v>
      </c>
      <c r="K11" s="637">
        <f>huishoudens!J8</f>
        <v>76.17818764220479</v>
      </c>
      <c r="L11" s="637">
        <f>huishoudens!K8</f>
        <v>0</v>
      </c>
      <c r="M11" s="637">
        <f>huishoudens!L8</f>
        <v>0</v>
      </c>
      <c r="N11" s="637">
        <f>huishoudens!M8</f>
        <v>0</v>
      </c>
      <c r="O11" s="637">
        <f>huishoudens!N8</f>
        <v>3739.2200485725007</v>
      </c>
      <c r="P11" s="637">
        <f>huishoudens!O8</f>
        <v>166.65249042851067</v>
      </c>
      <c r="Q11" s="638">
        <f>huishoudens!P8</f>
        <v>316.01877923055071</v>
      </c>
      <c r="R11" s="640">
        <f>SUM(C11:Q11)</f>
        <v>65418.840105966585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3105.1483109113788</v>
      </c>
      <c r="D13" s="637">
        <f>industrie!C18</f>
        <v>0</v>
      </c>
      <c r="E13" s="637">
        <f>industrie!D18</f>
        <v>2274.3734423985215</v>
      </c>
      <c r="F13" s="637">
        <f>industrie!E18</f>
        <v>10.153889551843275</v>
      </c>
      <c r="G13" s="637">
        <f>industrie!F18</f>
        <v>929.44598421346632</v>
      </c>
      <c r="H13" s="637">
        <f>industrie!G18</f>
        <v>0</v>
      </c>
      <c r="I13" s="637">
        <f>industrie!H18</f>
        <v>0</v>
      </c>
      <c r="J13" s="637">
        <f>industrie!I18</f>
        <v>0</v>
      </c>
      <c r="K13" s="637">
        <f>industrie!J18</f>
        <v>0.16365180120544057</v>
      </c>
      <c r="L13" s="637">
        <f>industrie!K18</f>
        <v>0</v>
      </c>
      <c r="M13" s="637">
        <f>industrie!L18</f>
        <v>0</v>
      </c>
      <c r="N13" s="637">
        <f>industrie!M18</f>
        <v>0</v>
      </c>
      <c r="O13" s="637">
        <f>industrie!N18</f>
        <v>137.31558211474427</v>
      </c>
      <c r="P13" s="637">
        <f>industrie!O18</f>
        <v>0</v>
      </c>
      <c r="Q13" s="638">
        <f>industrie!P18</f>
        <v>0</v>
      </c>
      <c r="R13" s="640">
        <f>SUM(C13:Q13)</f>
        <v>6456.6008609911596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28569.568584944092</v>
      </c>
      <c r="D16" s="673">
        <f t="shared" ref="D16:R16" ca="1" si="0">SUM(D9:D15)</f>
        <v>0</v>
      </c>
      <c r="E16" s="673">
        <f t="shared" ca="1" si="0"/>
        <v>52752.04595144932</v>
      </c>
      <c r="F16" s="673">
        <f t="shared" ca="1" si="0"/>
        <v>972.33354681713422</v>
      </c>
      <c r="G16" s="673">
        <f t="shared" ca="1" si="0"/>
        <v>15033.398544614085</v>
      </c>
      <c r="H16" s="673">
        <f t="shared" si="0"/>
        <v>0</v>
      </c>
      <c r="I16" s="673">
        <f t="shared" si="0"/>
        <v>0</v>
      </c>
      <c r="J16" s="673">
        <f t="shared" si="0"/>
        <v>0</v>
      </c>
      <c r="K16" s="673">
        <f t="shared" si="0"/>
        <v>76.361348286606926</v>
      </c>
      <c r="L16" s="673">
        <f t="shared" si="0"/>
        <v>0</v>
      </c>
      <c r="M16" s="673">
        <f t="shared" ca="1" si="0"/>
        <v>0</v>
      </c>
      <c r="N16" s="673">
        <f t="shared" si="0"/>
        <v>0</v>
      </c>
      <c r="O16" s="673">
        <f t="shared" ca="1" si="0"/>
        <v>4583.4388787030493</v>
      </c>
      <c r="P16" s="673">
        <f t="shared" si="0"/>
        <v>181.34427272603415</v>
      </c>
      <c r="Q16" s="673">
        <f t="shared" si="0"/>
        <v>316.01877923055071</v>
      </c>
      <c r="R16" s="673">
        <f t="shared" ca="1" si="0"/>
        <v>102484.50990677088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16.550700949844085</v>
      </c>
      <c r="D19" s="637">
        <f>transport!C54</f>
        <v>0</v>
      </c>
      <c r="E19" s="637">
        <f>transport!D54</f>
        <v>0</v>
      </c>
      <c r="F19" s="637">
        <f>transport!E54</f>
        <v>0</v>
      </c>
      <c r="G19" s="637">
        <f>transport!F54</f>
        <v>0</v>
      </c>
      <c r="H19" s="637">
        <f>transport!G54</f>
        <v>679.68329289782309</v>
      </c>
      <c r="I19" s="637">
        <f>transport!H54</f>
        <v>0</v>
      </c>
      <c r="J19" s="637">
        <f>transport!I54</f>
        <v>0</v>
      </c>
      <c r="K19" s="637">
        <f>transport!J54</f>
        <v>0</v>
      </c>
      <c r="L19" s="637">
        <f>transport!K54</f>
        <v>0</v>
      </c>
      <c r="M19" s="637">
        <f>transport!L54</f>
        <v>0</v>
      </c>
      <c r="N19" s="637">
        <f>transport!M54</f>
        <v>76.082991889544289</v>
      </c>
      <c r="O19" s="637">
        <f>transport!N54</f>
        <v>0</v>
      </c>
      <c r="P19" s="637">
        <f>transport!O54</f>
        <v>0</v>
      </c>
      <c r="Q19" s="638">
        <f>transport!P54</f>
        <v>0</v>
      </c>
      <c r="R19" s="640">
        <f>SUM(C19:Q19)</f>
        <v>772.31698573721144</v>
      </c>
      <c r="S19" s="67"/>
    </row>
    <row r="20" spans="1:19" s="439" customFormat="1">
      <c r="A20" s="757" t="s">
        <v>294</v>
      </c>
      <c r="B20" s="762"/>
      <c r="C20" s="637">
        <f>transport!B14</f>
        <v>233.91848636261543</v>
      </c>
      <c r="D20" s="637">
        <f>transport!C14</f>
        <v>0</v>
      </c>
      <c r="E20" s="637">
        <f>transport!D14</f>
        <v>227.63005504715426</v>
      </c>
      <c r="F20" s="637">
        <f>transport!E14</f>
        <v>75.710541711879685</v>
      </c>
      <c r="G20" s="637">
        <f>transport!F14</f>
        <v>0</v>
      </c>
      <c r="H20" s="637">
        <f>transport!G14</f>
        <v>30276.983620118433</v>
      </c>
      <c r="I20" s="637">
        <f>transport!H14</f>
        <v>10780.775212550958</v>
      </c>
      <c r="J20" s="637">
        <f>transport!I14</f>
        <v>0</v>
      </c>
      <c r="K20" s="637">
        <f>transport!J14</f>
        <v>0</v>
      </c>
      <c r="L20" s="637">
        <f>transport!K14</f>
        <v>0</v>
      </c>
      <c r="M20" s="637">
        <f>transport!L14</f>
        <v>0</v>
      </c>
      <c r="N20" s="637">
        <f>transport!M14</f>
        <v>4316.8311370880783</v>
      </c>
      <c r="O20" s="637">
        <f>transport!N14</f>
        <v>0</v>
      </c>
      <c r="P20" s="637">
        <f>transport!O14</f>
        <v>0</v>
      </c>
      <c r="Q20" s="638">
        <f>transport!P14</f>
        <v>0</v>
      </c>
      <c r="R20" s="640">
        <f>SUM(C20:Q20)</f>
        <v>45911.849052879115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250.4691873124595</v>
      </c>
      <c r="D22" s="760">
        <f t="shared" ref="D22:R22" si="1">SUM(D18:D21)</f>
        <v>0</v>
      </c>
      <c r="E22" s="760">
        <f t="shared" si="1"/>
        <v>227.63005504715426</v>
      </c>
      <c r="F22" s="760">
        <f t="shared" si="1"/>
        <v>75.710541711879685</v>
      </c>
      <c r="G22" s="760">
        <f t="shared" si="1"/>
        <v>0</v>
      </c>
      <c r="H22" s="760">
        <f t="shared" si="1"/>
        <v>30956.666913016255</v>
      </c>
      <c r="I22" s="760">
        <f t="shared" si="1"/>
        <v>10780.775212550958</v>
      </c>
      <c r="J22" s="760">
        <f t="shared" si="1"/>
        <v>0</v>
      </c>
      <c r="K22" s="760">
        <f t="shared" si="1"/>
        <v>0</v>
      </c>
      <c r="L22" s="760">
        <f t="shared" si="1"/>
        <v>0</v>
      </c>
      <c r="M22" s="760">
        <f t="shared" si="1"/>
        <v>0</v>
      </c>
      <c r="N22" s="760">
        <f t="shared" si="1"/>
        <v>4392.9141289776226</v>
      </c>
      <c r="O22" s="760">
        <f t="shared" si="1"/>
        <v>0</v>
      </c>
      <c r="P22" s="760">
        <f t="shared" si="1"/>
        <v>0</v>
      </c>
      <c r="Q22" s="760">
        <f t="shared" si="1"/>
        <v>0</v>
      </c>
      <c r="R22" s="760">
        <f t="shared" si="1"/>
        <v>46684.166038616328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13314.0109437053</v>
      </c>
      <c r="D24" s="637">
        <f>+landbouw!C8</f>
        <v>361933.88891784364</v>
      </c>
      <c r="E24" s="637">
        <f>+landbouw!D8</f>
        <v>171557.98862198147</v>
      </c>
      <c r="F24" s="637">
        <f>+landbouw!E8</f>
        <v>448.96884355636683</v>
      </c>
      <c r="G24" s="637">
        <f>+landbouw!F8</f>
        <v>46128.955219691175</v>
      </c>
      <c r="H24" s="637">
        <f>+landbouw!G8</f>
        <v>0</v>
      </c>
      <c r="I24" s="637">
        <f>+landbouw!H8</f>
        <v>0</v>
      </c>
      <c r="J24" s="637">
        <f>+landbouw!I8</f>
        <v>0</v>
      </c>
      <c r="K24" s="637">
        <f>+landbouw!J8</f>
        <v>2889.8524806522091</v>
      </c>
      <c r="L24" s="637">
        <f>+landbouw!K8</f>
        <v>0</v>
      </c>
      <c r="M24" s="637">
        <f>+landbouw!L8</f>
        <v>0</v>
      </c>
      <c r="N24" s="637">
        <f>+landbouw!M8</f>
        <v>0</v>
      </c>
      <c r="O24" s="637">
        <f>+landbouw!N8</f>
        <v>0</v>
      </c>
      <c r="P24" s="637">
        <f>+landbouw!O8</f>
        <v>0</v>
      </c>
      <c r="Q24" s="638">
        <f>+landbouw!P8</f>
        <v>0</v>
      </c>
      <c r="R24" s="640">
        <f>SUM(C24:Q24)</f>
        <v>596273.66502743005</v>
      </c>
      <c r="S24" s="67"/>
    </row>
    <row r="25" spans="1:19" s="439" customFormat="1" ht="15" thickBot="1">
      <c r="A25" s="779" t="s">
        <v>634</v>
      </c>
      <c r="B25" s="890"/>
      <c r="C25" s="891">
        <f>IF(Onbekend_ele_kWh="---",0,Onbekend_ele_kWh)/1000+IF(REST_rest_ele_kWh="---",0,REST_rest_ele_kWh)/1000</f>
        <v>330.79637603610303</v>
      </c>
      <c r="D25" s="891"/>
      <c r="E25" s="891">
        <f>IF(onbekend_gas_kWh="---",0,onbekend_gas_kWh)/1000+IF(REST_rest_gas_kWh="---",0,REST_rest_gas_kWh)/1000</f>
        <v>276.998670056028</v>
      </c>
      <c r="F25" s="891"/>
      <c r="G25" s="891"/>
      <c r="H25" s="891"/>
      <c r="I25" s="891"/>
      <c r="J25" s="891"/>
      <c r="K25" s="891"/>
      <c r="L25" s="891"/>
      <c r="M25" s="891"/>
      <c r="N25" s="891"/>
      <c r="O25" s="891"/>
      <c r="P25" s="891"/>
      <c r="Q25" s="892"/>
      <c r="R25" s="640">
        <f>SUM(C25:Q25)</f>
        <v>607.79504609213109</v>
      </c>
      <c r="S25" s="67"/>
    </row>
    <row r="26" spans="1:19" s="439" customFormat="1" ht="15.75" thickBot="1">
      <c r="A26" s="645" t="s">
        <v>635</v>
      </c>
      <c r="B26" s="765"/>
      <c r="C26" s="760">
        <f>SUM(C24:C25)</f>
        <v>13644.807319741403</v>
      </c>
      <c r="D26" s="760">
        <f t="shared" ref="D26:R26" si="2">SUM(D24:D25)</f>
        <v>361933.88891784364</v>
      </c>
      <c r="E26" s="760">
        <f t="shared" si="2"/>
        <v>171834.98729203749</v>
      </c>
      <c r="F26" s="760">
        <f t="shared" si="2"/>
        <v>448.96884355636683</v>
      </c>
      <c r="G26" s="760">
        <f t="shared" si="2"/>
        <v>46128.955219691175</v>
      </c>
      <c r="H26" s="760">
        <f t="shared" si="2"/>
        <v>0</v>
      </c>
      <c r="I26" s="760">
        <f t="shared" si="2"/>
        <v>0</v>
      </c>
      <c r="J26" s="760">
        <f t="shared" si="2"/>
        <v>0</v>
      </c>
      <c r="K26" s="760">
        <f t="shared" si="2"/>
        <v>2889.8524806522091</v>
      </c>
      <c r="L26" s="760">
        <f t="shared" si="2"/>
        <v>0</v>
      </c>
      <c r="M26" s="760">
        <f t="shared" si="2"/>
        <v>0</v>
      </c>
      <c r="N26" s="760">
        <f t="shared" si="2"/>
        <v>0</v>
      </c>
      <c r="O26" s="760">
        <f t="shared" si="2"/>
        <v>0</v>
      </c>
      <c r="P26" s="760">
        <f t="shared" si="2"/>
        <v>0</v>
      </c>
      <c r="Q26" s="760">
        <f t="shared" si="2"/>
        <v>0</v>
      </c>
      <c r="R26" s="760">
        <f t="shared" si="2"/>
        <v>596881.46007352218</v>
      </c>
      <c r="S26" s="67"/>
    </row>
    <row r="27" spans="1:19" s="439" customFormat="1" ht="17.25" thickTop="1" thickBot="1">
      <c r="A27" s="646" t="s">
        <v>109</v>
      </c>
      <c r="B27" s="752"/>
      <c r="C27" s="647">
        <f ca="1">C22+C16+C26</f>
        <v>42464.845091997959</v>
      </c>
      <c r="D27" s="647">
        <f t="shared" ref="D27:R27" ca="1" si="3">D22+D16+D26</f>
        <v>361933.88891784364</v>
      </c>
      <c r="E27" s="647">
        <f t="shared" ca="1" si="3"/>
        <v>224814.66329853397</v>
      </c>
      <c r="F27" s="647">
        <f t="shared" ca="1" si="3"/>
        <v>1497.0129320853807</v>
      </c>
      <c r="G27" s="647">
        <f t="shared" ca="1" si="3"/>
        <v>61162.353764305262</v>
      </c>
      <c r="H27" s="647">
        <f t="shared" si="3"/>
        <v>30956.666913016255</v>
      </c>
      <c r="I27" s="647">
        <f t="shared" si="3"/>
        <v>10780.775212550958</v>
      </c>
      <c r="J27" s="647">
        <f t="shared" si="3"/>
        <v>0</v>
      </c>
      <c r="K27" s="647">
        <f t="shared" si="3"/>
        <v>2966.2138289388158</v>
      </c>
      <c r="L27" s="647">
        <f t="shared" si="3"/>
        <v>0</v>
      </c>
      <c r="M27" s="647">
        <f t="shared" ca="1" si="3"/>
        <v>0</v>
      </c>
      <c r="N27" s="647">
        <f t="shared" si="3"/>
        <v>4392.9141289776226</v>
      </c>
      <c r="O27" s="647">
        <f t="shared" ca="1" si="3"/>
        <v>4583.4388787030493</v>
      </c>
      <c r="P27" s="647">
        <f t="shared" si="3"/>
        <v>181.34427272603415</v>
      </c>
      <c r="Q27" s="647">
        <f t="shared" si="3"/>
        <v>316.01877923055071</v>
      </c>
      <c r="R27" s="647">
        <f t="shared" ca="1" si="3"/>
        <v>746050.1360189094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1933.4318420980476</v>
      </c>
      <c r="D40" s="637">
        <f ca="1">tertiair!C20</f>
        <v>0</v>
      </c>
      <c r="E40" s="637">
        <f ca="1">tertiair!D20</f>
        <v>3358.3105002629782</v>
      </c>
      <c r="F40" s="637">
        <f ca="1">tertiair!E20</f>
        <v>5.1540447395674205</v>
      </c>
      <c r="G40" s="637">
        <f ca="1">tertiair!F20</f>
        <v>587.98268408226295</v>
      </c>
      <c r="H40" s="637">
        <f>tertiair!G20</f>
        <v>0</v>
      </c>
      <c r="I40" s="637">
        <f>tertiair!H20</f>
        <v>0</v>
      </c>
      <c r="J40" s="637">
        <f>tertiair!I20</f>
        <v>0</v>
      </c>
      <c r="K40" s="637">
        <f>tertiair!J20</f>
        <v>6.9061304916278573E-3</v>
      </c>
      <c r="L40" s="637">
        <f>tertiair!K20</f>
        <v>0</v>
      </c>
      <c r="M40" s="637">
        <f ca="1">tertiair!L20</f>
        <v>0</v>
      </c>
      <c r="N40" s="637">
        <f>tertiair!M20</f>
        <v>0</v>
      </c>
      <c r="O40" s="637">
        <f ca="1">tertiair!N20</f>
        <v>0</v>
      </c>
      <c r="P40" s="637">
        <f>tertiair!O20</f>
        <v>0</v>
      </c>
      <c r="Q40" s="720">
        <f>tertiair!P20</f>
        <v>0</v>
      </c>
      <c r="R40" s="798">
        <f t="shared" ca="1" si="4"/>
        <v>5884.8859773133463</v>
      </c>
    </row>
    <row r="41" spans="1:18">
      <c r="A41" s="770" t="s">
        <v>214</v>
      </c>
      <c r="B41" s="777"/>
      <c r="C41" s="637">
        <f ca="1">huishoudens!B12</f>
        <v>2527.2483883514969</v>
      </c>
      <c r="D41" s="637">
        <f ca="1">huishoudens!C12</f>
        <v>0</v>
      </c>
      <c r="E41" s="637">
        <f>huishoudens!D12</f>
        <v>6838.1793465652845</v>
      </c>
      <c r="F41" s="637">
        <f>huishoudens!E12</f>
        <v>213.26073745965363</v>
      </c>
      <c r="G41" s="637">
        <f>huishoudens!F12</f>
        <v>3177.7726495447027</v>
      </c>
      <c r="H41" s="637">
        <f>huishoudens!G12</f>
        <v>0</v>
      </c>
      <c r="I41" s="637">
        <f>huishoudens!H12</f>
        <v>0</v>
      </c>
      <c r="J41" s="637">
        <f>huishoudens!I12</f>
        <v>0</v>
      </c>
      <c r="K41" s="637">
        <f>huishoudens!J12</f>
        <v>26.967078425340496</v>
      </c>
      <c r="L41" s="637">
        <f>huishoudens!K12</f>
        <v>0</v>
      </c>
      <c r="M41" s="637">
        <f>huishoudens!L12</f>
        <v>0</v>
      </c>
      <c r="N41" s="637">
        <f>huishoudens!M12</f>
        <v>0</v>
      </c>
      <c r="O41" s="637">
        <f>huishoudens!N12</f>
        <v>0</v>
      </c>
      <c r="P41" s="637">
        <f>huishoudens!O12</f>
        <v>0</v>
      </c>
      <c r="Q41" s="720">
        <f>huishoudens!P12</f>
        <v>0</v>
      </c>
      <c r="R41" s="798">
        <f t="shared" ca="1" si="4"/>
        <v>12783.42820034648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543.93830819784205</v>
      </c>
      <c r="D43" s="637">
        <f ca="1">industrie!C22</f>
        <v>0</v>
      </c>
      <c r="E43" s="637">
        <f>industrie!D22</f>
        <v>459.42343536450136</v>
      </c>
      <c r="F43" s="637">
        <f>industrie!E22</f>
        <v>2.3049329282684234</v>
      </c>
      <c r="G43" s="637">
        <f>industrie!F22</f>
        <v>248.16207778499552</v>
      </c>
      <c r="H43" s="637">
        <f>industrie!G22</f>
        <v>0</v>
      </c>
      <c r="I43" s="637">
        <f>industrie!H22</f>
        <v>0</v>
      </c>
      <c r="J43" s="637">
        <f>industrie!I22</f>
        <v>0</v>
      </c>
      <c r="K43" s="637">
        <f>industrie!J22</f>
        <v>5.7932737626725961E-2</v>
      </c>
      <c r="L43" s="637">
        <f>industrie!K22</f>
        <v>0</v>
      </c>
      <c r="M43" s="637">
        <f>industrie!L22</f>
        <v>0</v>
      </c>
      <c r="N43" s="637">
        <f>industrie!M22</f>
        <v>0</v>
      </c>
      <c r="O43" s="637">
        <f>industrie!N22</f>
        <v>0</v>
      </c>
      <c r="P43" s="637">
        <f>industrie!O22</f>
        <v>0</v>
      </c>
      <c r="Q43" s="720">
        <f>industrie!P22</f>
        <v>0</v>
      </c>
      <c r="R43" s="797">
        <f t="shared" ca="1" si="4"/>
        <v>1253.8866870132342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5004.6185386473871</v>
      </c>
      <c r="D46" s="673">
        <f t="shared" ref="D46:Q46" ca="1" si="5">SUM(D39:D45)</f>
        <v>0</v>
      </c>
      <c r="E46" s="673">
        <f t="shared" ca="1" si="5"/>
        <v>10655.913282192763</v>
      </c>
      <c r="F46" s="673">
        <f t="shared" ca="1" si="5"/>
        <v>220.71971512748945</v>
      </c>
      <c r="G46" s="673">
        <f t="shared" ca="1" si="5"/>
        <v>4013.9174114119614</v>
      </c>
      <c r="H46" s="673">
        <f t="shared" si="5"/>
        <v>0</v>
      </c>
      <c r="I46" s="673">
        <f t="shared" si="5"/>
        <v>0</v>
      </c>
      <c r="J46" s="673">
        <f t="shared" si="5"/>
        <v>0</v>
      </c>
      <c r="K46" s="673">
        <f t="shared" si="5"/>
        <v>27.03191729345885</v>
      </c>
      <c r="L46" s="673">
        <f t="shared" si="5"/>
        <v>0</v>
      </c>
      <c r="M46" s="673">
        <f t="shared" ca="1" si="5"/>
        <v>0</v>
      </c>
      <c r="N46" s="673">
        <f t="shared" si="5"/>
        <v>0</v>
      </c>
      <c r="O46" s="673">
        <f t="shared" ca="1" si="5"/>
        <v>0</v>
      </c>
      <c r="P46" s="673">
        <f t="shared" si="5"/>
        <v>0</v>
      </c>
      <c r="Q46" s="673">
        <f t="shared" si="5"/>
        <v>0</v>
      </c>
      <c r="R46" s="673">
        <f ca="1">SUM(R39:R45)</f>
        <v>19922.200864673061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2.8992368069866226</v>
      </c>
      <c r="D49" s="637">
        <f ca="1">transport!C58</f>
        <v>0</v>
      </c>
      <c r="E49" s="637">
        <f>transport!D58</f>
        <v>0</v>
      </c>
      <c r="F49" s="637">
        <f>transport!E58</f>
        <v>0</v>
      </c>
      <c r="G49" s="637">
        <f>transport!F58</f>
        <v>0</v>
      </c>
      <c r="H49" s="637">
        <f>transport!G58</f>
        <v>181.47543920371876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184.3746760107054</v>
      </c>
    </row>
    <row r="50" spans="1:18">
      <c r="A50" s="773" t="s">
        <v>294</v>
      </c>
      <c r="B50" s="783"/>
      <c r="C50" s="643">
        <f ca="1">transport!B18</f>
        <v>40.976215300626393</v>
      </c>
      <c r="D50" s="643">
        <f>transport!C18</f>
        <v>0</v>
      </c>
      <c r="E50" s="643">
        <f>transport!D18</f>
        <v>45.981271119525161</v>
      </c>
      <c r="F50" s="643">
        <f>transport!E18</f>
        <v>17.186292968596689</v>
      </c>
      <c r="G50" s="643">
        <f>transport!F18</f>
        <v>0</v>
      </c>
      <c r="H50" s="643">
        <f>transport!G18</f>
        <v>8083.9546265716226</v>
      </c>
      <c r="I50" s="643">
        <f>transport!H18</f>
        <v>2684.4130279251885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10872.51143388556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43.875452107613015</v>
      </c>
      <c r="D52" s="673">
        <f t="shared" ref="D52:Q52" ca="1" si="6">SUM(D48:D51)</f>
        <v>0</v>
      </c>
      <c r="E52" s="673">
        <f t="shared" si="6"/>
        <v>45.981271119525161</v>
      </c>
      <c r="F52" s="673">
        <f t="shared" si="6"/>
        <v>17.186292968596689</v>
      </c>
      <c r="G52" s="673">
        <f t="shared" si="6"/>
        <v>0</v>
      </c>
      <c r="H52" s="673">
        <f t="shared" si="6"/>
        <v>8265.4300657753411</v>
      </c>
      <c r="I52" s="673">
        <f t="shared" si="6"/>
        <v>2684.4130279251885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11056.886109896266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2332.2559385000991</v>
      </c>
      <c r="D54" s="643">
        <f ca="1">+landbouw!C12</f>
        <v>64991.050429916395</v>
      </c>
      <c r="E54" s="643">
        <f>+landbouw!D12</f>
        <v>34654.713701640256</v>
      </c>
      <c r="F54" s="643">
        <f>+landbouw!E12</f>
        <v>101.91592748729528</v>
      </c>
      <c r="G54" s="643">
        <f>+landbouw!F12</f>
        <v>12316.431043657545</v>
      </c>
      <c r="H54" s="643">
        <f>+landbouw!G12</f>
        <v>0</v>
      </c>
      <c r="I54" s="643">
        <f>+landbouw!H12</f>
        <v>0</v>
      </c>
      <c r="J54" s="643">
        <f>+landbouw!I12</f>
        <v>0</v>
      </c>
      <c r="K54" s="643">
        <f>+landbouw!J12</f>
        <v>1023.007778150882</v>
      </c>
      <c r="L54" s="643">
        <f>+landbouw!K12</f>
        <v>0</v>
      </c>
      <c r="M54" s="643">
        <f>+landbouw!L12</f>
        <v>0</v>
      </c>
      <c r="N54" s="643">
        <f>+landbouw!M12</f>
        <v>0</v>
      </c>
      <c r="O54" s="643">
        <f>+landbouw!N12</f>
        <v>0</v>
      </c>
      <c r="P54" s="643">
        <f>+landbouw!O12</f>
        <v>0</v>
      </c>
      <c r="Q54" s="644">
        <f>+landbouw!P12</f>
        <v>0</v>
      </c>
      <c r="R54" s="672">
        <f ca="1">SUM(C54:Q54)</f>
        <v>115419.37481935248</v>
      </c>
    </row>
    <row r="55" spans="1:18" ht="15" thickBot="1">
      <c r="A55" s="773" t="s">
        <v>634</v>
      </c>
      <c r="B55" s="783"/>
      <c r="C55" s="643">
        <f ca="1">C25*'EF ele_warmte'!B12</f>
        <v>57.946610957929984</v>
      </c>
      <c r="D55" s="643"/>
      <c r="E55" s="643">
        <f>E25*EF_CO2_aardgas</f>
        <v>55.953731351317657</v>
      </c>
      <c r="F55" s="643"/>
      <c r="G55" s="643"/>
      <c r="H55" s="643"/>
      <c r="I55" s="643"/>
      <c r="J55" s="643"/>
      <c r="K55" s="643"/>
      <c r="L55" s="643"/>
      <c r="M55" s="643"/>
      <c r="N55" s="643"/>
      <c r="O55" s="643"/>
      <c r="P55" s="643"/>
      <c r="Q55" s="644"/>
      <c r="R55" s="672">
        <f ca="1">SUM(C55:Q55)</f>
        <v>113.90034230924763</v>
      </c>
    </row>
    <row r="56" spans="1:18" ht="15.75" thickBot="1">
      <c r="A56" s="771" t="s">
        <v>635</v>
      </c>
      <c r="B56" s="784"/>
      <c r="C56" s="673">
        <f ca="1">SUM(C54:C55)</f>
        <v>2390.2025494580289</v>
      </c>
      <c r="D56" s="673">
        <f t="shared" ref="D56:Q56" ca="1" si="7">SUM(D54:D55)</f>
        <v>64991.050429916395</v>
      </c>
      <c r="E56" s="673">
        <f t="shared" si="7"/>
        <v>34710.667432991577</v>
      </c>
      <c r="F56" s="673">
        <f t="shared" si="7"/>
        <v>101.91592748729528</v>
      </c>
      <c r="G56" s="673">
        <f t="shared" si="7"/>
        <v>12316.431043657545</v>
      </c>
      <c r="H56" s="673">
        <f t="shared" si="7"/>
        <v>0</v>
      </c>
      <c r="I56" s="673">
        <f t="shared" si="7"/>
        <v>0</v>
      </c>
      <c r="J56" s="673">
        <f t="shared" si="7"/>
        <v>0</v>
      </c>
      <c r="K56" s="673">
        <f t="shared" si="7"/>
        <v>1023.007778150882</v>
      </c>
      <c r="L56" s="673">
        <f t="shared" si="7"/>
        <v>0</v>
      </c>
      <c r="M56" s="673">
        <f t="shared" si="7"/>
        <v>0</v>
      </c>
      <c r="N56" s="673">
        <f t="shared" si="7"/>
        <v>0</v>
      </c>
      <c r="O56" s="673">
        <f t="shared" si="7"/>
        <v>0</v>
      </c>
      <c r="P56" s="673">
        <f t="shared" si="7"/>
        <v>0</v>
      </c>
      <c r="Q56" s="674">
        <f t="shared" si="7"/>
        <v>0</v>
      </c>
      <c r="R56" s="675">
        <f ca="1">SUM(R54:R55)</f>
        <v>115533.27516166173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7438.6965402130299</v>
      </c>
      <c r="D61" s="681">
        <f t="shared" ref="D61:Q61" ca="1" si="8">D46+D52+D56</f>
        <v>64991.050429916395</v>
      </c>
      <c r="E61" s="681">
        <f t="shared" ca="1" si="8"/>
        <v>45412.561986303866</v>
      </c>
      <c r="F61" s="681">
        <f t="shared" ca="1" si="8"/>
        <v>339.82193558338145</v>
      </c>
      <c r="G61" s="681">
        <f t="shared" ca="1" si="8"/>
        <v>16330.348455069507</v>
      </c>
      <c r="H61" s="681">
        <f t="shared" si="8"/>
        <v>8265.4300657753411</v>
      </c>
      <c r="I61" s="681">
        <f t="shared" si="8"/>
        <v>2684.4130279251885</v>
      </c>
      <c r="J61" s="681">
        <f t="shared" si="8"/>
        <v>0</v>
      </c>
      <c r="K61" s="681">
        <f t="shared" si="8"/>
        <v>1050.0396954443409</v>
      </c>
      <c r="L61" s="681">
        <f t="shared" si="8"/>
        <v>0</v>
      </c>
      <c r="M61" s="681">
        <f t="shared" ca="1" si="8"/>
        <v>0</v>
      </c>
      <c r="N61" s="681">
        <f t="shared" si="8"/>
        <v>0</v>
      </c>
      <c r="O61" s="681">
        <f t="shared" ca="1" si="8"/>
        <v>0</v>
      </c>
      <c r="P61" s="681">
        <f t="shared" si="8"/>
        <v>0</v>
      </c>
      <c r="Q61" s="681">
        <f t="shared" si="8"/>
        <v>0</v>
      </c>
      <c r="R61" s="681">
        <f ca="1">R46+R52+R56</f>
        <v>146512.36213623107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0.17517305253551418</v>
      </c>
      <c r="D63" s="727">
        <f t="shared" ca="1" si="9"/>
        <v>0.17956608214896641</v>
      </c>
      <c r="E63" s="916">
        <f t="shared" ca="1" si="9"/>
        <v>0.20200000000000001</v>
      </c>
      <c r="F63" s="727">
        <f t="shared" ca="1" si="9"/>
        <v>0.22700000000000001</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6471.733774439841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27497.137933903959</v>
      </c>
      <c r="C76" s="694">
        <f>'lokale energieproductie'!B8*IFERROR(SUM(D76:H76)/SUM(D76:O76),0)</f>
        <v>230567.30653118566</v>
      </c>
      <c r="D76" s="899">
        <f>'lokale energieproductie'!C8</f>
        <v>229404.06551755275</v>
      </c>
      <c r="E76" s="900">
        <f>'lokale energieproductie'!D8</f>
        <v>0</v>
      </c>
      <c r="F76" s="900">
        <f>'lokale energieproductie'!E8</f>
        <v>0</v>
      </c>
      <c r="G76" s="900">
        <f>'lokale energieproductie'!F8</f>
        <v>0</v>
      </c>
      <c r="H76" s="900">
        <f>'lokale energieproductie'!G8</f>
        <v>0</v>
      </c>
      <c r="I76" s="900">
        <f>'lokale energieproductie'!I8</f>
        <v>0</v>
      </c>
      <c r="J76" s="900">
        <f>'lokale energieproductie'!J8</f>
        <v>27358.411420230121</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46339.621234545659</v>
      </c>
      <c r="R76" s="800">
        <v>0</v>
      </c>
    </row>
    <row r="77" spans="1:18" ht="15.75" thickBot="1">
      <c r="A77" s="697" t="s">
        <v>664</v>
      </c>
      <c r="B77" s="694">
        <f>'lokale energieproductie'!B9*IFERROR(SUM(I77:O77)/SUM(D77:O77),0)</f>
        <v>6.5000000005200009E-2</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27.778000002222242</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33968.936708343805</v>
      </c>
      <c r="C78" s="699">
        <f>SUM(C72:C77)</f>
        <v>230567.30653118566</v>
      </c>
      <c r="D78" s="700">
        <f t="shared" ref="D78:H78" si="10">SUM(D76:D77)</f>
        <v>229404.06551755275</v>
      </c>
      <c r="E78" s="700">
        <f t="shared" si="10"/>
        <v>0</v>
      </c>
      <c r="F78" s="700">
        <f t="shared" si="10"/>
        <v>0</v>
      </c>
      <c r="G78" s="700">
        <f t="shared" si="10"/>
        <v>0</v>
      </c>
      <c r="H78" s="700">
        <f t="shared" si="10"/>
        <v>0</v>
      </c>
      <c r="I78" s="700">
        <f>SUM(I76:I77)</f>
        <v>0</v>
      </c>
      <c r="J78" s="700">
        <f>SUM(J76:J77)</f>
        <v>27386.189420232342</v>
      </c>
      <c r="K78" s="700">
        <f t="shared" ref="K78:L78" si="11">SUM(K76:K77)</f>
        <v>0</v>
      </c>
      <c r="L78" s="700">
        <f t="shared" si="11"/>
        <v>0</v>
      </c>
      <c r="M78" s="700">
        <f>SUM(M76:M77)</f>
        <v>0</v>
      </c>
      <c r="N78" s="700">
        <f>SUM(N76:N77)</f>
        <v>0</v>
      </c>
      <c r="O78" s="808">
        <f>SUM(O76:O77)</f>
        <v>0</v>
      </c>
      <c r="P78" s="701">
        <v>0</v>
      </c>
      <c r="Q78" s="701">
        <f>SUM(Q76:Q77)</f>
        <v>46339.621234545659</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38564.576717094096</v>
      </c>
      <c r="C87" s="712">
        <f>'lokale energieproductie'!B17*IFERROR(SUM(D87:H87)/SUM(D87:O87),0)</f>
        <v>323369.31220074953</v>
      </c>
      <c r="D87" s="723">
        <f>'lokale energieproductie'!C17</f>
        <v>321737.87341542769</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38370.013585028159</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64991.050429916395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38564.576717094096</v>
      </c>
      <c r="C90" s="699">
        <f>SUM(C87:C89)</f>
        <v>323369.31220074953</v>
      </c>
      <c r="D90" s="699">
        <f t="shared" ref="D90:H90" si="12">SUM(D87:D89)</f>
        <v>321737.87341542769</v>
      </c>
      <c r="E90" s="699">
        <f t="shared" si="12"/>
        <v>0</v>
      </c>
      <c r="F90" s="699">
        <f t="shared" si="12"/>
        <v>0</v>
      </c>
      <c r="G90" s="699">
        <f t="shared" si="12"/>
        <v>0</v>
      </c>
      <c r="H90" s="699">
        <f t="shared" si="12"/>
        <v>0</v>
      </c>
      <c r="I90" s="699">
        <f>SUM(I87:I89)</f>
        <v>0</v>
      </c>
      <c r="J90" s="699">
        <f>SUM(J87:J89)</f>
        <v>38370.013585028159</v>
      </c>
      <c r="K90" s="699">
        <f t="shared" ref="K90:L90" si="13">SUM(K87:K89)</f>
        <v>0</v>
      </c>
      <c r="L90" s="699">
        <f t="shared" si="13"/>
        <v>0</v>
      </c>
      <c r="M90" s="699">
        <f>SUM(M87:M89)</f>
        <v>0</v>
      </c>
      <c r="N90" s="699">
        <f>SUM(N87:N89)</f>
        <v>0</v>
      </c>
      <c r="O90" s="699">
        <f>SUM(O87:O89)</f>
        <v>0</v>
      </c>
      <c r="P90" s="699">
        <v>0</v>
      </c>
      <c r="Q90" s="699">
        <f>SUM(Q87:Q89)</f>
        <v>64991.050429916395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14427.152759920813</v>
      </c>
      <c r="C4" s="443">
        <f>huishoudens!C8</f>
        <v>0</v>
      </c>
      <c r="D4" s="443">
        <f>huishoudens!D8</f>
        <v>33852.373002798435</v>
      </c>
      <c r="E4" s="443">
        <f>huishoudens!E8</f>
        <v>939.47461435970763</v>
      </c>
      <c r="F4" s="443">
        <f>huishoudens!F8</f>
        <v>11901.770223013868</v>
      </c>
      <c r="G4" s="443">
        <f>huishoudens!G8</f>
        <v>0</v>
      </c>
      <c r="H4" s="443">
        <f>huishoudens!H8</f>
        <v>0</v>
      </c>
      <c r="I4" s="443">
        <f>huishoudens!I8</f>
        <v>0</v>
      </c>
      <c r="J4" s="443">
        <f>huishoudens!J8</f>
        <v>76.17818764220479</v>
      </c>
      <c r="K4" s="443">
        <f>huishoudens!K8</f>
        <v>0</v>
      </c>
      <c r="L4" s="443">
        <f>huishoudens!L8</f>
        <v>0</v>
      </c>
      <c r="M4" s="443">
        <f>huishoudens!M8</f>
        <v>0</v>
      </c>
      <c r="N4" s="443">
        <f>huishoudens!N8</f>
        <v>3739.2200485725007</v>
      </c>
      <c r="O4" s="443">
        <f>huishoudens!O8</f>
        <v>166.65249042851067</v>
      </c>
      <c r="P4" s="444">
        <f>huishoudens!P8</f>
        <v>316.01877923055071</v>
      </c>
      <c r="Q4" s="445">
        <f>SUM(B4:P4)</f>
        <v>65418.840105966585</v>
      </c>
    </row>
    <row r="5" spans="1:17">
      <c r="A5" s="442" t="s">
        <v>149</v>
      </c>
      <c r="B5" s="443">
        <f ca="1">tertiair!B16</f>
        <v>10612.325515074175</v>
      </c>
      <c r="C5" s="443">
        <f ca="1">tertiair!C16</f>
        <v>0</v>
      </c>
      <c r="D5" s="443">
        <f ca="1">tertiair!D16</f>
        <v>16625.299506252366</v>
      </c>
      <c r="E5" s="443">
        <f ca="1">tertiair!E16</f>
        <v>22.705042905583351</v>
      </c>
      <c r="F5" s="443">
        <f ca="1">tertiair!F16</f>
        <v>2202.1823373867524</v>
      </c>
      <c r="G5" s="443">
        <f>tertiair!G16</f>
        <v>0</v>
      </c>
      <c r="H5" s="443">
        <f>tertiair!H16</f>
        <v>0</v>
      </c>
      <c r="I5" s="443">
        <f>tertiair!I16</f>
        <v>0</v>
      </c>
      <c r="J5" s="443">
        <f>tertiair!J16</f>
        <v>1.9508843196688865E-2</v>
      </c>
      <c r="K5" s="443">
        <f>tertiair!K16</f>
        <v>0</v>
      </c>
      <c r="L5" s="443">
        <f ca="1">tertiair!L16</f>
        <v>0</v>
      </c>
      <c r="M5" s="443">
        <f>tertiair!M16</f>
        <v>0</v>
      </c>
      <c r="N5" s="443">
        <f ca="1">tertiair!N16</f>
        <v>706.90324801580505</v>
      </c>
      <c r="O5" s="443">
        <f>tertiair!O16</f>
        <v>14.691782297523464</v>
      </c>
      <c r="P5" s="444">
        <f>tertiair!P16</f>
        <v>0</v>
      </c>
      <c r="Q5" s="442">
        <f t="shared" ref="Q5:Q14" ca="1" si="0">SUM(B5:P5)</f>
        <v>30184.126940775401</v>
      </c>
    </row>
    <row r="6" spans="1:17">
      <c r="A6" s="442" t="s">
        <v>187</v>
      </c>
      <c r="B6" s="443">
        <f>'openbare verlichting'!B8</f>
        <v>424.94199903772397</v>
      </c>
      <c r="C6" s="443"/>
      <c r="D6" s="443"/>
      <c r="E6" s="443"/>
      <c r="F6" s="443"/>
      <c r="G6" s="443"/>
      <c r="H6" s="443"/>
      <c r="I6" s="443"/>
      <c r="J6" s="443"/>
      <c r="K6" s="443"/>
      <c r="L6" s="443"/>
      <c r="M6" s="443"/>
      <c r="N6" s="443"/>
      <c r="O6" s="443"/>
      <c r="P6" s="444"/>
      <c r="Q6" s="442">
        <f t="shared" si="0"/>
        <v>424.94199903772397</v>
      </c>
    </row>
    <row r="7" spans="1:17">
      <c r="A7" s="442" t="s">
        <v>105</v>
      </c>
      <c r="B7" s="443">
        <f>landbouw!B8</f>
        <v>13314.0109437053</v>
      </c>
      <c r="C7" s="443">
        <f>landbouw!C8</f>
        <v>361933.88891784364</v>
      </c>
      <c r="D7" s="443">
        <f>landbouw!D8</f>
        <v>171557.98862198147</v>
      </c>
      <c r="E7" s="443">
        <f>landbouw!E8</f>
        <v>448.96884355636683</v>
      </c>
      <c r="F7" s="443">
        <f>landbouw!F8</f>
        <v>46128.955219691175</v>
      </c>
      <c r="G7" s="443">
        <f>landbouw!G8</f>
        <v>0</v>
      </c>
      <c r="H7" s="443">
        <f>landbouw!H8</f>
        <v>0</v>
      </c>
      <c r="I7" s="443">
        <f>landbouw!I8</f>
        <v>0</v>
      </c>
      <c r="J7" s="443">
        <f>landbouw!J8</f>
        <v>2889.8524806522091</v>
      </c>
      <c r="K7" s="443">
        <f>landbouw!K8</f>
        <v>0</v>
      </c>
      <c r="L7" s="443">
        <f>landbouw!L8</f>
        <v>0</v>
      </c>
      <c r="M7" s="443">
        <f>landbouw!M8</f>
        <v>0</v>
      </c>
      <c r="N7" s="443">
        <f>landbouw!N8</f>
        <v>0</v>
      </c>
      <c r="O7" s="443">
        <f>landbouw!O8</f>
        <v>0</v>
      </c>
      <c r="P7" s="444">
        <f>landbouw!P8</f>
        <v>0</v>
      </c>
      <c r="Q7" s="442">
        <f t="shared" si="0"/>
        <v>596273.66502743005</v>
      </c>
    </row>
    <row r="8" spans="1:17">
      <c r="A8" s="442" t="s">
        <v>569</v>
      </c>
      <c r="B8" s="443">
        <f>industrie!B18</f>
        <v>3105.1483109113788</v>
      </c>
      <c r="C8" s="443">
        <f>industrie!C18</f>
        <v>0</v>
      </c>
      <c r="D8" s="443">
        <f>industrie!D18</f>
        <v>2274.3734423985215</v>
      </c>
      <c r="E8" s="443">
        <f>industrie!E18</f>
        <v>10.153889551843275</v>
      </c>
      <c r="F8" s="443">
        <f>industrie!F18</f>
        <v>929.44598421346632</v>
      </c>
      <c r="G8" s="443">
        <f>industrie!G18</f>
        <v>0</v>
      </c>
      <c r="H8" s="443">
        <f>industrie!H18</f>
        <v>0</v>
      </c>
      <c r="I8" s="443">
        <f>industrie!I18</f>
        <v>0</v>
      </c>
      <c r="J8" s="443">
        <f>industrie!J18</f>
        <v>0.16365180120544057</v>
      </c>
      <c r="K8" s="443">
        <f>industrie!K18</f>
        <v>0</v>
      </c>
      <c r="L8" s="443">
        <f>industrie!L18</f>
        <v>0</v>
      </c>
      <c r="M8" s="443">
        <f>industrie!M18</f>
        <v>0</v>
      </c>
      <c r="N8" s="443">
        <f>industrie!N18</f>
        <v>137.31558211474427</v>
      </c>
      <c r="O8" s="443">
        <f>industrie!O18</f>
        <v>0</v>
      </c>
      <c r="P8" s="444">
        <f>industrie!P18</f>
        <v>0</v>
      </c>
      <c r="Q8" s="442">
        <f t="shared" si="0"/>
        <v>6456.6008609911596</v>
      </c>
    </row>
    <row r="9" spans="1:17" s="448" customFormat="1">
      <c r="A9" s="446" t="s">
        <v>521</v>
      </c>
      <c r="B9" s="447">
        <f>transport!B14</f>
        <v>233.91848636261543</v>
      </c>
      <c r="C9" s="447">
        <f>transport!C14</f>
        <v>0</v>
      </c>
      <c r="D9" s="447">
        <f>transport!D14</f>
        <v>227.63005504715426</v>
      </c>
      <c r="E9" s="447">
        <f>transport!E14</f>
        <v>75.710541711879685</v>
      </c>
      <c r="F9" s="447">
        <f>transport!F14</f>
        <v>0</v>
      </c>
      <c r="G9" s="447">
        <f>transport!G14</f>
        <v>30276.983620118433</v>
      </c>
      <c r="H9" s="447">
        <f>transport!H14</f>
        <v>10780.775212550958</v>
      </c>
      <c r="I9" s="447">
        <f>transport!I14</f>
        <v>0</v>
      </c>
      <c r="J9" s="447">
        <f>transport!J14</f>
        <v>0</v>
      </c>
      <c r="K9" s="447">
        <f>transport!K14</f>
        <v>0</v>
      </c>
      <c r="L9" s="447">
        <f>transport!L14</f>
        <v>0</v>
      </c>
      <c r="M9" s="447">
        <f>transport!M14</f>
        <v>4316.8311370880783</v>
      </c>
      <c r="N9" s="447">
        <f>transport!N14</f>
        <v>0</v>
      </c>
      <c r="O9" s="447">
        <f>transport!O14</f>
        <v>0</v>
      </c>
      <c r="P9" s="447">
        <f>transport!P14</f>
        <v>0</v>
      </c>
      <c r="Q9" s="446">
        <f>SUM(B9:P9)</f>
        <v>45911.849052879115</v>
      </c>
    </row>
    <row r="10" spans="1:17">
      <c r="A10" s="442" t="s">
        <v>511</v>
      </c>
      <c r="B10" s="443">
        <f>transport!B54</f>
        <v>16.550700949844085</v>
      </c>
      <c r="C10" s="443">
        <f>transport!C54</f>
        <v>0</v>
      </c>
      <c r="D10" s="443">
        <f>transport!D54</f>
        <v>0</v>
      </c>
      <c r="E10" s="443">
        <f>transport!E54</f>
        <v>0</v>
      </c>
      <c r="F10" s="443">
        <f>transport!F54</f>
        <v>0</v>
      </c>
      <c r="G10" s="443">
        <f>transport!G54</f>
        <v>679.68329289782309</v>
      </c>
      <c r="H10" s="443">
        <f>transport!H54</f>
        <v>0</v>
      </c>
      <c r="I10" s="443">
        <f>transport!I54</f>
        <v>0</v>
      </c>
      <c r="J10" s="443">
        <f>transport!J54</f>
        <v>0</v>
      </c>
      <c r="K10" s="443">
        <f>transport!K54</f>
        <v>0</v>
      </c>
      <c r="L10" s="443">
        <f>transport!L54</f>
        <v>0</v>
      </c>
      <c r="M10" s="443">
        <f>transport!M54</f>
        <v>76.082991889544289</v>
      </c>
      <c r="N10" s="443">
        <f>transport!N54</f>
        <v>0</v>
      </c>
      <c r="O10" s="443">
        <f>transport!O54</f>
        <v>0</v>
      </c>
      <c r="P10" s="444">
        <f>transport!P54</f>
        <v>0</v>
      </c>
      <c r="Q10" s="442">
        <f t="shared" si="0"/>
        <v>772.31698573721144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330.79637603610303</v>
      </c>
      <c r="C14" s="450"/>
      <c r="D14" s="450">
        <f>'SEAP template'!E25</f>
        <v>276.998670056028</v>
      </c>
      <c r="E14" s="450"/>
      <c r="F14" s="450"/>
      <c r="G14" s="450"/>
      <c r="H14" s="450"/>
      <c r="I14" s="450"/>
      <c r="J14" s="450"/>
      <c r="K14" s="450"/>
      <c r="L14" s="450"/>
      <c r="M14" s="450"/>
      <c r="N14" s="450"/>
      <c r="O14" s="450"/>
      <c r="P14" s="451"/>
      <c r="Q14" s="442">
        <f t="shared" si="0"/>
        <v>607.79504609213109</v>
      </c>
    </row>
    <row r="15" spans="1:17" s="454" customFormat="1">
      <c r="A15" s="452" t="s">
        <v>515</v>
      </c>
      <c r="B15" s="453">
        <f ca="1">SUM(B4:B14)</f>
        <v>42464.845091997951</v>
      </c>
      <c r="C15" s="453">
        <f t="shared" ref="C15:Q15" ca="1" si="1">SUM(C4:C14)</f>
        <v>361933.88891784364</v>
      </c>
      <c r="D15" s="453">
        <f t="shared" ca="1" si="1"/>
        <v>224814.663298534</v>
      </c>
      <c r="E15" s="453">
        <f t="shared" ca="1" si="1"/>
        <v>1497.0129320853807</v>
      </c>
      <c r="F15" s="453">
        <f t="shared" ca="1" si="1"/>
        <v>61162.353764305262</v>
      </c>
      <c r="G15" s="453">
        <f t="shared" si="1"/>
        <v>30956.666913016255</v>
      </c>
      <c r="H15" s="453">
        <f t="shared" si="1"/>
        <v>10780.775212550958</v>
      </c>
      <c r="I15" s="453">
        <f t="shared" si="1"/>
        <v>0</v>
      </c>
      <c r="J15" s="453">
        <f t="shared" si="1"/>
        <v>2966.2138289388163</v>
      </c>
      <c r="K15" s="453">
        <f t="shared" si="1"/>
        <v>0</v>
      </c>
      <c r="L15" s="453">
        <f t="shared" ca="1" si="1"/>
        <v>0</v>
      </c>
      <c r="M15" s="453">
        <f t="shared" si="1"/>
        <v>4392.9141289776226</v>
      </c>
      <c r="N15" s="453">
        <f t="shared" ca="1" si="1"/>
        <v>4583.4388787030493</v>
      </c>
      <c r="O15" s="453">
        <f t="shared" si="1"/>
        <v>181.34427272603415</v>
      </c>
      <c r="P15" s="453">
        <f t="shared" si="1"/>
        <v>316.01877923055071</v>
      </c>
      <c r="Q15" s="453">
        <f t="shared" ca="1" si="1"/>
        <v>746050.1360189094</v>
      </c>
    </row>
    <row r="17" spans="1:17">
      <c r="A17" s="455" t="s">
        <v>516</v>
      </c>
      <c r="B17" s="732">
        <f ca="1">huishoudens!B10</f>
        <v>0.17517305253551418</v>
      </c>
      <c r="C17" s="732">
        <f ca="1">huishoudens!C10</f>
        <v>0.17956608214896641</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2527.2483883514969</v>
      </c>
      <c r="C22" s="443">
        <f t="shared" ref="C22:C32" ca="1" si="3">C4*$C$17</f>
        <v>0</v>
      </c>
      <c r="D22" s="443">
        <f t="shared" ref="D22:D32" si="4">D4*$D$17</f>
        <v>6838.1793465652845</v>
      </c>
      <c r="E22" s="443">
        <f t="shared" ref="E22:E32" si="5">E4*$E$17</f>
        <v>213.26073745965363</v>
      </c>
      <c r="F22" s="443">
        <f t="shared" ref="F22:F32" si="6">F4*$F$17</f>
        <v>3177.7726495447027</v>
      </c>
      <c r="G22" s="443">
        <f t="shared" ref="G22:G32" si="7">G4*$G$17</f>
        <v>0</v>
      </c>
      <c r="H22" s="443">
        <f t="shared" ref="H22:H32" si="8">H4*$H$17</f>
        <v>0</v>
      </c>
      <c r="I22" s="443">
        <f t="shared" ref="I22:I32" si="9">I4*$I$17</f>
        <v>0</v>
      </c>
      <c r="J22" s="443">
        <f t="shared" ref="J22:J32" si="10">J4*$J$17</f>
        <v>26.967078425340496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12783.42820034648</v>
      </c>
    </row>
    <row r="23" spans="1:17">
      <c r="A23" s="442" t="s">
        <v>149</v>
      </c>
      <c r="B23" s="443">
        <f t="shared" ca="1" si="2"/>
        <v>1858.993454976066</v>
      </c>
      <c r="C23" s="443">
        <f t="shared" ca="1" si="3"/>
        <v>0</v>
      </c>
      <c r="D23" s="443">
        <f t="shared" ca="1" si="4"/>
        <v>3358.3105002629782</v>
      </c>
      <c r="E23" s="443">
        <f t="shared" ca="1" si="5"/>
        <v>5.1540447395674205</v>
      </c>
      <c r="F23" s="443">
        <f t="shared" ca="1" si="6"/>
        <v>587.98268408226295</v>
      </c>
      <c r="G23" s="443">
        <f t="shared" si="7"/>
        <v>0</v>
      </c>
      <c r="H23" s="443">
        <f t="shared" si="8"/>
        <v>0</v>
      </c>
      <c r="I23" s="443">
        <f t="shared" si="9"/>
        <v>0</v>
      </c>
      <c r="J23" s="443">
        <f t="shared" si="10"/>
        <v>6.9061304916278573E-3</v>
      </c>
      <c r="K23" s="443">
        <f t="shared" si="11"/>
        <v>0</v>
      </c>
      <c r="L23" s="443">
        <f t="shared" ca="1" si="12"/>
        <v>0</v>
      </c>
      <c r="M23" s="443">
        <f t="shared" si="13"/>
        <v>0</v>
      </c>
      <c r="N23" s="443">
        <f t="shared" ca="1" si="14"/>
        <v>0</v>
      </c>
      <c r="O23" s="443">
        <f t="shared" si="15"/>
        <v>0</v>
      </c>
      <c r="P23" s="444">
        <f t="shared" si="16"/>
        <v>0</v>
      </c>
      <c r="Q23" s="442">
        <f t="shared" ref="Q23:Q31" ca="1" si="17">SUM(B23:P23)</f>
        <v>5810.4475901913647</v>
      </c>
    </row>
    <row r="24" spans="1:17">
      <c r="A24" s="442" t="s">
        <v>187</v>
      </c>
      <c r="B24" s="443">
        <f t="shared" ca="1" si="2"/>
        <v>74.438387121981634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74.438387121981634</v>
      </c>
    </row>
    <row r="25" spans="1:17">
      <c r="A25" s="442" t="s">
        <v>105</v>
      </c>
      <c r="B25" s="443">
        <f t="shared" ca="1" si="2"/>
        <v>2332.2559385000991</v>
      </c>
      <c r="C25" s="443">
        <f t="shared" ca="1" si="3"/>
        <v>64991.050429916395</v>
      </c>
      <c r="D25" s="443">
        <f t="shared" si="4"/>
        <v>34654.713701640256</v>
      </c>
      <c r="E25" s="443">
        <f t="shared" si="5"/>
        <v>101.91592748729528</v>
      </c>
      <c r="F25" s="443">
        <f t="shared" si="6"/>
        <v>12316.431043657545</v>
      </c>
      <c r="G25" s="443">
        <f t="shared" si="7"/>
        <v>0</v>
      </c>
      <c r="H25" s="443">
        <f t="shared" si="8"/>
        <v>0</v>
      </c>
      <c r="I25" s="443">
        <f t="shared" si="9"/>
        <v>0</v>
      </c>
      <c r="J25" s="443">
        <f t="shared" si="10"/>
        <v>1023.007778150882</v>
      </c>
      <c r="K25" s="443">
        <f t="shared" si="11"/>
        <v>0</v>
      </c>
      <c r="L25" s="443">
        <f t="shared" si="12"/>
        <v>0</v>
      </c>
      <c r="M25" s="443">
        <f t="shared" si="13"/>
        <v>0</v>
      </c>
      <c r="N25" s="443">
        <f t="shared" si="14"/>
        <v>0</v>
      </c>
      <c r="O25" s="443">
        <f t="shared" si="15"/>
        <v>0</v>
      </c>
      <c r="P25" s="444">
        <f t="shared" si="16"/>
        <v>0</v>
      </c>
      <c r="Q25" s="442">
        <f t="shared" ca="1" si="17"/>
        <v>115419.37481935248</v>
      </c>
    </row>
    <row r="26" spans="1:17">
      <c r="A26" s="442" t="s">
        <v>569</v>
      </c>
      <c r="B26" s="443">
        <f t="shared" ca="1" si="2"/>
        <v>543.93830819784205</v>
      </c>
      <c r="C26" s="443">
        <f t="shared" ca="1" si="3"/>
        <v>0</v>
      </c>
      <c r="D26" s="443">
        <f t="shared" si="4"/>
        <v>459.42343536450136</v>
      </c>
      <c r="E26" s="443">
        <f t="shared" si="5"/>
        <v>2.3049329282684234</v>
      </c>
      <c r="F26" s="443">
        <f t="shared" si="6"/>
        <v>248.16207778499552</v>
      </c>
      <c r="G26" s="443">
        <f t="shared" si="7"/>
        <v>0</v>
      </c>
      <c r="H26" s="443">
        <f t="shared" si="8"/>
        <v>0</v>
      </c>
      <c r="I26" s="443">
        <f t="shared" si="9"/>
        <v>0</v>
      </c>
      <c r="J26" s="443">
        <f t="shared" si="10"/>
        <v>5.7932737626725961E-2</v>
      </c>
      <c r="K26" s="443">
        <f t="shared" si="11"/>
        <v>0</v>
      </c>
      <c r="L26" s="443">
        <f t="shared" si="12"/>
        <v>0</v>
      </c>
      <c r="M26" s="443">
        <f t="shared" si="13"/>
        <v>0</v>
      </c>
      <c r="N26" s="443">
        <f t="shared" si="14"/>
        <v>0</v>
      </c>
      <c r="O26" s="443">
        <f t="shared" si="15"/>
        <v>0</v>
      </c>
      <c r="P26" s="444">
        <f t="shared" si="16"/>
        <v>0</v>
      </c>
      <c r="Q26" s="442">
        <f t="shared" ca="1" si="17"/>
        <v>1253.8866870132342</v>
      </c>
    </row>
    <row r="27" spans="1:17" s="448" customFormat="1">
      <c r="A27" s="446" t="s">
        <v>521</v>
      </c>
      <c r="B27" s="726">
        <f t="shared" ca="1" si="2"/>
        <v>40.976215300626393</v>
      </c>
      <c r="C27" s="447">
        <f t="shared" ca="1" si="3"/>
        <v>0</v>
      </c>
      <c r="D27" s="447">
        <f t="shared" si="4"/>
        <v>45.981271119525161</v>
      </c>
      <c r="E27" s="447">
        <f t="shared" si="5"/>
        <v>17.186292968596689</v>
      </c>
      <c r="F27" s="447">
        <f t="shared" si="6"/>
        <v>0</v>
      </c>
      <c r="G27" s="447">
        <f t="shared" si="7"/>
        <v>8083.9546265716226</v>
      </c>
      <c r="H27" s="447">
        <f t="shared" si="8"/>
        <v>2684.4130279251885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10872.51143388556</v>
      </c>
    </row>
    <row r="28" spans="1:17" ht="16.5" customHeight="1">
      <c r="A28" s="442" t="s">
        <v>511</v>
      </c>
      <c r="B28" s="443">
        <f t="shared" ca="1" si="2"/>
        <v>2.8992368069866226</v>
      </c>
      <c r="C28" s="443">
        <f t="shared" ca="1" si="3"/>
        <v>0</v>
      </c>
      <c r="D28" s="443">
        <f t="shared" si="4"/>
        <v>0</v>
      </c>
      <c r="E28" s="443">
        <f t="shared" si="5"/>
        <v>0</v>
      </c>
      <c r="F28" s="443">
        <f t="shared" si="6"/>
        <v>0</v>
      </c>
      <c r="G28" s="443">
        <f t="shared" si="7"/>
        <v>181.47543920371876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184.3746760107054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57.946610957929984</v>
      </c>
      <c r="C32" s="443">
        <f t="shared" ca="1" si="3"/>
        <v>0</v>
      </c>
      <c r="D32" s="443">
        <f t="shared" si="4"/>
        <v>55.953731351317657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113.90034230924763</v>
      </c>
    </row>
    <row r="33" spans="1:17" s="454" customFormat="1">
      <c r="A33" s="452" t="s">
        <v>515</v>
      </c>
      <c r="B33" s="453">
        <f ca="1">SUM(B22:B32)</f>
        <v>7438.696540213029</v>
      </c>
      <c r="C33" s="453">
        <f t="shared" ref="C33:Q33" ca="1" si="19">SUM(C22:C32)</f>
        <v>64991.050429916395</v>
      </c>
      <c r="D33" s="453">
        <f t="shared" ca="1" si="19"/>
        <v>45412.561986303866</v>
      </c>
      <c r="E33" s="453">
        <f t="shared" ca="1" si="19"/>
        <v>339.82193558338145</v>
      </c>
      <c r="F33" s="453">
        <f t="shared" ca="1" si="19"/>
        <v>16330.348455069505</v>
      </c>
      <c r="G33" s="453">
        <f t="shared" si="19"/>
        <v>8265.4300657753411</v>
      </c>
      <c r="H33" s="453">
        <f t="shared" si="19"/>
        <v>2684.4130279251885</v>
      </c>
      <c r="I33" s="453">
        <f t="shared" si="19"/>
        <v>0</v>
      </c>
      <c r="J33" s="453">
        <f t="shared" si="19"/>
        <v>1050.0396954443409</v>
      </c>
      <c r="K33" s="453">
        <f t="shared" si="19"/>
        <v>0</v>
      </c>
      <c r="L33" s="453">
        <f t="shared" ca="1" si="19"/>
        <v>0</v>
      </c>
      <c r="M33" s="453">
        <f t="shared" si="19"/>
        <v>0</v>
      </c>
      <c r="N33" s="453">
        <f t="shared" ca="1" si="19"/>
        <v>0</v>
      </c>
      <c r="O33" s="453">
        <f t="shared" si="19"/>
        <v>0</v>
      </c>
      <c r="P33" s="453">
        <f t="shared" si="19"/>
        <v>0</v>
      </c>
      <c r="Q33" s="453">
        <f t="shared" ca="1" si="19"/>
        <v>146512.36213623104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6471.733774439841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27497.137933903959</v>
      </c>
      <c r="C8" s="967">
        <f>'SEAP template'!C76</f>
        <v>230567.30653118566</v>
      </c>
      <c r="D8" s="967">
        <f>'SEAP template'!D76</f>
        <v>229404.06551755275</v>
      </c>
      <c r="E8" s="967">
        <f>'SEAP template'!E76</f>
        <v>0</v>
      </c>
      <c r="F8" s="967">
        <f>'SEAP template'!F76</f>
        <v>0</v>
      </c>
      <c r="G8" s="967">
        <f>'SEAP template'!G76</f>
        <v>0</v>
      </c>
      <c r="H8" s="967">
        <f>'SEAP template'!H76</f>
        <v>0</v>
      </c>
      <c r="I8" s="967">
        <f>'SEAP template'!I76</f>
        <v>0</v>
      </c>
      <c r="J8" s="967">
        <f>'SEAP template'!J76</f>
        <v>27358.411420230121</v>
      </c>
      <c r="K8" s="967">
        <f>'SEAP template'!K76</f>
        <v>0</v>
      </c>
      <c r="L8" s="967">
        <f>'SEAP template'!L76</f>
        <v>0</v>
      </c>
      <c r="M8" s="967">
        <f>'SEAP template'!M76</f>
        <v>0</v>
      </c>
      <c r="N8" s="967">
        <f>'SEAP template'!N76</f>
        <v>0</v>
      </c>
      <c r="O8" s="967">
        <f>'SEAP template'!O76</f>
        <v>0</v>
      </c>
      <c r="P8" s="968">
        <f>'SEAP template'!Q76</f>
        <v>46339.621234545659</v>
      </c>
    </row>
    <row r="9" spans="1:16">
      <c r="A9" s="973" t="s">
        <v>665</v>
      </c>
      <c r="B9" s="967">
        <f>'SEAP template'!B77</f>
        <v>6.5000000005200009E-2</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27.778000002222242</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33968.936708343805</v>
      </c>
      <c r="C10" s="969">
        <f>SUM(C4:C9)</f>
        <v>230567.30653118566</v>
      </c>
      <c r="D10" s="969">
        <f t="shared" ref="D10:H10" si="0">SUM(D8:D9)</f>
        <v>229404.06551755275</v>
      </c>
      <c r="E10" s="969">
        <f t="shared" si="0"/>
        <v>0</v>
      </c>
      <c r="F10" s="969">
        <f t="shared" si="0"/>
        <v>0</v>
      </c>
      <c r="G10" s="969">
        <f t="shared" si="0"/>
        <v>0</v>
      </c>
      <c r="H10" s="969">
        <f t="shared" si="0"/>
        <v>0</v>
      </c>
      <c r="I10" s="969">
        <f>SUM(I8:I9)</f>
        <v>0</v>
      </c>
      <c r="J10" s="969">
        <f>SUM(J8:J9)</f>
        <v>27386.189420232342</v>
      </c>
      <c r="K10" s="969">
        <f t="shared" ref="K10:L10" si="1">SUM(K8:K9)</f>
        <v>0</v>
      </c>
      <c r="L10" s="969">
        <f t="shared" si="1"/>
        <v>0</v>
      </c>
      <c r="M10" s="969">
        <f>SUM(M8:M9)</f>
        <v>0</v>
      </c>
      <c r="N10" s="969">
        <f>SUM(N8:N9)</f>
        <v>0</v>
      </c>
      <c r="O10" s="969">
        <f>SUM(O8:O9)</f>
        <v>0</v>
      </c>
      <c r="P10" s="969">
        <f>SUM(P8:P9)</f>
        <v>46339.621234545659</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0.17517305253551418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38564.576717094096</v>
      </c>
      <c r="C17" s="970">
        <f>'SEAP template'!C87</f>
        <v>323369.31220074953</v>
      </c>
      <c r="D17" s="968">
        <f>'SEAP template'!D87</f>
        <v>321737.87341542769</v>
      </c>
      <c r="E17" s="968">
        <f>'SEAP template'!E87</f>
        <v>0</v>
      </c>
      <c r="F17" s="968">
        <f>'SEAP template'!F87</f>
        <v>0</v>
      </c>
      <c r="G17" s="968">
        <f>'SEAP template'!G87</f>
        <v>0</v>
      </c>
      <c r="H17" s="968">
        <f>'SEAP template'!H87</f>
        <v>0</v>
      </c>
      <c r="I17" s="968">
        <f>'SEAP template'!I87</f>
        <v>0</v>
      </c>
      <c r="J17" s="968">
        <f>'SEAP template'!J87</f>
        <v>38370.013585028159</v>
      </c>
      <c r="K17" s="968">
        <f>'SEAP template'!K87</f>
        <v>0</v>
      </c>
      <c r="L17" s="968">
        <f>'SEAP template'!L87</f>
        <v>0</v>
      </c>
      <c r="M17" s="968">
        <f>'SEAP template'!M87</f>
        <v>0</v>
      </c>
      <c r="N17" s="968">
        <f>'SEAP template'!N87</f>
        <v>0</v>
      </c>
      <c r="O17" s="968">
        <f>'SEAP template'!O87</f>
        <v>0</v>
      </c>
      <c r="P17" s="968">
        <f>'SEAP template'!Q87</f>
        <v>64991.050429916395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38564.576717094096</v>
      </c>
      <c r="C20" s="969">
        <f>SUM(C17:C19)</f>
        <v>323369.31220074953</v>
      </c>
      <c r="D20" s="969">
        <f t="shared" ref="D20:H20" si="2">SUM(D17:D19)</f>
        <v>321737.87341542769</v>
      </c>
      <c r="E20" s="969">
        <f t="shared" si="2"/>
        <v>0</v>
      </c>
      <c r="F20" s="969">
        <f t="shared" si="2"/>
        <v>0</v>
      </c>
      <c r="G20" s="969">
        <f t="shared" si="2"/>
        <v>0</v>
      </c>
      <c r="H20" s="969">
        <f t="shared" si="2"/>
        <v>0</v>
      </c>
      <c r="I20" s="969">
        <f>SUM(I17:I19)</f>
        <v>0</v>
      </c>
      <c r="J20" s="969">
        <f>SUM(J17:J19)</f>
        <v>38370.013585028159</v>
      </c>
      <c r="K20" s="969">
        <f t="shared" ref="K20:L20" si="3">SUM(K17:K19)</f>
        <v>0</v>
      </c>
      <c r="L20" s="969">
        <f t="shared" si="3"/>
        <v>0</v>
      </c>
      <c r="M20" s="969">
        <f>SUM(M17:M19)</f>
        <v>0</v>
      </c>
      <c r="N20" s="969">
        <f>SUM(N17:N19)</f>
        <v>0</v>
      </c>
      <c r="O20" s="969">
        <f>SUM(O17:O19)</f>
        <v>0</v>
      </c>
      <c r="P20" s="969">
        <f>SUM(P17:P19)</f>
        <v>64991.050429916395</v>
      </c>
    </row>
    <row r="21" spans="1:16">
      <c r="B21" s="836"/>
    </row>
    <row r="22" spans="1:16">
      <c r="A22" s="455" t="s">
        <v>677</v>
      </c>
      <c r="B22" s="732" t="s">
        <v>675</v>
      </c>
      <c r="C22" s="732">
        <f ca="1">'EF ele_warmte'!B22</f>
        <v>0.17956608214896641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0.17517305253551418</v>
      </c>
      <c r="C17" s="492">
        <f ca="1">'EF ele_warmte'!B22</f>
        <v>0.17956608214896641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0.17517305253551418</v>
      </c>
      <c r="C17" s="492">
        <f ca="1">'EF ele_warmte'!B22</f>
        <v>0.17956608214896641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0.17517305253551418</v>
      </c>
      <c r="C29" s="493">
        <f ca="1">'EF ele_warmte'!B22</f>
        <v>0.17956608214896641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3339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2544.8500000000022</v>
      </c>
      <c r="C14" s="323"/>
      <c r="D14" s="323"/>
      <c r="E14" s="323"/>
      <c r="F14" s="323"/>
    </row>
    <row r="15" spans="1:6">
      <c r="A15" s="1266" t="s">
        <v>177</v>
      </c>
      <c r="B15" s="1267">
        <v>11425</v>
      </c>
      <c r="C15" s="323"/>
      <c r="D15" s="323"/>
      <c r="E15" s="323"/>
      <c r="F15" s="323"/>
    </row>
    <row r="16" spans="1:6">
      <c r="A16" s="1266" t="s">
        <v>6</v>
      </c>
      <c r="B16" s="1267">
        <v>4137</v>
      </c>
      <c r="C16" s="323"/>
      <c r="D16" s="323"/>
      <c r="E16" s="323"/>
      <c r="F16" s="323"/>
    </row>
    <row r="17" spans="1:6">
      <c r="A17" s="1266" t="s">
        <v>7</v>
      </c>
      <c r="B17" s="1267">
        <v>327</v>
      </c>
      <c r="C17" s="323"/>
      <c r="D17" s="323"/>
      <c r="E17" s="323"/>
      <c r="F17" s="323"/>
    </row>
    <row r="18" spans="1:6">
      <c r="A18" s="1266" t="s">
        <v>8</v>
      </c>
      <c r="B18" s="1267">
        <v>2095</v>
      </c>
      <c r="C18" s="323"/>
      <c r="D18" s="323"/>
      <c r="E18" s="323"/>
      <c r="F18" s="323"/>
    </row>
    <row r="19" spans="1:6">
      <c r="A19" s="1266" t="s">
        <v>9</v>
      </c>
      <c r="B19" s="1267">
        <v>1809</v>
      </c>
      <c r="C19" s="323"/>
      <c r="D19" s="323"/>
      <c r="E19" s="323"/>
      <c r="F19" s="323"/>
    </row>
    <row r="20" spans="1:6">
      <c r="A20" s="1266" t="s">
        <v>10</v>
      </c>
      <c r="B20" s="1267">
        <v>967</v>
      </c>
      <c r="C20" s="323"/>
      <c r="D20" s="323"/>
      <c r="E20" s="323"/>
      <c r="F20" s="323"/>
    </row>
    <row r="21" spans="1:6">
      <c r="A21" s="1266" t="s">
        <v>11</v>
      </c>
      <c r="B21" s="1267">
        <v>27373</v>
      </c>
      <c r="C21" s="323"/>
      <c r="D21" s="323"/>
      <c r="E21" s="323"/>
      <c r="F21" s="323"/>
    </row>
    <row r="22" spans="1:6">
      <c r="A22" s="1266" t="s">
        <v>12</v>
      </c>
      <c r="B22" s="1267">
        <v>47395</v>
      </c>
      <c r="C22" s="323"/>
      <c r="D22" s="323"/>
      <c r="E22" s="323"/>
      <c r="F22" s="323"/>
    </row>
    <row r="23" spans="1:6">
      <c r="A23" s="1266" t="s">
        <v>13</v>
      </c>
      <c r="B23" s="1267">
        <v>1356</v>
      </c>
      <c r="C23" s="323"/>
      <c r="D23" s="323"/>
      <c r="E23" s="323"/>
      <c r="F23" s="323"/>
    </row>
    <row r="24" spans="1:6">
      <c r="A24" s="1266" t="s">
        <v>14</v>
      </c>
      <c r="B24" s="1267">
        <v>34</v>
      </c>
      <c r="C24" s="323"/>
      <c r="D24" s="323"/>
      <c r="E24" s="323"/>
      <c r="F24" s="323"/>
    </row>
    <row r="25" spans="1:6">
      <c r="A25" s="1266" t="s">
        <v>15</v>
      </c>
      <c r="B25" s="1267">
        <v>5830</v>
      </c>
      <c r="C25" s="323"/>
      <c r="D25" s="323"/>
      <c r="E25" s="323"/>
      <c r="F25" s="323"/>
    </row>
    <row r="26" spans="1:6">
      <c r="A26" s="1266" t="s">
        <v>16</v>
      </c>
      <c r="B26" s="1267">
        <v>11</v>
      </c>
      <c r="C26" s="323"/>
      <c r="D26" s="323"/>
      <c r="E26" s="323"/>
      <c r="F26" s="323"/>
    </row>
    <row r="27" spans="1:6">
      <c r="A27" s="1266" t="s">
        <v>17</v>
      </c>
      <c r="B27" s="1267">
        <v>2456</v>
      </c>
      <c r="C27" s="323"/>
      <c r="D27" s="323"/>
      <c r="E27" s="323"/>
      <c r="F27" s="323"/>
    </row>
    <row r="28" spans="1:6">
      <c r="A28" s="1268" t="s">
        <v>18</v>
      </c>
      <c r="B28" s="1269">
        <v>795742</v>
      </c>
      <c r="C28" s="323"/>
      <c r="D28" s="323"/>
      <c r="E28" s="323"/>
      <c r="F28" s="323"/>
    </row>
    <row r="29" spans="1:6">
      <c r="A29" s="1268" t="s">
        <v>628</v>
      </c>
      <c r="B29" s="1269">
        <v>100</v>
      </c>
      <c r="C29" s="323"/>
      <c r="D29" s="323"/>
      <c r="E29" s="323"/>
      <c r="F29" s="323"/>
    </row>
    <row r="30" spans="1:6">
      <c r="A30" s="1261" t="s">
        <v>629</v>
      </c>
      <c r="B30" s="1270">
        <v>21</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41443.214754151399</v>
      </c>
    </row>
    <row r="36" spans="1:6">
      <c r="A36" s="1266" t="s">
        <v>24</v>
      </c>
      <c r="B36" s="1266" t="s">
        <v>26</v>
      </c>
      <c r="C36" s="1267">
        <v>4</v>
      </c>
      <c r="D36" s="1267">
        <v>40138549.121058397</v>
      </c>
      <c r="E36" s="1267">
        <v>9</v>
      </c>
      <c r="F36" s="1267">
        <v>633852.97184917098</v>
      </c>
    </row>
    <row r="37" spans="1:6">
      <c r="A37" s="1266" t="s">
        <v>24</v>
      </c>
      <c r="B37" s="1266" t="s">
        <v>27</v>
      </c>
      <c r="C37" s="1267">
        <v>0</v>
      </c>
      <c r="D37" s="1267">
        <v>0</v>
      </c>
      <c r="E37" s="1267">
        <v>0</v>
      </c>
      <c r="F37" s="1267">
        <v>0</v>
      </c>
    </row>
    <row r="38" spans="1:6">
      <c r="A38" s="1266" t="s">
        <v>24</v>
      </c>
      <c r="B38" s="1266" t="s">
        <v>28</v>
      </c>
      <c r="C38" s="1267">
        <v>1</v>
      </c>
      <c r="D38" s="1267">
        <v>4945.9480728495</v>
      </c>
      <c r="E38" s="1267">
        <v>1</v>
      </c>
      <c r="F38" s="1267">
        <v>4421.1644590750002</v>
      </c>
    </row>
    <row r="39" spans="1:6">
      <c r="A39" s="1266" t="s">
        <v>29</v>
      </c>
      <c r="B39" s="1266" t="s">
        <v>30</v>
      </c>
      <c r="C39" s="1267">
        <v>2438</v>
      </c>
      <c r="D39" s="1267">
        <v>37488785.163674898</v>
      </c>
      <c r="E39" s="1267">
        <v>3328</v>
      </c>
      <c r="F39" s="1267">
        <v>10179981.859732199</v>
      </c>
    </row>
    <row r="40" spans="1:6">
      <c r="A40" s="1266" t="s">
        <v>29</v>
      </c>
      <c r="B40" s="1266" t="s">
        <v>28</v>
      </c>
      <c r="C40" s="1267">
        <v>0</v>
      </c>
      <c r="D40" s="1267">
        <v>0</v>
      </c>
      <c r="E40" s="1267">
        <v>0</v>
      </c>
      <c r="F40" s="1267">
        <v>0</v>
      </c>
    </row>
    <row r="41" spans="1:6">
      <c r="A41" s="1266" t="s">
        <v>31</v>
      </c>
      <c r="B41" s="1266" t="s">
        <v>32</v>
      </c>
      <c r="C41" s="1267">
        <v>37</v>
      </c>
      <c r="D41" s="1267">
        <v>1980696.5149958199</v>
      </c>
      <c r="E41" s="1267">
        <v>99</v>
      </c>
      <c r="F41" s="1267">
        <v>1103262.3439789901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9</v>
      </c>
      <c r="D44" s="1267">
        <v>208398.46347881301</v>
      </c>
      <c r="E44" s="1267">
        <v>12</v>
      </c>
      <c r="F44" s="1267">
        <v>409830.33112350199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26043.1490446885</v>
      </c>
      <c r="E48" s="1267">
        <v>3</v>
      </c>
      <c r="F48" s="1267">
        <v>29539.487930426701</v>
      </c>
    </row>
    <row r="49" spans="1:6">
      <c r="A49" s="1266" t="s">
        <v>31</v>
      </c>
      <c r="B49" s="1266" t="s">
        <v>39</v>
      </c>
      <c r="C49" s="1267">
        <v>0</v>
      </c>
      <c r="D49" s="1267">
        <v>0</v>
      </c>
      <c r="E49" s="1267">
        <v>0</v>
      </c>
      <c r="F49" s="1267">
        <v>0</v>
      </c>
    </row>
    <row r="50" spans="1:6">
      <c r="A50" s="1266" t="s">
        <v>31</v>
      </c>
      <c r="B50" s="1266" t="s">
        <v>40</v>
      </c>
      <c r="C50" s="1267">
        <v>3</v>
      </c>
      <c r="D50" s="1267">
        <v>303547.85520329402</v>
      </c>
      <c r="E50" s="1267">
        <v>6</v>
      </c>
      <c r="F50" s="1267">
        <v>1562516.1478784599</v>
      </c>
    </row>
    <row r="51" spans="1:6">
      <c r="A51" s="1266" t="s">
        <v>41</v>
      </c>
      <c r="B51" s="1266" t="s">
        <v>42</v>
      </c>
      <c r="C51" s="1267">
        <v>22</v>
      </c>
      <c r="D51" s="1267">
        <v>800332145.68655801</v>
      </c>
      <c r="E51" s="1267">
        <v>152</v>
      </c>
      <c r="F51" s="1267">
        <v>13314010.9437053</v>
      </c>
    </row>
    <row r="52" spans="1:6">
      <c r="A52" s="1266" t="s">
        <v>41</v>
      </c>
      <c r="B52" s="1266" t="s">
        <v>28</v>
      </c>
      <c r="C52" s="1267">
        <v>0</v>
      </c>
      <c r="D52" s="1267">
        <v>0</v>
      </c>
      <c r="E52" s="1267">
        <v>0</v>
      </c>
      <c r="F52" s="1267">
        <v>0</v>
      </c>
    </row>
    <row r="53" spans="1:6">
      <c r="A53" s="1266" t="s">
        <v>43</v>
      </c>
      <c r="B53" s="1266" t="s">
        <v>44</v>
      </c>
      <c r="C53" s="1267">
        <v>12</v>
      </c>
      <c r="D53" s="1267">
        <v>276998.670056028</v>
      </c>
      <c r="E53" s="1267">
        <v>57</v>
      </c>
      <c r="F53" s="1267">
        <v>330796.376036103</v>
      </c>
    </row>
    <row r="54" spans="1:6">
      <c r="A54" s="1266" t="s">
        <v>45</v>
      </c>
      <c r="B54" s="1266" t="s">
        <v>46</v>
      </c>
      <c r="C54" s="1267">
        <v>0</v>
      </c>
      <c r="D54" s="1267">
        <v>0</v>
      </c>
      <c r="E54" s="1267">
        <v>1</v>
      </c>
      <c r="F54" s="1267">
        <v>424941.99903772399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23</v>
      </c>
      <c r="D57" s="1267">
        <v>799062.25165459805</v>
      </c>
      <c r="E57" s="1267">
        <v>41</v>
      </c>
      <c r="F57" s="1267">
        <v>1820203.6444351701</v>
      </c>
    </row>
    <row r="58" spans="1:6">
      <c r="A58" s="1266" t="s">
        <v>48</v>
      </c>
      <c r="B58" s="1266" t="s">
        <v>50</v>
      </c>
      <c r="C58" s="1267">
        <v>23</v>
      </c>
      <c r="D58" s="1267">
        <v>4636289.7734058704</v>
      </c>
      <c r="E58" s="1267">
        <v>32</v>
      </c>
      <c r="F58" s="1267">
        <v>1134830.1741933799</v>
      </c>
    </row>
    <row r="59" spans="1:6">
      <c r="A59" s="1266" t="s">
        <v>48</v>
      </c>
      <c r="B59" s="1266" t="s">
        <v>51</v>
      </c>
      <c r="C59" s="1267">
        <v>41</v>
      </c>
      <c r="D59" s="1267">
        <v>1550506.3058676999</v>
      </c>
      <c r="E59" s="1267">
        <v>96</v>
      </c>
      <c r="F59" s="1267">
        <v>2430434.7950369902</v>
      </c>
    </row>
    <row r="60" spans="1:6">
      <c r="A60" s="1266" t="s">
        <v>48</v>
      </c>
      <c r="B60" s="1266" t="s">
        <v>52</v>
      </c>
      <c r="C60" s="1267">
        <v>22</v>
      </c>
      <c r="D60" s="1267">
        <v>860420.626042597</v>
      </c>
      <c r="E60" s="1267">
        <v>35</v>
      </c>
      <c r="F60" s="1267">
        <v>1576186.14557798</v>
      </c>
    </row>
    <row r="61" spans="1:6">
      <c r="A61" s="1266" t="s">
        <v>48</v>
      </c>
      <c r="B61" s="1266" t="s">
        <v>53</v>
      </c>
      <c r="C61" s="1267">
        <v>68</v>
      </c>
      <c r="D61" s="1267">
        <v>10481972.097236101</v>
      </c>
      <c r="E61" s="1267">
        <v>111</v>
      </c>
      <c r="F61" s="1267">
        <v>3559400.7608491001</v>
      </c>
    </row>
    <row r="62" spans="1:6">
      <c r="A62" s="1266" t="s">
        <v>48</v>
      </c>
      <c r="B62" s="1266" t="s">
        <v>54</v>
      </c>
      <c r="C62" s="1267">
        <v>0</v>
      </c>
      <c r="D62" s="1267">
        <v>0</v>
      </c>
      <c r="E62" s="1267">
        <v>3</v>
      </c>
      <c r="F62" s="1267">
        <v>91204.994981548807</v>
      </c>
    </row>
    <row r="63" spans="1:6">
      <c r="A63" s="1266" t="s">
        <v>48</v>
      </c>
      <c r="B63" s="1266" t="s">
        <v>28</v>
      </c>
      <c r="C63" s="1267">
        <v>2</v>
      </c>
      <c r="D63" s="1267">
        <v>82933.338099187793</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42109.843772209002</v>
      </c>
      <c r="E65" s="1267">
        <v>2</v>
      </c>
      <c r="F65" s="1267">
        <v>9296.4275509814997</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6</v>
      </c>
      <c r="F68" s="1270">
        <v>52566.992296467899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45871296</v>
      </c>
      <c r="E73" s="441"/>
      <c r="F73" s="323"/>
    </row>
    <row r="74" spans="1:6">
      <c r="A74" s="1266" t="s">
        <v>63</v>
      </c>
      <c r="B74" s="1266" t="s">
        <v>589</v>
      </c>
      <c r="C74" s="1280" t="s">
        <v>591</v>
      </c>
      <c r="D74" s="1281">
        <v>3338716.381358345</v>
      </c>
      <c r="E74" s="441"/>
      <c r="F74" s="323"/>
    </row>
    <row r="75" spans="1:6">
      <c r="A75" s="1266" t="s">
        <v>64</v>
      </c>
      <c r="B75" s="1266" t="s">
        <v>588</v>
      </c>
      <c r="C75" s="1280" t="s">
        <v>592</v>
      </c>
      <c r="D75" s="1281">
        <v>8323123</v>
      </c>
      <c r="E75" s="441"/>
      <c r="F75" s="323"/>
    </row>
    <row r="76" spans="1:6">
      <c r="A76" s="1266" t="s">
        <v>64</v>
      </c>
      <c r="B76" s="1266" t="s">
        <v>589</v>
      </c>
      <c r="C76" s="1280" t="s">
        <v>593</v>
      </c>
      <c r="D76" s="1281">
        <v>224803.38135834492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215959.23728331015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4247.1709001886138</v>
      </c>
      <c r="C91" s="323"/>
      <c r="D91" s="323"/>
      <c r="E91" s="323"/>
      <c r="F91" s="323"/>
    </row>
    <row r="92" spans="1:6">
      <c r="A92" s="1261" t="s">
        <v>68</v>
      </c>
      <c r="B92" s="1262">
        <v>2224.5628742512267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1528</v>
      </c>
      <c r="C97" s="323"/>
      <c r="D97" s="323"/>
      <c r="E97" s="323"/>
      <c r="F97" s="323"/>
    </row>
    <row r="98" spans="1:6">
      <c r="A98" s="1266" t="s">
        <v>71</v>
      </c>
      <c r="B98" s="1267">
        <v>2</v>
      </c>
      <c r="C98" s="323"/>
      <c r="D98" s="323"/>
      <c r="E98" s="323"/>
      <c r="F98" s="323"/>
    </row>
    <row r="99" spans="1:6">
      <c r="A99" s="1266" t="s">
        <v>72</v>
      </c>
      <c r="B99" s="1267">
        <v>75</v>
      </c>
      <c r="C99" s="323"/>
      <c r="D99" s="323"/>
      <c r="E99" s="323"/>
      <c r="F99" s="323"/>
    </row>
    <row r="100" spans="1:6">
      <c r="A100" s="1266" t="s">
        <v>73</v>
      </c>
      <c r="B100" s="1267">
        <v>103</v>
      </c>
      <c r="C100" s="323"/>
      <c r="D100" s="323"/>
      <c r="E100" s="323"/>
      <c r="F100" s="323"/>
    </row>
    <row r="101" spans="1:6">
      <c r="A101" s="1266" t="s">
        <v>74</v>
      </c>
      <c r="B101" s="1267">
        <v>100</v>
      </c>
      <c r="C101" s="323"/>
      <c r="D101" s="323"/>
      <c r="E101" s="323"/>
      <c r="F101" s="323"/>
    </row>
    <row r="102" spans="1:6">
      <c r="A102" s="1266" t="s">
        <v>75</v>
      </c>
      <c r="B102" s="1267">
        <v>31</v>
      </c>
      <c r="C102" s="323"/>
      <c r="D102" s="323"/>
      <c r="E102" s="323"/>
      <c r="F102" s="323"/>
    </row>
    <row r="103" spans="1:6">
      <c r="A103" s="1266" t="s">
        <v>76</v>
      </c>
      <c r="B103" s="1267">
        <v>63</v>
      </c>
      <c r="C103" s="323"/>
      <c r="D103" s="323"/>
      <c r="E103" s="323"/>
      <c r="F103" s="323"/>
    </row>
    <row r="104" spans="1:6">
      <c r="A104" s="1266" t="s">
        <v>77</v>
      </c>
      <c r="B104" s="1267">
        <v>786</v>
      </c>
      <c r="C104" s="323"/>
      <c r="D104" s="323"/>
      <c r="E104" s="323"/>
      <c r="F104" s="323"/>
    </row>
    <row r="105" spans="1:6">
      <c r="A105" s="1261" t="s">
        <v>78</v>
      </c>
      <c r="B105" s="1270">
        <v>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15</v>
      </c>
      <c r="C123" s="1267">
        <v>17</v>
      </c>
      <c r="D123" s="323"/>
      <c r="E123" s="323"/>
      <c r="F123" s="323"/>
    </row>
    <row r="124" spans="1:6">
      <c r="A124" s="1268" t="s">
        <v>88</v>
      </c>
      <c r="B124" s="1289">
        <v>0</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66</v>
      </c>
      <c r="C129" s="323"/>
      <c r="D129" s="323"/>
      <c r="E129" s="323"/>
      <c r="F129" s="323"/>
    </row>
    <row r="130" spans="1:6">
      <c r="A130" s="1266" t="s">
        <v>282</v>
      </c>
      <c r="B130" s="1267">
        <v>3</v>
      </c>
      <c r="C130" s="323"/>
      <c r="D130" s="323"/>
      <c r="E130" s="323"/>
      <c r="F130" s="323"/>
    </row>
    <row r="131" spans="1:6">
      <c r="A131" s="1266" t="s">
        <v>283</v>
      </c>
      <c r="B131" s="1267">
        <v>0</v>
      </c>
      <c r="C131" s="323"/>
      <c r="D131" s="323"/>
      <c r="E131" s="323"/>
      <c r="F131" s="323"/>
    </row>
    <row r="132" spans="1:6">
      <c r="A132" s="1261" t="s">
        <v>284</v>
      </c>
      <c r="B132" s="1262">
        <v>15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42464.845091997959</v>
      </c>
      <c r="C3" s="43" t="s">
        <v>163</v>
      </c>
      <c r="D3" s="43"/>
      <c r="E3" s="153"/>
      <c r="F3" s="43"/>
      <c r="G3" s="43"/>
      <c r="H3" s="43"/>
      <c r="I3" s="43"/>
      <c r="J3" s="43"/>
      <c r="K3" s="96"/>
    </row>
    <row r="4" spans="1:11">
      <c r="A4" s="348" t="s">
        <v>164</v>
      </c>
      <c r="B4" s="49">
        <f>IF(ISERROR('SEAP template'!B78+'SEAP template'!C78),0,'SEAP template'!B78+'SEAP template'!C78)</f>
        <v>264536.24323952949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46339.621234545659</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0.17517305253551418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64991.050429916395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361933.88891784364</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0.17956608214896641</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424.94199903772397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424.94199903772397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0.17517305253551418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74.438387121981634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10179.981859732199</v>
      </c>
      <c r="C5" s="17">
        <f>IF(ISERROR('Eigen informatie GS &amp; warmtenet'!B59),0,'Eigen informatie GS &amp; warmtenet'!B59)</f>
        <v>0</v>
      </c>
      <c r="D5" s="30">
        <f>(SUM(HH_hh_gas_kWh,HH_rest_gas_kWh)/1000)*0.903</f>
        <v>33852.373002798435</v>
      </c>
      <c r="E5" s="17">
        <f>B32*B41</f>
        <v>939.47461435970763</v>
      </c>
      <c r="F5" s="17">
        <f>B36*B45</f>
        <v>11901.770223013868</v>
      </c>
      <c r="G5" s="18"/>
      <c r="H5" s="17"/>
      <c r="I5" s="17"/>
      <c r="J5" s="17">
        <f>B35*B44+C35*C44</f>
        <v>76.17818764220479</v>
      </c>
      <c r="K5" s="17"/>
      <c r="L5" s="17"/>
      <c r="M5" s="17"/>
      <c r="N5" s="17">
        <f>B34*B43+C34*C43</f>
        <v>3739.2200485725007</v>
      </c>
      <c r="O5" s="17">
        <f>B52*B53*B54</f>
        <v>166.65249042851067</v>
      </c>
      <c r="P5" s="17">
        <f>B60*B61*B62/1000-B60*B61*B62/1000/B63</f>
        <v>316.01877923055071</v>
      </c>
    </row>
    <row r="6" spans="1:16">
      <c r="A6" s="16" t="s">
        <v>556</v>
      </c>
      <c r="B6" s="734">
        <f>kWh_PV_kleiner_dan_10kW</f>
        <v>4247.1709001886138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14427.152759920813</v>
      </c>
      <c r="C8" s="21">
        <f>C5</f>
        <v>0</v>
      </c>
      <c r="D8" s="21">
        <f>D5</f>
        <v>33852.373002798435</v>
      </c>
      <c r="E8" s="21">
        <f>E5</f>
        <v>939.47461435970763</v>
      </c>
      <c r="F8" s="21">
        <f>F5</f>
        <v>11901.770223013868</v>
      </c>
      <c r="G8" s="21"/>
      <c r="H8" s="21"/>
      <c r="I8" s="21"/>
      <c r="J8" s="21">
        <f>J5</f>
        <v>76.17818764220479</v>
      </c>
      <c r="K8" s="21"/>
      <c r="L8" s="21">
        <f>L5</f>
        <v>0</v>
      </c>
      <c r="M8" s="21">
        <f>M5</f>
        <v>0</v>
      </c>
      <c r="N8" s="21">
        <f>N5</f>
        <v>3739.2200485725007</v>
      </c>
      <c r="O8" s="21">
        <f>O5</f>
        <v>166.65249042851067</v>
      </c>
      <c r="P8" s="21">
        <f>P5</f>
        <v>316.01877923055071</v>
      </c>
    </row>
    <row r="9" spans="1:16">
      <c r="B9" s="19"/>
      <c r="C9" s="19"/>
      <c r="D9" s="253"/>
      <c r="E9" s="19"/>
      <c r="F9" s="19"/>
      <c r="G9" s="19"/>
      <c r="H9" s="19"/>
      <c r="I9" s="19"/>
      <c r="J9" s="19"/>
      <c r="K9" s="19"/>
      <c r="L9" s="19"/>
      <c r="M9" s="19"/>
      <c r="N9" s="19"/>
      <c r="O9" s="19"/>
      <c r="P9" s="19"/>
    </row>
    <row r="10" spans="1:16">
      <c r="A10" s="24" t="s">
        <v>207</v>
      </c>
      <c r="B10" s="25">
        <f ca="1">'EF ele_warmte'!B12</f>
        <v>0.17517305253551418</v>
      </c>
      <c r="C10" s="25">
        <f ca="1">'EF ele_warmte'!B22</f>
        <v>0.17956608214896641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2527.2483883514969</v>
      </c>
      <c r="C12" s="23">
        <f ca="1">C10*C8</f>
        <v>0</v>
      </c>
      <c r="D12" s="23">
        <f>D8*D10</f>
        <v>6838.1793465652845</v>
      </c>
      <c r="E12" s="23">
        <f>E10*E8</f>
        <v>213.26073745965363</v>
      </c>
      <c r="F12" s="23">
        <f>F10*F8</f>
        <v>3177.7726495447027</v>
      </c>
      <c r="G12" s="23"/>
      <c r="H12" s="23"/>
      <c r="I12" s="23"/>
      <c r="J12" s="23">
        <f>J10*J8</f>
        <v>26.967078425340496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3339</v>
      </c>
      <c r="C26" s="36"/>
      <c r="D26" s="224"/>
    </row>
    <row r="27" spans="1:5" s="15" customFormat="1">
      <c r="A27" s="226" t="s">
        <v>770</v>
      </c>
      <c r="B27" s="37">
        <f>SUM(HH_hh_gas_aantal,HH_rest_gas_aantal)</f>
        <v>2438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2316.1</v>
      </c>
      <c r="C31" s="34" t="s">
        <v>104</v>
      </c>
      <c r="D31" s="170"/>
    </row>
    <row r="32" spans="1:5">
      <c r="A32" s="167" t="s">
        <v>72</v>
      </c>
      <c r="B32" s="33">
        <f>IF((B21*($B$26-($B$27-0.05*$B$27)-$B$60))&lt;0,0,(B21*($B$26-($B$27-0.05*$B$27)-$B$60)))</f>
        <v>16.219210798301955</v>
      </c>
      <c r="C32" s="34" t="s">
        <v>104</v>
      </c>
      <c r="D32" s="170"/>
    </row>
    <row r="33" spans="1:6">
      <c r="A33" s="167" t="s">
        <v>73</v>
      </c>
      <c r="B33" s="33">
        <f>IF((B22*($B$26-($B$27-0.05*$B$27)-$B$60))&lt;0,0,B22*($B$26-($B$27-0.05*$B$27)-$B$60))</f>
        <v>263.36786086486478</v>
      </c>
      <c r="C33" s="34" t="s">
        <v>104</v>
      </c>
      <c r="D33" s="170"/>
    </row>
    <row r="34" spans="1:6">
      <c r="A34" s="167" t="s">
        <v>74</v>
      </c>
      <c r="B34" s="33">
        <f>IF((B24*($B$26-($B$27-0.05*$B$27)-$B$60))&lt;0,0,B24*($B$26-($B$27-0.05*$B$27)-$B$60))</f>
        <v>115.15935191231303</v>
      </c>
      <c r="C34" s="33">
        <f>B26*C24</f>
        <v>560.95119786332634</v>
      </c>
      <c r="D34" s="229"/>
    </row>
    <row r="35" spans="1:6">
      <c r="A35" s="167" t="s">
        <v>76</v>
      </c>
      <c r="B35" s="33">
        <f>IF((B19*($B$26-($B$27-0.05*$B$27)-$B$60))&lt;0,0,B19*($B$26-($B$27-0.05*$B$27)-$B$60))</f>
        <v>7.0504522663649309</v>
      </c>
      <c r="C35" s="33">
        <f>B35/2</f>
        <v>3.5252261331824655</v>
      </c>
      <c r="D35" s="229"/>
    </row>
    <row r="36" spans="1:6">
      <c r="A36" s="167" t="s">
        <v>77</v>
      </c>
      <c r="B36" s="33">
        <f>IF((B18*($B$26-($B$27-0.05*$B$27)-$B$60))&lt;0,0,B18*($B$26-($B$27-0.05*$B$27)-$B$60))</f>
        <v>591.10312415815497</v>
      </c>
      <c r="C36" s="34" t="s">
        <v>104</v>
      </c>
      <c r="D36" s="170"/>
    </row>
    <row r="37" spans="1:6">
      <c r="A37" s="167" t="s">
        <v>78</v>
      </c>
      <c r="B37" s="33">
        <f>B60</f>
        <v>30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84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30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10612.260515074169</v>
      </c>
      <c r="C5" s="17">
        <f>IF(ISERROR('Eigen informatie GS &amp; warmtenet'!B60),0,'Eigen informatie GS &amp; warmtenet'!B60)</f>
        <v>0</v>
      </c>
      <c r="D5" s="30">
        <f>SUM(D6:D12)</f>
        <v>16625.299506252366</v>
      </c>
      <c r="E5" s="17">
        <f>SUM(E6:E12)</f>
        <v>22.705042905583351</v>
      </c>
      <c r="F5" s="17">
        <f>SUM(F6:F12)</f>
        <v>2202.1823373867524</v>
      </c>
      <c r="G5" s="18"/>
      <c r="H5" s="17"/>
      <c r="I5" s="17"/>
      <c r="J5" s="17">
        <f>SUM(J6:J12)</f>
        <v>1.9508843196688865E-2</v>
      </c>
      <c r="K5" s="17"/>
      <c r="L5" s="17"/>
      <c r="M5" s="17"/>
      <c r="N5" s="17">
        <f>SUM(N6:N12)</f>
        <v>734.6812480180273</v>
      </c>
      <c r="O5" s="17">
        <f>B38*B39*B40</f>
        <v>14.691782297523464</v>
      </c>
      <c r="P5" s="17">
        <f>B46*B47*B48/1000-B46*B47*B48/1000/B49</f>
        <v>0</v>
      </c>
      <c r="R5" s="32"/>
    </row>
    <row r="6" spans="1:18">
      <c r="A6" s="32" t="s">
        <v>53</v>
      </c>
      <c r="B6" s="37">
        <f>B26</f>
        <v>3559.4007608491002</v>
      </c>
      <c r="C6" s="33"/>
      <c r="D6" s="37">
        <f>IF(ISERROR(TER_kantoor_gas_kWh/1000),0,TER_kantoor_gas_kWh/1000)*0.903</f>
        <v>9465.220803804199</v>
      </c>
      <c r="E6" s="33">
        <f>$C$26*'E Balans VL '!I12/100/3.6*1000000</f>
        <v>0</v>
      </c>
      <c r="F6" s="33">
        <f>$C$26*('E Balans VL '!L12+'E Balans VL '!N12)/100/3.6*1000000</f>
        <v>406.9445291950554</v>
      </c>
      <c r="G6" s="34"/>
      <c r="H6" s="33"/>
      <c r="I6" s="33"/>
      <c r="J6" s="33">
        <f>$C$26*('E Balans VL '!D12+'E Balans VL '!E12)/100/3.6*1000000</f>
        <v>0</v>
      </c>
      <c r="K6" s="33"/>
      <c r="L6" s="33"/>
      <c r="M6" s="33"/>
      <c r="N6" s="33">
        <f>$C$26*'E Balans VL '!Y12/100/3.6*1000000</f>
        <v>4.0315588985689104</v>
      </c>
      <c r="O6" s="33"/>
      <c r="P6" s="33"/>
      <c r="R6" s="32"/>
    </row>
    <row r="7" spans="1:18">
      <c r="A7" s="32" t="s">
        <v>52</v>
      </c>
      <c r="B7" s="37">
        <f t="shared" ref="B7:B12" si="0">B27</f>
        <v>1576.1861455779799</v>
      </c>
      <c r="C7" s="33"/>
      <c r="D7" s="37">
        <f>IF(ISERROR(TER_horeca_gas_kWh/1000),0,TER_horeca_gas_kWh/1000)*0.903</f>
        <v>776.95982531646507</v>
      </c>
      <c r="E7" s="33">
        <f>$C$27*'E Balans VL '!I9/100/3.6*1000000</f>
        <v>0</v>
      </c>
      <c r="F7" s="33">
        <f>$C$27*('E Balans VL '!L9+'E Balans VL '!N9)/100/3.6*1000000</f>
        <v>165.6938811147578</v>
      </c>
      <c r="G7" s="34"/>
      <c r="H7" s="33"/>
      <c r="I7" s="33"/>
      <c r="J7" s="33">
        <f>$C$27*('E Balans VL '!D9+'E Balans VL '!E9)/100/3.6*1000000</f>
        <v>0</v>
      </c>
      <c r="K7" s="33"/>
      <c r="L7" s="33"/>
      <c r="M7" s="33"/>
      <c r="N7" s="33">
        <f>$C$27*'E Balans VL '!Y9/100/3.6*1000000</f>
        <v>17.754953585238596</v>
      </c>
      <c r="O7" s="33"/>
      <c r="P7" s="33"/>
      <c r="R7" s="32"/>
    </row>
    <row r="8" spans="1:18">
      <c r="A8" s="6" t="s">
        <v>51</v>
      </c>
      <c r="B8" s="37">
        <f t="shared" si="0"/>
        <v>2430.4347950369902</v>
      </c>
      <c r="C8" s="33"/>
      <c r="D8" s="37">
        <f>IF(ISERROR(TER_handel_gas_kWh/1000),0,TER_handel_gas_kWh/1000)*0.903</f>
        <v>1400.1071941985331</v>
      </c>
      <c r="E8" s="33">
        <f>$C$28*'E Balans VL '!I13/100/3.6*1000000</f>
        <v>0.52389292546004029</v>
      </c>
      <c r="F8" s="33">
        <f>$C$28*('E Balans VL '!L13+'E Balans VL '!N13)/100/3.6*1000000</f>
        <v>341.79506044185314</v>
      </c>
      <c r="G8" s="34"/>
      <c r="H8" s="33"/>
      <c r="I8" s="33"/>
      <c r="J8" s="33">
        <f>$C$28*('E Balans VL '!D13+'E Balans VL '!E13)/100/3.6*1000000</f>
        <v>0</v>
      </c>
      <c r="K8" s="33"/>
      <c r="L8" s="33"/>
      <c r="M8" s="33"/>
      <c r="N8" s="33">
        <f>$C$28*'E Balans VL '!Y13/100/3.6*1000000</f>
        <v>2.3320478002081355</v>
      </c>
      <c r="O8" s="33"/>
      <c r="P8" s="33"/>
      <c r="R8" s="32"/>
    </row>
    <row r="9" spans="1:18">
      <c r="A9" s="32" t="s">
        <v>50</v>
      </c>
      <c r="B9" s="37">
        <f t="shared" si="0"/>
        <v>1134.8301741933799</v>
      </c>
      <c r="C9" s="33"/>
      <c r="D9" s="37">
        <f>IF(ISERROR(TER_gezond_gas_kWh/1000),0,TER_gezond_gas_kWh/1000)*0.903</f>
        <v>4186.5696653855011</v>
      </c>
      <c r="E9" s="33">
        <f>$C$29*'E Balans VL '!I10/100/3.6*1000000</f>
        <v>0</v>
      </c>
      <c r="F9" s="33">
        <f>$C$29*('E Balans VL '!L10+'E Balans VL '!N10)/100/3.6*1000000</f>
        <v>30.901733463570114</v>
      </c>
      <c r="G9" s="34"/>
      <c r="H9" s="33"/>
      <c r="I9" s="33"/>
      <c r="J9" s="33">
        <f>$C$29*('E Balans VL '!D10+'E Balans VL '!E10)/100/3.6*1000000</f>
        <v>0</v>
      </c>
      <c r="K9" s="33"/>
      <c r="L9" s="33"/>
      <c r="M9" s="33"/>
      <c r="N9" s="33">
        <f>$C$29*'E Balans VL '!Y10/100/3.6*1000000</f>
        <v>7.1948455457330285</v>
      </c>
      <c r="O9" s="33"/>
      <c r="P9" s="33"/>
      <c r="R9" s="32"/>
    </row>
    <row r="10" spans="1:18">
      <c r="A10" s="32" t="s">
        <v>49</v>
      </c>
      <c r="B10" s="37">
        <f t="shared" si="0"/>
        <v>1820.2036444351702</v>
      </c>
      <c r="C10" s="33"/>
      <c r="D10" s="37">
        <f>IF(ISERROR(TER_ander_gas_kWh/1000),0,TER_ander_gas_kWh/1000)*0.903</f>
        <v>721.55321324410204</v>
      </c>
      <c r="E10" s="33">
        <f>$C$30*'E Balans VL '!I14/100/3.6*1000000</f>
        <v>22.181149980123312</v>
      </c>
      <c r="F10" s="33">
        <f>$C$30*('E Balans VL '!L14+'E Balans VL '!N14)/100/3.6*1000000</f>
        <v>1253.0356258583038</v>
      </c>
      <c r="G10" s="34"/>
      <c r="H10" s="33"/>
      <c r="I10" s="33"/>
      <c r="J10" s="33">
        <f>$C$30*('E Balans VL '!D14+'E Balans VL '!E14)/100/3.6*1000000</f>
        <v>1.9508843196688865E-2</v>
      </c>
      <c r="K10" s="33"/>
      <c r="L10" s="33"/>
      <c r="M10" s="33"/>
      <c r="N10" s="33">
        <f>$C$30*'E Balans VL '!Y14/100/3.6*1000000</f>
        <v>703.14115409874967</v>
      </c>
      <c r="O10" s="33"/>
      <c r="P10" s="33"/>
      <c r="R10" s="32"/>
    </row>
    <row r="11" spans="1:18">
      <c r="A11" s="32" t="s">
        <v>54</v>
      </c>
      <c r="B11" s="37">
        <f t="shared" si="0"/>
        <v>91.204994981548808</v>
      </c>
      <c r="C11" s="33"/>
      <c r="D11" s="37">
        <f>IF(ISERROR(TER_onderwijs_gas_kWh/1000),0,TER_onderwijs_gas_kWh/1000)*0.903</f>
        <v>0</v>
      </c>
      <c r="E11" s="33">
        <f>$C$31*'E Balans VL '!I11/100/3.6*1000000</f>
        <v>0</v>
      </c>
      <c r="F11" s="33">
        <f>$C$31*('E Balans VL '!L11+'E Balans VL '!N11)/100/3.6*1000000</f>
        <v>3.8115073132120116</v>
      </c>
      <c r="G11" s="34"/>
      <c r="H11" s="33"/>
      <c r="I11" s="33"/>
      <c r="J11" s="33">
        <f>$C$31*('E Balans VL '!D11+'E Balans VL '!E11)/100/3.6*1000000</f>
        <v>0</v>
      </c>
      <c r="K11" s="33"/>
      <c r="L11" s="33"/>
      <c r="M11" s="33"/>
      <c r="N11" s="33">
        <f>$C$31*'E Balans VL '!Y11/100/3.6*1000000</f>
        <v>0.22668808952892724</v>
      </c>
      <c r="O11" s="33"/>
      <c r="P11" s="33"/>
      <c r="R11" s="32"/>
    </row>
    <row r="12" spans="1:18">
      <c r="A12" s="32" t="s">
        <v>249</v>
      </c>
      <c r="B12" s="37">
        <f t="shared" si="0"/>
        <v>0</v>
      </c>
      <c r="C12" s="33"/>
      <c r="D12" s="37">
        <f>IF(ISERROR(TER_rest_gas_kWh/1000),0,TER_rest_gas_kWh/1000)*0.903</f>
        <v>74.888804303566573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6.5000000005200009E-2</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-27.778000002222242</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10612.325515074175</v>
      </c>
      <c r="C16" s="21">
        <f t="shared" ca="1" si="1"/>
        <v>0</v>
      </c>
      <c r="D16" s="21">
        <f t="shared" ca="1" si="1"/>
        <v>16625.299506252366</v>
      </c>
      <c r="E16" s="21">
        <f t="shared" ca="1" si="1"/>
        <v>22.705042905583351</v>
      </c>
      <c r="F16" s="21">
        <f t="shared" ca="1" si="1"/>
        <v>2202.1823373867524</v>
      </c>
      <c r="G16" s="21">
        <f t="shared" si="1"/>
        <v>0</v>
      </c>
      <c r="H16" s="21">
        <f t="shared" si="1"/>
        <v>0</v>
      </c>
      <c r="I16" s="21">
        <f t="shared" si="1"/>
        <v>0</v>
      </c>
      <c r="J16" s="21">
        <f t="shared" si="1"/>
        <v>1.9508843196688865E-2</v>
      </c>
      <c r="K16" s="21">
        <f t="shared" si="1"/>
        <v>0</v>
      </c>
      <c r="L16" s="21">
        <f t="shared" ca="1" si="1"/>
        <v>0</v>
      </c>
      <c r="M16" s="21">
        <f t="shared" si="1"/>
        <v>0</v>
      </c>
      <c r="N16" s="21">
        <f t="shared" ca="1" si="1"/>
        <v>706.90324801580505</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0.17517305253551418</v>
      </c>
      <c r="C18" s="25">
        <f ca="1">'EF ele_warmte'!B22</f>
        <v>0.17956608214896641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1858.993454976066</v>
      </c>
      <c r="C20" s="23">
        <f t="shared" ref="C20:P20" ca="1" si="2">C16*C18</f>
        <v>0</v>
      </c>
      <c r="D20" s="23">
        <f t="shared" ca="1" si="2"/>
        <v>3358.3105002629782</v>
      </c>
      <c r="E20" s="23">
        <f t="shared" ca="1" si="2"/>
        <v>5.1540447395674205</v>
      </c>
      <c r="F20" s="23">
        <f t="shared" ca="1" si="2"/>
        <v>587.98268408226295</v>
      </c>
      <c r="G20" s="23">
        <f t="shared" si="2"/>
        <v>0</v>
      </c>
      <c r="H20" s="23">
        <f t="shared" si="2"/>
        <v>0</v>
      </c>
      <c r="I20" s="23">
        <f t="shared" si="2"/>
        <v>0</v>
      </c>
      <c r="J20" s="23">
        <f t="shared" si="2"/>
        <v>6.9061304916278573E-3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3559.4007608491002</v>
      </c>
      <c r="C26" s="39">
        <f>IF(ISERROR(B26*3.6/1000000/'E Balans VL '!Z12*100),0,B26*3.6/1000000/'E Balans VL '!Z12*100)</f>
        <v>0.10941615369816854</v>
      </c>
      <c r="D26" s="232" t="s">
        <v>768</v>
      </c>
      <c r="F26" s="6"/>
    </row>
    <row r="27" spans="1:18" ht="30">
      <c r="A27" s="227" t="s">
        <v>52</v>
      </c>
      <c r="B27" s="33">
        <f>IF(ISERROR(TER_horeca_ele_kWh/1000),0,TER_horeca_ele_kWh/1000)</f>
        <v>1576.1861455779799</v>
      </c>
      <c r="C27" s="39">
        <f>IF(ISERROR(B27*3.6/1000000/'E Balans VL '!Z9*100),0,B27*3.6/1000000/'E Balans VL '!Z9*100)</f>
        <v>0.12798386789350619</v>
      </c>
      <c r="D27" s="232" t="s">
        <v>768</v>
      </c>
      <c r="F27" s="6"/>
    </row>
    <row r="28" spans="1:18" ht="30">
      <c r="A28" s="167" t="s">
        <v>51</v>
      </c>
      <c r="B28" s="33">
        <f>IF(ISERROR(TER_handel_ele_kWh/1000),0,TER_handel_ele_kWh/1000)</f>
        <v>2430.4347950369902</v>
      </c>
      <c r="C28" s="39">
        <f>IF(ISERROR(B28*3.6/1000000/'E Balans VL '!Z13*100),0,B28*3.6/1000000/'E Balans VL '!Z13*100)</f>
        <v>7.9915875308481474E-2</v>
      </c>
      <c r="D28" s="232" t="s">
        <v>768</v>
      </c>
      <c r="F28" s="6"/>
    </row>
    <row r="29" spans="1:18" ht="30">
      <c r="A29" s="227" t="s">
        <v>50</v>
      </c>
      <c r="B29" s="33">
        <f>IF(ISERROR(TER_gezond_ele_kWh/1000),0,TER_gezond_ele_kWh/1000)</f>
        <v>1134.8301741933799</v>
      </c>
      <c r="C29" s="39">
        <f>IF(ISERROR(B29*3.6/1000000/'E Balans VL '!Z10*100),0,B29*3.6/1000000/'E Balans VL '!Z10*100)</f>
        <v>0.11072511593991376</v>
      </c>
      <c r="D29" s="232" t="s">
        <v>768</v>
      </c>
      <c r="F29" s="6"/>
    </row>
    <row r="30" spans="1:18" ht="30">
      <c r="A30" s="227" t="s">
        <v>49</v>
      </c>
      <c r="B30" s="33">
        <f>IF(ISERROR(TER_ander_ele_kWh/1000),0,TER_ander_ele_kWh/1000)</f>
        <v>1820.2036444351702</v>
      </c>
      <c r="C30" s="39">
        <f>IF(ISERROR(B30*3.6/1000000/'E Balans VL '!Z14*100),0,B30*3.6/1000000/'E Balans VL '!Z14*100)</f>
        <v>7.9899699099067023E-2</v>
      </c>
      <c r="D30" s="232" t="s">
        <v>768</v>
      </c>
      <c r="F30" s="6"/>
    </row>
    <row r="31" spans="1:18" ht="30">
      <c r="A31" s="227" t="s">
        <v>54</v>
      </c>
      <c r="B31" s="33">
        <f>IF(ISERROR(TER_onderwijs_ele_kWh/1000),0,TER_onderwijs_ele_kWh/1000)</f>
        <v>91.204994981548808</v>
      </c>
      <c r="C31" s="39">
        <f>IF(ISERROR(B31*3.6/1000000/'E Balans VL '!Z11*100),0,B31*3.6/1000000/'E Balans VL '!Z11*100)</f>
        <v>3.1245343210834754E-2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3105.1483109113788</v>
      </c>
      <c r="C5" s="17">
        <f>IF(ISERROR('Eigen informatie GS &amp; warmtenet'!B61),0,'Eigen informatie GS &amp; warmtenet'!B61)</f>
        <v>0</v>
      </c>
      <c r="D5" s="30">
        <f>SUM(D6:D15)</f>
        <v>2274.3734423985215</v>
      </c>
      <c r="E5" s="17">
        <f>SUM(E6:E15)</f>
        <v>10.153889551843275</v>
      </c>
      <c r="F5" s="17">
        <f>SUM(F6:F15)</f>
        <v>929.44598421346632</v>
      </c>
      <c r="G5" s="18"/>
      <c r="H5" s="17"/>
      <c r="I5" s="17"/>
      <c r="J5" s="17">
        <f>SUM(J6:J15)</f>
        <v>0.16365180120544057</v>
      </c>
      <c r="K5" s="17"/>
      <c r="L5" s="17"/>
      <c r="M5" s="17"/>
      <c r="N5" s="17">
        <f>SUM(N6:N15)</f>
        <v>137.31558211474427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409.83033112350199</v>
      </c>
      <c r="C8" s="33"/>
      <c r="D8" s="37">
        <f>IF( ISERROR(IND_metaal_Gas_kWH/1000),0,IND_metaal_Gas_kWH/1000)*0.903</f>
        <v>188.18381252136814</v>
      </c>
      <c r="E8" s="33">
        <f>C30*'E Balans VL '!I18/100/3.6*1000000</f>
        <v>1.1933605401338976</v>
      </c>
      <c r="F8" s="33">
        <f>C30*'E Balans VL '!L18/100/3.6*1000000+C30*'E Balans VL '!N18/100/3.6*1000000</f>
        <v>15.750622418019654</v>
      </c>
      <c r="G8" s="34"/>
      <c r="H8" s="33"/>
      <c r="I8" s="33"/>
      <c r="J8" s="40">
        <f>C30*'E Balans VL '!D18/100/3.6*1000000+C30*'E Balans VL '!E18/100/3.6*1000000</f>
        <v>1.1074078301805115E-15</v>
      </c>
      <c r="K8" s="33"/>
      <c r="L8" s="33"/>
      <c r="M8" s="33"/>
      <c r="N8" s="33">
        <f>C30*'E Balans VL '!Y18/100/3.6*1000000</f>
        <v>6.0787529591788205</v>
      </c>
      <c r="O8" s="33"/>
      <c r="P8" s="33"/>
      <c r="R8" s="32"/>
    </row>
    <row r="9" spans="1:18">
      <c r="A9" s="6" t="s">
        <v>32</v>
      </c>
      <c r="B9" s="37">
        <f t="shared" si="0"/>
        <v>1103.2623439789902</v>
      </c>
      <c r="C9" s="33"/>
      <c r="D9" s="37">
        <f>IF( ISERROR(IND_andere_gas_kWh/1000),0,IND_andere_gas_kWh/1000)*0.903</f>
        <v>1788.5689530412253</v>
      </c>
      <c r="E9" s="33">
        <f>C31*'E Balans VL '!I19/100/3.6*1000000</f>
        <v>5.5948121434923523</v>
      </c>
      <c r="F9" s="33">
        <f>C31*'E Balans VL '!L19/100/3.6*1000000+C31*'E Balans VL '!N19/100/3.6*1000000</f>
        <v>834.96849474058422</v>
      </c>
      <c r="G9" s="34"/>
      <c r="H9" s="33"/>
      <c r="I9" s="33"/>
      <c r="J9" s="40">
        <f>C31*'E Balans VL '!D19/100/3.6*1000000+C31*'E Balans VL '!E19/100/3.6*1000000</f>
        <v>0</v>
      </c>
      <c r="K9" s="33"/>
      <c r="L9" s="33"/>
      <c r="M9" s="33"/>
      <c r="N9" s="33">
        <f>C31*'E Balans VL '!Y19/100/3.6*1000000</f>
        <v>40.612401596202908</v>
      </c>
      <c r="O9" s="33"/>
      <c r="P9" s="33"/>
      <c r="R9" s="32"/>
    </row>
    <row r="10" spans="1:18">
      <c r="A10" s="6" t="s">
        <v>40</v>
      </c>
      <c r="B10" s="37">
        <f t="shared" si="0"/>
        <v>1562.5161478784598</v>
      </c>
      <c r="C10" s="33"/>
      <c r="D10" s="37">
        <f>IF( ISERROR(IND_voed_gas_kWh/1000),0,IND_voed_gas_kWh/1000)*0.903</f>
        <v>274.10371324857454</v>
      </c>
      <c r="E10" s="33">
        <f>C32*'E Balans VL '!I20/100/3.6*1000000</f>
        <v>1.8272140925871034</v>
      </c>
      <c r="F10" s="33">
        <f>C32*'E Balans VL '!L20/100/3.6*1000000+C32*'E Balans VL '!N20/100/3.6*1000000</f>
        <v>72.962778319261005</v>
      </c>
      <c r="G10" s="34"/>
      <c r="H10" s="33"/>
      <c r="I10" s="33"/>
      <c r="J10" s="40">
        <f>C32*'E Balans VL '!D20/100/3.6*1000000+C32*'E Balans VL '!E20/100/3.6*1000000</f>
        <v>0</v>
      </c>
      <c r="K10" s="33"/>
      <c r="L10" s="33"/>
      <c r="M10" s="33"/>
      <c r="N10" s="33">
        <f>C32*'E Balans VL '!Y20/100/3.6*1000000</f>
        <v>89.610278465511641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29.539487930426702</v>
      </c>
      <c r="C15" s="33"/>
      <c r="D15" s="37">
        <f>IF( ISERROR(IND_rest_gas_kWh/1000),0,IND_rest_gas_kWh/1000)*0.903</f>
        <v>23.516963587353718</v>
      </c>
      <c r="E15" s="33">
        <f>C37*'E Balans VL '!I15/100/3.6*1000000</f>
        <v>1.5385027756299214</v>
      </c>
      <c r="F15" s="33">
        <f>C37*'E Balans VL '!L15/100/3.6*1000000+C37*'E Balans VL '!N15/100/3.6*1000000</f>
        <v>5.7640887356014199</v>
      </c>
      <c r="G15" s="34"/>
      <c r="H15" s="33"/>
      <c r="I15" s="33"/>
      <c r="J15" s="40">
        <f>C37*'E Balans VL '!D15/100/3.6*1000000+C37*'E Balans VL '!E15/100/3.6*1000000</f>
        <v>0.16365180120543946</v>
      </c>
      <c r="K15" s="33"/>
      <c r="L15" s="33"/>
      <c r="M15" s="33"/>
      <c r="N15" s="33">
        <f>C37*'E Balans VL '!Y15/100/3.6*1000000</f>
        <v>1.0141490938509086</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3105.1483109113788</v>
      </c>
      <c r="C18" s="21">
        <f>C5+C16</f>
        <v>0</v>
      </c>
      <c r="D18" s="21">
        <f>MAX((D5+D16),0)</f>
        <v>2274.3734423985215</v>
      </c>
      <c r="E18" s="21">
        <f>MAX((E5+E16),0)</f>
        <v>10.153889551843275</v>
      </c>
      <c r="F18" s="21">
        <f>MAX((F5+F16),0)</f>
        <v>929.44598421346632</v>
      </c>
      <c r="G18" s="21"/>
      <c r="H18" s="21"/>
      <c r="I18" s="21"/>
      <c r="J18" s="21">
        <f>MAX((J5+J16),0)</f>
        <v>0.16365180120544057</v>
      </c>
      <c r="K18" s="21"/>
      <c r="L18" s="21">
        <f>MAX((L5+L16),0)</f>
        <v>0</v>
      </c>
      <c r="M18" s="21"/>
      <c r="N18" s="21">
        <f>MAX((N5+N16),0)</f>
        <v>137.31558211474427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0.17517305253551418</v>
      </c>
      <c r="C20" s="25">
        <f ca="1">'EF ele_warmte'!B22</f>
        <v>0.17956608214896641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543.93830819784205</v>
      </c>
      <c r="C22" s="23">
        <f ca="1">C18*C20</f>
        <v>0</v>
      </c>
      <c r="D22" s="23">
        <f>D18*D20</f>
        <v>459.42343536450136</v>
      </c>
      <c r="E22" s="23">
        <f>E18*E20</f>
        <v>2.3049329282684234</v>
      </c>
      <c r="F22" s="23">
        <f>F18*F20</f>
        <v>248.16207778499552</v>
      </c>
      <c r="G22" s="23"/>
      <c r="H22" s="23"/>
      <c r="I22" s="23"/>
      <c r="J22" s="23">
        <f>J18*J20</f>
        <v>5.7932737626725961E-2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409.83033112350199</v>
      </c>
      <c r="C30" s="39">
        <f>IF(ISERROR(B30*3.6/1000000/'E Balans VL '!Z18*100),0,B30*3.6/1000000/'E Balans VL '!Z18*100)</f>
        <v>2.872697179016518E-2</v>
      </c>
      <c r="D30" s="232" t="s">
        <v>768</v>
      </c>
    </row>
    <row r="31" spans="1:18" ht="30">
      <c r="A31" s="6" t="s">
        <v>32</v>
      </c>
      <c r="B31" s="37">
        <f>IF( ISERROR(IND_ander_ele_kWh/1000),0,IND_ander_ele_kWh/1000)</f>
        <v>1103.2623439789902</v>
      </c>
      <c r="C31" s="39">
        <f>IF(ISERROR(B31*3.6/1000000/'E Balans VL '!Z19*100),0,B31*3.6/1000000/'E Balans VL '!Z19*100)</f>
        <v>5.1690838748296983E-2</v>
      </c>
      <c r="D31" s="232" t="s">
        <v>768</v>
      </c>
    </row>
    <row r="32" spans="1:18" ht="30">
      <c r="A32" s="167" t="s">
        <v>40</v>
      </c>
      <c r="B32" s="37">
        <f>IF( ISERROR(IND_voed_ele_kWh/1000),0,IND_voed_ele_kWh/1000)</f>
        <v>1562.5161478784598</v>
      </c>
      <c r="C32" s="39">
        <f>IF(ISERROR(B32*3.6/1000000/'E Balans VL '!Z20*100),0,B32*3.6/1000000/'E Balans VL '!Z20*100)</f>
        <v>5.1575788038296766E-2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29.539487930426702</v>
      </c>
      <c r="C37" s="39">
        <f>IF(ISERROR(B37*3.6/1000000/'E Balans VL '!Z15*100),0,B37*3.6/1000000/'E Balans VL '!Z15*100)</f>
        <v>2.719367643937728E-4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13314.0109437053</v>
      </c>
      <c r="C5" s="17">
        <f>'Eigen informatie GS &amp; warmtenet'!B62</f>
        <v>0</v>
      </c>
      <c r="D5" s="30">
        <f>IF(ISERROR(SUM(LB_lb_gas_kWh,LB_rest_gas_kWh)/1000),0,SUM(LB_lb_gas_kWh,LB_rest_gas_kWh)/1000)*0.903</f>
        <v>722699.92755496188</v>
      </c>
      <c r="E5" s="17">
        <f>B17*'E Balans VL '!I25/3.6*1000000/100</f>
        <v>448.96884355636683</v>
      </c>
      <c r="F5" s="17">
        <f>B17*('E Balans VL '!L25/3.6*1000000+'E Balans VL '!N25/3.6*1000000)/100</f>
        <v>46128.955219691175</v>
      </c>
      <c r="G5" s="18"/>
      <c r="H5" s="17"/>
      <c r="I5" s="17"/>
      <c r="J5" s="17">
        <f>('E Balans VL '!D25+'E Balans VL '!E25)/3.6*1000000*landbouw!B17/100</f>
        <v>2889.8524806522091</v>
      </c>
      <c r="K5" s="17"/>
      <c r="L5" s="17">
        <f>L6*(-1)</f>
        <v>0</v>
      </c>
      <c r="M5" s="17"/>
      <c r="N5" s="17">
        <f>N6*(-1)</f>
        <v>65728.425005258279</v>
      </c>
      <c r="O5" s="17"/>
      <c r="P5" s="17"/>
      <c r="R5" s="32"/>
    </row>
    <row r="6" spans="1:18">
      <c r="A6" s="16" t="s">
        <v>808</v>
      </c>
      <c r="B6" s="17" t="s">
        <v>204</v>
      </c>
      <c r="C6" s="17">
        <f>'lokale energieproductie'!O39+'lokale energieproductie'!O32</f>
        <v>361933.88891784364</v>
      </c>
      <c r="D6" s="301">
        <f>('lokale energieproductie'!P32+'lokale energieproductie'!P39)*(-1)</f>
        <v>-551141.93893298041</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-65728.425005258279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13314.0109437053</v>
      </c>
      <c r="C8" s="21">
        <f>C5+C6</f>
        <v>361933.88891784364</v>
      </c>
      <c r="D8" s="21">
        <f>MAX((D5+D6),0)</f>
        <v>171557.98862198147</v>
      </c>
      <c r="E8" s="21">
        <f>MAX((E5+E6),0)</f>
        <v>448.96884355636683</v>
      </c>
      <c r="F8" s="21">
        <f>MAX((F5+F6),0)</f>
        <v>46128.955219691175</v>
      </c>
      <c r="G8" s="21"/>
      <c r="H8" s="21"/>
      <c r="I8" s="21"/>
      <c r="J8" s="21">
        <f>MAX((J5+J6),0)</f>
        <v>2889.8524806522091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0.17517305253551418</v>
      </c>
      <c r="C10" s="31">
        <f ca="1">'EF ele_warmte'!B22</f>
        <v>0.17956608214896641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2332.2559385000991</v>
      </c>
      <c r="C12" s="23">
        <f ca="1">C8*C10</f>
        <v>64991.050429916395</v>
      </c>
      <c r="D12" s="23">
        <f>D8*D10</f>
        <v>34654.713701640256</v>
      </c>
      <c r="E12" s="23">
        <f>E8*E10</f>
        <v>101.91592748729528</v>
      </c>
      <c r="F12" s="23">
        <f>F8*F10</f>
        <v>12316.431043657545</v>
      </c>
      <c r="G12" s="23"/>
      <c r="H12" s="23"/>
      <c r="I12" s="23"/>
      <c r="J12" s="23">
        <f>J8*J10</f>
        <v>1023.007778150882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1.9018999774746748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952.41274150648883</v>
      </c>
      <c r="C26" s="242">
        <f>B26*'GWP N2O_CH4'!B5</f>
        <v>20000.667571636266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573.51838094652203</v>
      </c>
      <c r="C27" s="242">
        <f>B27*'GWP N2O_CH4'!B5</f>
        <v>12043.885999876962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21.884077701756251</v>
      </c>
      <c r="C28" s="242">
        <f>B28*'GWP N2O_CH4'!B4</f>
        <v>6784.0640875444378</v>
      </c>
      <c r="D28" s="50"/>
    </row>
    <row r="29" spans="1:4">
      <c r="A29" s="41" t="s">
        <v>266</v>
      </c>
      <c r="B29" s="242">
        <f>B34*'ha_N2O bodem landbouw'!B4</f>
        <v>17.235487816567474</v>
      </c>
      <c r="C29" s="242">
        <f>B29*'GWP N2O_CH4'!B4</f>
        <v>5343.0012231359169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3.7788149582241126E-3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8.421065509054156E-4</v>
      </c>
      <c r="C5" s="428" t="s">
        <v>204</v>
      </c>
      <c r="D5" s="413">
        <f>SUM(D6:D11)</f>
        <v>8.194681981697553E-4</v>
      </c>
      <c r="E5" s="413">
        <f>SUM(E6:E11)</f>
        <v>2.7255795016276687E-4</v>
      </c>
      <c r="F5" s="426" t="s">
        <v>204</v>
      </c>
      <c r="G5" s="413">
        <f>SUM(G6:G11)</f>
        <v>0.10899714103242636</v>
      </c>
      <c r="H5" s="413">
        <f>SUM(H6:H11)</f>
        <v>3.8810790765183449E-2</v>
      </c>
      <c r="I5" s="428" t="s">
        <v>204</v>
      </c>
      <c r="J5" s="428" t="s">
        <v>204</v>
      </c>
      <c r="K5" s="428" t="s">
        <v>204</v>
      </c>
      <c r="L5" s="428" t="s">
        <v>204</v>
      </c>
      <c r="M5" s="413">
        <f>SUM(M6:M11)</f>
        <v>1.5540592093517082E-2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6.7822705763423137E-4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6.2522306082085318E-4</v>
      </c>
      <c r="E6" s="839">
        <f>vkm_GW_PW*SUMIFS(TableVerdeelsleutelVkm[LPG],TableVerdeelsleutelVkm[Voertuigtype],"Lichte voertuigen")*SUMIFS(TableECFTransport[EnergieConsumptieFactor (PJ per km)],TableECFTransport[Index],CONCATENATE($A6,"_LPG_LPG"))</f>
        <v>2.1019342728468779E-4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5.9488690943514763E-2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2.974447353130745E-2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9.2185368921812172E-3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1.3875944251572206E-6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3.0691385455480589E-2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2.2120195722901156E-7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3.4355785880019456E-3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1.6239846895169064E-4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1.9424513734890212E-4</v>
      </c>
      <c r="E8" s="416">
        <f>vkm_NGW_PW*SUMIFS(TableVerdeelsleutelVkm[LPG],TableVerdeelsleutelVkm[Voertuigtype],"Lichte voertuigen")*SUMIFS(TableECFTransport[EnergieConsumptieFactor (PJ per km)],TableECFTransport[Index],CONCATENATE($A8,"_LPG_LPG"))</f>
        <v>6.2364522878079065E-5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1.6156694724384846E-2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9.0660780544425546E-3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2.5886762175579515E-3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9.3429894336344312E-8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2.6603699090461687E-3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1.7977476219263877E-8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2.9780039577596926E-4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233.91848636261543</v>
      </c>
      <c r="C14" s="21"/>
      <c r="D14" s="21">
        <f t="shared" ref="D14:M14" si="0">((D5)*10^9/3600)+D12</f>
        <v>227.63005504715426</v>
      </c>
      <c r="E14" s="21">
        <f t="shared" si="0"/>
        <v>75.710541711879685</v>
      </c>
      <c r="F14" s="21"/>
      <c r="G14" s="21">
        <f t="shared" si="0"/>
        <v>30276.983620118433</v>
      </c>
      <c r="H14" s="21">
        <f t="shared" si="0"/>
        <v>10780.775212550958</v>
      </c>
      <c r="I14" s="21"/>
      <c r="J14" s="21"/>
      <c r="K14" s="21"/>
      <c r="L14" s="21"/>
      <c r="M14" s="21">
        <f t="shared" si="0"/>
        <v>4316.8311370880783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0.17517305253551418</v>
      </c>
      <c r="C16" s="56">
        <f ca="1">'EF ele_warmte'!B22</f>
        <v>0.17956608214896641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40.976215300626393</v>
      </c>
      <c r="C18" s="23"/>
      <c r="D18" s="23">
        <f t="shared" ref="D18:M18" si="1">D14*D16</f>
        <v>45.981271119525161</v>
      </c>
      <c r="E18" s="23">
        <f t="shared" si="1"/>
        <v>17.186292968596689</v>
      </c>
      <c r="F18" s="23"/>
      <c r="G18" s="23">
        <f t="shared" si="1"/>
        <v>8083.9546265716226</v>
      </c>
      <c r="H18" s="23">
        <f t="shared" si="1"/>
        <v>2684.4130279251885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5.9582523419438712E-5</v>
      </c>
      <c r="C50" s="312">
        <f t="shared" ref="C50:P50" si="2">SUM(C51:C52)</f>
        <v>0</v>
      </c>
      <c r="D50" s="312">
        <f t="shared" si="2"/>
        <v>0</v>
      </c>
      <c r="E50" s="312">
        <f t="shared" si="2"/>
        <v>0</v>
      </c>
      <c r="F50" s="312">
        <f t="shared" si="2"/>
        <v>0</v>
      </c>
      <c r="G50" s="312">
        <f t="shared" si="2"/>
        <v>2.4468598544321635E-3</v>
      </c>
      <c r="H50" s="312">
        <f t="shared" si="2"/>
        <v>0</v>
      </c>
      <c r="I50" s="312">
        <f t="shared" si="2"/>
        <v>0</v>
      </c>
      <c r="J50" s="312">
        <f t="shared" si="2"/>
        <v>0</v>
      </c>
      <c r="K50" s="312">
        <f t="shared" si="2"/>
        <v>0</v>
      </c>
      <c r="L50" s="312">
        <f t="shared" si="2"/>
        <v>0</v>
      </c>
      <c r="M50" s="312">
        <f t="shared" si="2"/>
        <v>2.7389877080235945E-4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5.9582523419438712E-5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2.4468598544321635E-3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2.7389877080235945E-4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16.550700949844085</v>
      </c>
      <c r="C54" s="21">
        <f t="shared" ref="C54:P54" si="3">(C50)*10^9/3600</f>
        <v>0</v>
      </c>
      <c r="D54" s="21">
        <f t="shared" si="3"/>
        <v>0</v>
      </c>
      <c r="E54" s="21">
        <f t="shared" si="3"/>
        <v>0</v>
      </c>
      <c r="F54" s="21">
        <f t="shared" si="3"/>
        <v>0</v>
      </c>
      <c r="G54" s="21">
        <f t="shared" si="3"/>
        <v>679.68329289782309</v>
      </c>
      <c r="H54" s="21">
        <f t="shared" si="3"/>
        <v>0</v>
      </c>
      <c r="I54" s="21">
        <f t="shared" si="3"/>
        <v>0</v>
      </c>
      <c r="J54" s="21">
        <f t="shared" si="3"/>
        <v>0</v>
      </c>
      <c r="K54" s="21">
        <f t="shared" si="3"/>
        <v>0</v>
      </c>
      <c r="L54" s="21">
        <f t="shared" si="3"/>
        <v>0</v>
      </c>
      <c r="M54" s="21">
        <f t="shared" si="3"/>
        <v>76.082991889544289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0.17517305253551418</v>
      </c>
      <c r="C56" s="56">
        <f ca="1">'EF ele_warmte'!B22</f>
        <v>0.17956608214896641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2.8992368069866226</v>
      </c>
      <c r="C58" s="23">
        <f t="shared" ref="C58:P58" ca="1" si="4">C54*C56</f>
        <v>0</v>
      </c>
      <c r="D58" s="23">
        <f t="shared" si="4"/>
        <v>0</v>
      </c>
      <c r="E58" s="23">
        <f t="shared" si="4"/>
        <v>0</v>
      </c>
      <c r="F58" s="23">
        <f t="shared" si="4"/>
        <v>0</v>
      </c>
      <c r="G58" s="23">
        <f t="shared" si="4"/>
        <v>181.47543920371876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6471.733774439841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258064.44446508962</v>
      </c>
      <c r="C8" s="539">
        <f>B48</f>
        <v>229404.06551755275</v>
      </c>
      <c r="D8" s="540">
        <f>J48</f>
        <v>0</v>
      </c>
      <c r="E8" s="540">
        <f>E48</f>
        <v>0</v>
      </c>
      <c r="F8" s="541"/>
      <c r="G8" s="542"/>
      <c r="H8" s="540">
        <f>I48</f>
        <v>0</v>
      </c>
      <c r="I8" s="540">
        <f>G48+F48</f>
        <v>0</v>
      </c>
      <c r="J8" s="540">
        <f>H48+D48+C48</f>
        <v>27358.411420230121</v>
      </c>
      <c r="K8" s="540"/>
      <c r="L8" s="540"/>
      <c r="M8" s="540"/>
      <c r="N8" s="543"/>
      <c r="O8" s="544">
        <f>C8*$C$12+D8*$D$12+E8*$E$12+F8*$F$12+G8*$G$12+H8*$H$12+I8*$I$12+J8*$J$12</f>
        <v>46339.621234545659</v>
      </c>
      <c r="P8" s="1239"/>
      <c r="Q8" s="1240"/>
      <c r="S8" s="534"/>
      <c r="T8" s="1236"/>
      <c r="U8" s="1236"/>
    </row>
    <row r="9" spans="1:21" s="525" customFormat="1" ht="17.45" customHeight="1" thickBot="1">
      <c r="A9" s="545" t="s">
        <v>237</v>
      </c>
      <c r="B9" s="546">
        <f>N36+'Eigen informatie GS &amp; warmtenet'!B12</f>
        <v>6.5000000005200009E-2</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27.778000002222242</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264536.24323952949</v>
      </c>
      <c r="C10" s="554">
        <f t="shared" ref="C10:L10" si="0">SUM(C8:C9)</f>
        <v>229404.06551755275</v>
      </c>
      <c r="D10" s="554">
        <f t="shared" si="0"/>
        <v>0</v>
      </c>
      <c r="E10" s="554">
        <f t="shared" si="0"/>
        <v>0</v>
      </c>
      <c r="F10" s="554">
        <f t="shared" si="0"/>
        <v>0</v>
      </c>
      <c r="G10" s="554">
        <f t="shared" si="0"/>
        <v>0</v>
      </c>
      <c r="H10" s="554">
        <f t="shared" si="0"/>
        <v>0</v>
      </c>
      <c r="I10" s="554">
        <f t="shared" si="0"/>
        <v>0</v>
      </c>
      <c r="J10" s="554">
        <f t="shared" si="0"/>
        <v>27386.189420232342</v>
      </c>
      <c r="K10" s="554">
        <f t="shared" si="0"/>
        <v>0</v>
      </c>
      <c r="L10" s="554">
        <f t="shared" si="0"/>
        <v>0</v>
      </c>
      <c r="M10" s="912"/>
      <c r="N10" s="912"/>
      <c r="O10" s="555">
        <f>SUM(O4:O9)</f>
        <v>46339.621234545659</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361933.88891784364</v>
      </c>
      <c r="C17" s="570">
        <f>B49</f>
        <v>321737.87341542769</v>
      </c>
      <c r="D17" s="571">
        <f>J49</f>
        <v>0</v>
      </c>
      <c r="E17" s="571">
        <f>E49</f>
        <v>0</v>
      </c>
      <c r="F17" s="572"/>
      <c r="G17" s="573"/>
      <c r="H17" s="570">
        <f>I49</f>
        <v>0</v>
      </c>
      <c r="I17" s="571">
        <f>G49+F49</f>
        <v>0</v>
      </c>
      <c r="J17" s="571">
        <f>H49+D49+C49</f>
        <v>38370.013585028159</v>
      </c>
      <c r="K17" s="571"/>
      <c r="L17" s="571"/>
      <c r="M17" s="571"/>
      <c r="N17" s="913"/>
      <c r="O17" s="574">
        <f>C17*$C$22+E17*$E$22+H17*$H$22+I17*$I$22+J17*$J$22+D17*$D$22+F17*$F$22+G17*$G$22+K17*$K$22+L17*$L$22</f>
        <v>64991.050429916395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361933.88891784364</v>
      </c>
      <c r="C20" s="553">
        <f>SUM(C17:C19)</f>
        <v>321737.87341542769</v>
      </c>
      <c r="D20" s="553">
        <f t="shared" ref="D20:L20" si="1">SUM(D17:D19)</f>
        <v>0</v>
      </c>
      <c r="E20" s="553">
        <f t="shared" si="1"/>
        <v>0</v>
      </c>
      <c r="F20" s="553">
        <f t="shared" si="1"/>
        <v>0</v>
      </c>
      <c r="G20" s="553">
        <f t="shared" si="1"/>
        <v>0</v>
      </c>
      <c r="H20" s="553">
        <f t="shared" si="1"/>
        <v>0</v>
      </c>
      <c r="I20" s="553">
        <f t="shared" si="1"/>
        <v>0</v>
      </c>
      <c r="J20" s="553">
        <f t="shared" si="1"/>
        <v>38370.013585028159</v>
      </c>
      <c r="K20" s="553">
        <f t="shared" si="1"/>
        <v>0</v>
      </c>
      <c r="L20" s="553">
        <f t="shared" si="1"/>
        <v>0</v>
      </c>
      <c r="M20" s="553"/>
      <c r="N20" s="553"/>
      <c r="O20" s="579">
        <f>SUM(O17:O19)</f>
        <v>64991.050429916395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13023</v>
      </c>
      <c r="C28" s="741"/>
      <c r="D28" s="628"/>
      <c r="E28" s="627"/>
      <c r="F28" s="627"/>
      <c r="G28" s="627"/>
      <c r="H28" s="627"/>
      <c r="I28" s="627"/>
      <c r="J28" s="740"/>
      <c r="K28" s="740"/>
      <c r="L28" s="627"/>
      <c r="M28" s="627">
        <v>45756</v>
      </c>
      <c r="N28" s="627">
        <v>258064.44446508962</v>
      </c>
      <c r="O28" s="627">
        <v>361933.88891784364</v>
      </c>
      <c r="P28" s="627">
        <v>551141.93893298041</v>
      </c>
      <c r="Q28" s="627">
        <v>65728.425005258279</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45756</v>
      </c>
      <c r="N29" s="588">
        <f>SUM(N28:N28)</f>
        <v>258064.44446508962</v>
      </c>
      <c r="O29" s="588">
        <f>SUM(O28:O28)</f>
        <v>361933.88891784364</v>
      </c>
      <c r="P29" s="588">
        <f>SUM(P28:P28)</f>
        <v>551141.93893298041</v>
      </c>
      <c r="Q29" s="588">
        <f>SUM(Q28:Q28)</f>
        <v>65728.425005258279</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45756</v>
      </c>
      <c r="N32" s="593">
        <f>SUMIF($AA$28:$AA$28,"landbouw",N28:N28)</f>
        <v>258064.44446508962</v>
      </c>
      <c r="O32" s="593">
        <f>SUMIF($AA$28:$AA$28,"landbouw",O28:O28)</f>
        <v>361933.88891784364</v>
      </c>
      <c r="P32" s="593">
        <f>SUMIF($AA$28:$AA$28,"landbouw",P28:P28)</f>
        <v>551141.93893298041</v>
      </c>
      <c r="Q32" s="593">
        <f>SUMIF($AA$28:$AA$28,"landbouw",Q28:Q28)</f>
        <v>65728.425005258279</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v>13023</v>
      </c>
      <c r="C35" s="741"/>
      <c r="D35" s="630"/>
      <c r="E35" s="630"/>
      <c r="F35" s="630"/>
      <c r="G35" s="630"/>
      <c r="H35" s="630"/>
      <c r="I35" s="630"/>
      <c r="J35" s="740"/>
      <c r="K35" s="740"/>
      <c r="L35" s="630"/>
      <c r="M35" s="630">
        <v>475</v>
      </c>
      <c r="N35" s="630">
        <v>6.5000000005200009E-2</v>
      </c>
      <c r="O35" s="630">
        <v>0</v>
      </c>
      <c r="P35" s="630">
        <v>0</v>
      </c>
      <c r="Q35" s="630">
        <v>0</v>
      </c>
      <c r="R35" s="630">
        <v>27.778000002222242</v>
      </c>
      <c r="S35" s="630">
        <v>0</v>
      </c>
      <c r="T35" s="630">
        <v>0</v>
      </c>
      <c r="U35" s="630">
        <v>0</v>
      </c>
      <c r="V35" s="630">
        <v>0</v>
      </c>
      <c r="W35" s="630">
        <v>0</v>
      </c>
      <c r="X35" s="630">
        <v>0</v>
      </c>
      <c r="Y35" s="630"/>
      <c r="Z35" s="630"/>
      <c r="AA35" s="631" t="s">
        <v>149</v>
      </c>
    </row>
    <row r="36" spans="1:28" s="564" customFormat="1" hidden="1">
      <c r="A36" s="586" t="s">
        <v>269</v>
      </c>
      <c r="B36" s="587"/>
      <c r="C36" s="587"/>
      <c r="D36" s="587"/>
      <c r="E36" s="587"/>
      <c r="F36" s="587"/>
      <c r="G36" s="587"/>
      <c r="H36" s="587"/>
      <c r="I36" s="587"/>
      <c r="J36" s="587"/>
      <c r="K36" s="587"/>
      <c r="L36" s="588"/>
      <c r="M36" s="588">
        <f>SUM(M35:M35)</f>
        <v>475</v>
      </c>
      <c r="N36" s="588">
        <f>SUM(N35:N35)</f>
        <v>6.5000000005200009E-2</v>
      </c>
      <c r="O36" s="588">
        <f>SUM(O35:O35)</f>
        <v>0</v>
      </c>
      <c r="P36" s="588">
        <f>SUM(P35:P35)</f>
        <v>0</v>
      </c>
      <c r="Q36" s="588">
        <f>SUM(Q35:Q35)</f>
        <v>0</v>
      </c>
      <c r="R36" s="588">
        <f>SUM(R35:R35)</f>
        <v>27.778000002222242</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475</v>
      </c>
      <c r="N38" s="588">
        <f>SUMIF($AA$35:$AA$36,"tertiair",N35:N36)</f>
        <v>6.5000000005200009E-2</v>
      </c>
      <c r="O38" s="588">
        <f>SUMIF($AA$35:$AA$36,"tertiair",O35:O36)</f>
        <v>0</v>
      </c>
      <c r="P38" s="588">
        <f>SUMIF($AA$35:$AA$36,"tertiair",P35:P36)</f>
        <v>0</v>
      </c>
      <c r="Q38" s="588">
        <f>SUMIF($AA$35:$AA$36,"tertiair",Q35:Q36)</f>
        <v>0</v>
      </c>
      <c r="R38" s="588">
        <f>SUMIF($AA$35:$AA$36,"tertiair",R35:R36)</f>
        <v>27.778000002222242</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0.58376590618075141</v>
      </c>
      <c r="C45" s="612">
        <f>IF(ISERROR(N29/(O29+N29)),0,N29/(N29+O29))</f>
        <v>0.41623409381924859</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229404.06551755275</v>
      </c>
      <c r="C48" s="621">
        <f>$C$45*Q29</f>
        <v>27358.411420230121</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321737.87341542769</v>
      </c>
      <c r="C49" s="623">
        <f>$B$45*Q29</f>
        <v>38370.013585028159</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1</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27.778000002222242</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2022-10-04T13:53:54Z</dcterms:modified>
</cp:coreProperties>
</file>