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01C7B6D6-2BDB-4ADA-B40B-9A968319164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18" l="1"/>
  <c r="X37" i="18"/>
  <c r="X38" i="18"/>
  <c r="X39" i="18"/>
  <c r="X40" i="18"/>
  <c r="X30" i="18"/>
  <c r="X33" i="18"/>
  <c r="E6" i="17" s="1"/>
  <c r="X32" i="18"/>
  <c r="E13" i="15" s="1"/>
  <c r="X31"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s="1"/>
  <c r="C25" i="14"/>
  <c r="B14" i="48"/>
  <c r="R25" i="14"/>
  <c r="B5" i="17"/>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0" i="18"/>
  <c r="V40" i="18"/>
  <c r="U40" i="18"/>
  <c r="T40" i="18"/>
  <c r="S40" i="18"/>
  <c r="R40" i="18"/>
  <c r="Q40" i="18"/>
  <c r="P40" i="18"/>
  <c r="O40" i="18"/>
  <c r="N40" i="18"/>
  <c r="M40" i="18"/>
  <c r="W39" i="18"/>
  <c r="V39" i="18"/>
  <c r="U39" i="18"/>
  <c r="T39" i="18"/>
  <c r="S39" i="18"/>
  <c r="R39" i="18"/>
  <c r="Q39" i="18"/>
  <c r="P39" i="18"/>
  <c r="O39" i="18"/>
  <c r="C13" i="15" s="1"/>
  <c r="C16" i="15" s="1"/>
  <c r="N39" i="18"/>
  <c r="M39" i="18"/>
  <c r="W38" i="18"/>
  <c r="V38" i="18"/>
  <c r="U38" i="18"/>
  <c r="T38" i="18"/>
  <c r="S38" i="18"/>
  <c r="R38" i="18"/>
  <c r="Q38" i="18"/>
  <c r="P38" i="18"/>
  <c r="O38" i="18"/>
  <c r="C16" i="16" s="1"/>
  <c r="N38" i="18"/>
  <c r="M38" i="18"/>
  <c r="W37" i="18"/>
  <c r="V37" i="18"/>
  <c r="U37" i="18"/>
  <c r="T37" i="18"/>
  <c r="S37" i="18"/>
  <c r="R37" i="18"/>
  <c r="Q37" i="18"/>
  <c r="P37" i="18"/>
  <c r="O37" i="18"/>
  <c r="B19" i="18" s="1"/>
  <c r="N37" i="18"/>
  <c r="M37" i="18"/>
  <c r="W33" i="18"/>
  <c r="V33" i="18"/>
  <c r="N6" i="17" s="1"/>
  <c r="N5" i="17" s="1"/>
  <c r="U33" i="18"/>
  <c r="T33" i="18"/>
  <c r="S33" i="18"/>
  <c r="F6" i="17" s="1"/>
  <c r="F8" i="17" s="1"/>
  <c r="R33" i="18"/>
  <c r="Q33" i="18"/>
  <c r="P33" i="18"/>
  <c r="D6" i="17" s="1"/>
  <c r="D8" i="17" s="1"/>
  <c r="D12" i="17" s="1"/>
  <c r="E54" i="14" s="1"/>
  <c r="O33" i="18"/>
  <c r="N33" i="18"/>
  <c r="M33" i="18"/>
  <c r="W32" i="18"/>
  <c r="V32" i="18"/>
  <c r="U32" i="18"/>
  <c r="T32" i="18"/>
  <c r="S32" i="18"/>
  <c r="R32" i="18"/>
  <c r="Q32" i="18"/>
  <c r="P32" i="18"/>
  <c r="O32" i="18"/>
  <c r="N32" i="18"/>
  <c r="B13" i="15" s="1"/>
  <c r="M32" i="18"/>
  <c r="W31" i="18"/>
  <c r="V31" i="18"/>
  <c r="U31" i="18"/>
  <c r="T31" i="18"/>
  <c r="S31" i="18"/>
  <c r="F16" i="16"/>
  <c r="R31" i="18"/>
  <c r="Q31" i="18"/>
  <c r="P31" i="18"/>
  <c r="D16" i="16"/>
  <c r="O31" i="18"/>
  <c r="N31" i="18"/>
  <c r="W30" i="18"/>
  <c r="V30" i="18"/>
  <c r="U30" i="18"/>
  <c r="T30" i="18"/>
  <c r="S30" i="18"/>
  <c r="R30" i="18"/>
  <c r="Q30" i="18"/>
  <c r="P30" i="18"/>
  <c r="O30" i="18"/>
  <c r="B17" i="18"/>
  <c r="B20" i="18" s="1"/>
  <c r="N30" i="18"/>
  <c r="B8" i="18"/>
  <c r="M30" i="18"/>
  <c r="K22" i="18"/>
  <c r="J22" i="18"/>
  <c r="I22" i="18"/>
  <c r="H22" i="18"/>
  <c r="G22" i="18"/>
  <c r="F22" i="18"/>
  <c r="E22" i="18"/>
  <c r="D22" i="18"/>
  <c r="C22" i="18"/>
  <c r="L19" i="18"/>
  <c r="O89" i="14"/>
  <c r="O19" i="59" s="1"/>
  <c r="K19" i="18"/>
  <c r="G19" i="18"/>
  <c r="H89" i="14"/>
  <c r="H19" i="59" s="1"/>
  <c r="F19" i="18"/>
  <c r="G89" i="14" s="1"/>
  <c r="G19" i="59" s="1"/>
  <c r="L18" i="18"/>
  <c r="O88" i="14"/>
  <c r="O18" i="59" s="1"/>
  <c r="K18" i="18"/>
  <c r="N88" i="14" s="1"/>
  <c r="N18" i="59" s="1"/>
  <c r="J18" i="18"/>
  <c r="J88" i="14"/>
  <c r="J18" i="59" s="1"/>
  <c r="I18" i="18"/>
  <c r="I88" i="14"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C36" i="16" s="1"/>
  <c r="J14" i="16" s="1"/>
  <c r="B35" i="16"/>
  <c r="B34" i="16"/>
  <c r="B12" i="16" s="1"/>
  <c r="B33" i="16"/>
  <c r="C33" i="16" s="1"/>
  <c r="B32" i="16"/>
  <c r="C32" i="16"/>
  <c r="J10" i="16" s="1"/>
  <c r="B31" i="16"/>
  <c r="B30" i="16"/>
  <c r="C30" i="16"/>
  <c r="B29" i="16"/>
  <c r="C29" i="16" s="1"/>
  <c r="N20" i="16"/>
  <c r="M20" i="16"/>
  <c r="M22" i="16"/>
  <c r="N43" i="14"/>
  <c r="L20" i="16"/>
  <c r="K20" i="16"/>
  <c r="J20" i="16"/>
  <c r="I20" i="16"/>
  <c r="H20" i="16"/>
  <c r="G20" i="16"/>
  <c r="F20" i="16"/>
  <c r="E20" i="16"/>
  <c r="D20" i="16"/>
  <c r="C5" i="16"/>
  <c r="B40" i="15"/>
  <c r="B32" i="15"/>
  <c r="C32" i="15"/>
  <c r="B31" i="15"/>
  <c r="C31" i="15" s="1"/>
  <c r="N11" i="15" s="1"/>
  <c r="B30" i="15"/>
  <c r="C30" i="15"/>
  <c r="E10" i="15" s="1"/>
  <c r="B29" i="15"/>
  <c r="B28" i="15"/>
  <c r="C28" i="15"/>
  <c r="B27" i="15"/>
  <c r="C2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B34" i="13"/>
  <c r="B32" i="13"/>
  <c r="C34" i="13"/>
  <c r="P5" i="13"/>
  <c r="P8" i="13" s="1"/>
  <c r="P4" i="48" s="1"/>
  <c r="J15" i="16"/>
  <c r="J30" i="48"/>
  <c r="J32" i="48"/>
  <c r="F30" i="48"/>
  <c r="F32" i="48"/>
  <c r="N30" i="48"/>
  <c r="N32" i="48"/>
  <c r="O20" i="59"/>
  <c r="K10" i="18"/>
  <c r="N77" i="14"/>
  <c r="L10" i="18"/>
  <c r="O77" i="14"/>
  <c r="H16" i="14"/>
  <c r="B8" i="9"/>
  <c r="B6" i="48" s="1"/>
  <c r="Q6" i="48" s="1"/>
  <c r="L16" i="16"/>
  <c r="L18" i="16" s="1"/>
  <c r="I14" i="15"/>
  <c r="I16" i="15"/>
  <c r="J10" i="14" s="1"/>
  <c r="J16" i="14" s="1"/>
  <c r="B13" i="16"/>
  <c r="C35" i="16"/>
  <c r="E9" i="14"/>
  <c r="D14" i="15"/>
  <c r="P18" i="16"/>
  <c r="P22" i="16"/>
  <c r="Q43" i="14" s="1"/>
  <c r="J8" i="17"/>
  <c r="N16" i="16"/>
  <c r="N13" i="15"/>
  <c r="F13" i="15"/>
  <c r="D13" i="15"/>
  <c r="B67" i="22"/>
  <c r="M11" i="22"/>
  <c r="G10" i="22"/>
  <c r="M9" i="22"/>
  <c r="M5" i="22" s="1"/>
  <c r="M14" i="22" s="1"/>
  <c r="G8" i="22"/>
  <c r="M7" i="22"/>
  <c r="G6" i="22"/>
  <c r="G11" i="22"/>
  <c r="M8" i="22"/>
  <c r="G7" i="22"/>
  <c r="M10" i="22"/>
  <c r="G9" i="22"/>
  <c r="G5" i="22" s="1"/>
  <c r="G14"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6" i="18"/>
  <c r="J49" i="18" s="1"/>
  <c r="D8" i="18" s="1"/>
  <c r="I49" i="18"/>
  <c r="H8" i="18" s="1"/>
  <c r="M76" i="14" s="1"/>
  <c r="M8" i="59" s="1"/>
  <c r="C18" i="16"/>
  <c r="C8" i="48" s="1"/>
  <c r="C12" i="14"/>
  <c r="R12" i="14"/>
  <c r="I11" i="48"/>
  <c r="I29" i="48"/>
  <c r="N11" i="48"/>
  <c r="N29" i="48"/>
  <c r="L10" i="14"/>
  <c r="L16" i="14" s="1"/>
  <c r="L27" i="14" s="1"/>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M20" i="15"/>
  <c r="N40" i="14" s="1"/>
  <c r="N46" i="14" s="1"/>
  <c r="N10" i="14"/>
  <c r="N16" i="14" s="1"/>
  <c r="G20" i="15"/>
  <c r="H40" i="14" s="1"/>
  <c r="H46" i="14"/>
  <c r="H20" i="15"/>
  <c r="I40" i="14" s="1"/>
  <c r="I46" i="14" s="1"/>
  <c r="I10" i="14"/>
  <c r="I16" i="14" s="1"/>
  <c r="B74" i="14"/>
  <c r="B6" i="59" s="1"/>
  <c r="F8" i="16"/>
  <c r="B73" i="14"/>
  <c r="B5" i="59" s="1"/>
  <c r="F6" i="15"/>
  <c r="N10" i="16"/>
  <c r="E14" i="16"/>
  <c r="B8" i="15"/>
  <c r="I20" i="15"/>
  <c r="J40" i="14"/>
  <c r="B10" i="15"/>
  <c r="B6" i="15"/>
  <c r="J10" i="15"/>
  <c r="D5" i="16"/>
  <c r="D18" i="16" s="1"/>
  <c r="F10" i="16"/>
  <c r="B15" i="16"/>
  <c r="F14" i="16"/>
  <c r="J6" i="15"/>
  <c r="F10" i="15"/>
  <c r="B12" i="15"/>
  <c r="B7" i="16"/>
  <c r="E10" i="16"/>
  <c r="N14" i="16"/>
  <c r="N6" i="15"/>
  <c r="N10" i="15"/>
  <c r="B8" i="16"/>
  <c r="J8" i="16"/>
  <c r="B10" i="16"/>
  <c r="E11" i="16"/>
  <c r="B14" i="16"/>
  <c r="E15" i="16"/>
  <c r="J7" i="16"/>
  <c r="F7" i="16"/>
  <c r="N15" i="16"/>
  <c r="Q13" i="14"/>
  <c r="E11" i="48"/>
  <c r="E29" i="48"/>
  <c r="F9" i="14"/>
  <c r="D9" i="14"/>
  <c r="E19" i="19"/>
  <c r="F39" i="14"/>
  <c r="C11" i="48"/>
  <c r="D19" i="19"/>
  <c r="E39" i="14"/>
  <c r="C9" i="14"/>
  <c r="B11" i="48"/>
  <c r="E14" i="22"/>
  <c r="F20" i="14" s="1"/>
  <c r="F22" i="14" s="1"/>
  <c r="D5" i="22"/>
  <c r="D14" i="22" s="1"/>
  <c r="B14" i="22"/>
  <c r="B9" i="48" s="1"/>
  <c r="P11" i="48"/>
  <c r="P29" i="48"/>
  <c r="H5" i="48"/>
  <c r="O11" i="48"/>
  <c r="P9" i="14"/>
  <c r="M5" i="48"/>
  <c r="G29" i="48"/>
  <c r="C11" i="14"/>
  <c r="B4" i="48"/>
  <c r="E30" i="48"/>
  <c r="I31" i="48"/>
  <c r="I27" i="48"/>
  <c r="I30" i="48"/>
  <c r="K27" i="48"/>
  <c r="O30" i="48"/>
  <c r="K22" i="48"/>
  <c r="G22" i="48"/>
  <c r="M17" i="48"/>
  <c r="K30" i="48"/>
  <c r="F5" i="13"/>
  <c r="F8" i="13" s="1"/>
  <c r="I22" i="48"/>
  <c r="G30" i="48"/>
  <c r="H25" i="48"/>
  <c r="L17" i="48"/>
  <c r="L32" i="48"/>
  <c r="H22" i="48"/>
  <c r="K25" i="48"/>
  <c r="K26" i="48"/>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E8" i="17" s="1"/>
  <c r="C8" i="17"/>
  <c r="G25" i="48"/>
  <c r="I25" i="48"/>
  <c r="G90" i="14"/>
  <c r="D88" i="14"/>
  <c r="D18" i="59" s="1"/>
  <c r="H88" i="14"/>
  <c r="F88" i="14"/>
  <c r="F18" i="59" s="1"/>
  <c r="L20" i="18"/>
  <c r="G77" i="14"/>
  <c r="O90" i="14"/>
  <c r="F20" i="18"/>
  <c r="D11" i="14"/>
  <c r="C4" i="48"/>
  <c r="G51" i="22"/>
  <c r="G50" i="22" s="1"/>
  <c r="G54" i="22" s="1"/>
  <c r="M51" i="22"/>
  <c r="M50" i="22" s="1"/>
  <c r="M54" i="22"/>
  <c r="M58" i="22" s="1"/>
  <c r="N49" i="14" s="1"/>
  <c r="I5" i="48"/>
  <c r="K33" i="48"/>
  <c r="J27" i="14"/>
  <c r="M24" i="48"/>
  <c r="M32" i="48"/>
  <c r="K15" i="48"/>
  <c r="H78" i="14"/>
  <c r="H9" i="59"/>
  <c r="H10" i="59"/>
  <c r="G78" i="14"/>
  <c r="G9" i="59"/>
  <c r="H90" i="14"/>
  <c r="H18" i="59"/>
  <c r="O78" i="14"/>
  <c r="O9" i="59"/>
  <c r="O10" i="59"/>
  <c r="D10" i="14"/>
  <c r="J46" i="14"/>
  <c r="J61" i="14" s="1"/>
  <c r="J63" i="14" s="1"/>
  <c r="L46" i="14"/>
  <c r="L61" i="14" s="1"/>
  <c r="L63" i="14" s="1"/>
  <c r="P8" i="48"/>
  <c r="P26" i="48" s="1"/>
  <c r="G31" i="20"/>
  <c r="H48" i="14"/>
  <c r="G12" i="22"/>
  <c r="D16" i="15"/>
  <c r="D5" i="48" s="1"/>
  <c r="K24" i="14"/>
  <c r="K26" i="14" s="1"/>
  <c r="F24" i="14"/>
  <c r="F26" i="14" s="1"/>
  <c r="O18" i="16"/>
  <c r="O22" i="16"/>
  <c r="P43" i="14"/>
  <c r="N5" i="13"/>
  <c r="N8" i="13" s="1"/>
  <c r="H13" i="48"/>
  <c r="H31" i="48"/>
  <c r="H12" i="22"/>
  <c r="E5" i="13"/>
  <c r="E8" i="13" s="1"/>
  <c r="N8" i="17"/>
  <c r="N12" i="17" s="1"/>
  <c r="O54" i="14" s="1"/>
  <c r="O56" i="14" s="1"/>
  <c r="E24" i="14"/>
  <c r="E26" i="14" s="1"/>
  <c r="E49" i="18"/>
  <c r="E8" i="18"/>
  <c r="F76" i="14"/>
  <c r="F8" i="59" s="1"/>
  <c r="D49" i="18"/>
  <c r="M29" i="48"/>
  <c r="C50" i="18"/>
  <c r="C49" i="18"/>
  <c r="E50" i="18"/>
  <c r="E17" i="18" s="1"/>
  <c r="F87" i="14" s="1"/>
  <c r="F17" i="59" s="1"/>
  <c r="G50" i="18"/>
  <c r="I17" i="18" s="1"/>
  <c r="D7" i="48"/>
  <c r="D25" i="48" s="1"/>
  <c r="G49" i="18"/>
  <c r="I8" i="18" s="1"/>
  <c r="D50" i="18"/>
  <c r="L28" i="48"/>
  <c r="I50" i="18"/>
  <c r="H17" i="18"/>
  <c r="M87" i="14" s="1"/>
  <c r="M17" i="59" s="1"/>
  <c r="F50" i="18"/>
  <c r="F49" i="18"/>
  <c r="B49" i="18"/>
  <c r="L31" i="48"/>
  <c r="L24" i="48"/>
  <c r="L22" i="48"/>
  <c r="M23" i="48"/>
  <c r="M22" i="48"/>
  <c r="I18" i="14"/>
  <c r="Q88" i="14"/>
  <c r="P18" i="59" s="1"/>
  <c r="L30" i="48"/>
  <c r="C7" i="48"/>
  <c r="D24" i="14"/>
  <c r="D26" i="14" s="1"/>
  <c r="L29" i="48"/>
  <c r="M31" i="20"/>
  <c r="N48" i="14"/>
  <c r="N18" i="14"/>
  <c r="M13" i="48"/>
  <c r="M31" i="48"/>
  <c r="H31" i="20"/>
  <c r="I48" i="14"/>
  <c r="G13" i="48"/>
  <c r="G31" i="48"/>
  <c r="H18" i="14"/>
  <c r="H5" i="22"/>
  <c r="H14" i="22" s="1"/>
  <c r="P10" i="14"/>
  <c r="P16" i="14" s="1"/>
  <c r="F13" i="16"/>
  <c r="E13" i="16"/>
  <c r="N13" i="16"/>
  <c r="J13" i="16"/>
  <c r="Q11" i="48"/>
  <c r="R9" i="14"/>
  <c r="O29" i="48"/>
  <c r="H23" i="48"/>
  <c r="L27" i="48"/>
  <c r="M30" i="48"/>
  <c r="M26" i="48"/>
  <c r="M25" i="48"/>
  <c r="C5" i="48"/>
  <c r="I23" i="48"/>
  <c r="I33" i="48" s="1"/>
  <c r="I15" i="48"/>
  <c r="O8" i="48"/>
  <c r="O26" i="48" s="1"/>
  <c r="P13" i="14"/>
  <c r="P27" i="14"/>
  <c r="E12" i="17"/>
  <c r="F54" i="14" s="1"/>
  <c r="F56" i="14" s="1"/>
  <c r="E7" i="48"/>
  <c r="E25" i="48" s="1"/>
  <c r="C15" i="48"/>
  <c r="C8" i="18"/>
  <c r="D76" i="14"/>
  <c r="D8" i="59" s="1"/>
  <c r="D20" i="15"/>
  <c r="E9" i="48"/>
  <c r="E27" i="48" s="1"/>
  <c r="E10" i="14"/>
  <c r="R18" i="14"/>
  <c r="Q13" i="48"/>
  <c r="M9" i="48"/>
  <c r="O11" i="14"/>
  <c r="E40" i="14"/>
  <c r="D23" i="48"/>
  <c r="E56" i="14"/>
  <c r="H19" i="14" l="1"/>
  <c r="G58" i="22"/>
  <c r="H49" i="14" s="1"/>
  <c r="G10" i="48"/>
  <c r="G28" i="48" s="1"/>
  <c r="I87" i="14"/>
  <c r="G9" i="48"/>
  <c r="G18" i="22"/>
  <c r="H50" i="14" s="1"/>
  <c r="H20" i="14"/>
  <c r="I20" i="14"/>
  <c r="I22" i="14" s="1"/>
  <c r="I27" i="14" s="1"/>
  <c r="H18" i="22"/>
  <c r="I50" i="14" s="1"/>
  <c r="I52" i="14" s="1"/>
  <c r="I61" i="14" s="1"/>
  <c r="I63" i="14" s="1"/>
  <c r="H9" i="48"/>
  <c r="E12" i="13"/>
  <c r="F41" i="14" s="1"/>
  <c r="E4" i="48"/>
  <c r="F11" i="14"/>
  <c r="O8" i="18"/>
  <c r="I76" i="14"/>
  <c r="G11" i="14"/>
  <c r="F4" i="48"/>
  <c r="F12" i="13"/>
  <c r="G41" i="14" s="1"/>
  <c r="L8" i="48"/>
  <c r="L26" i="48" s="1"/>
  <c r="M13" i="14"/>
  <c r="L22" i="16"/>
  <c r="M43" i="14" s="1"/>
  <c r="P15" i="48"/>
  <c r="C35" i="13"/>
  <c r="J5" i="13"/>
  <c r="J8" i="13" s="1"/>
  <c r="N12" i="15"/>
  <c r="E12" i="15"/>
  <c r="F12" i="15"/>
  <c r="J12" i="15"/>
  <c r="C31" i="16"/>
  <c r="B9" i="16"/>
  <c r="B5" i="16" s="1"/>
  <c r="B18" i="16" s="1"/>
  <c r="K18" i="59"/>
  <c r="K90" i="14"/>
  <c r="M27" i="48"/>
  <c r="C20" i="14"/>
  <c r="R20" i="14" s="1"/>
  <c r="N19" i="14"/>
  <c r="N7" i="48"/>
  <c r="N25" i="48" s="1"/>
  <c r="C34" i="16"/>
  <c r="N78" i="14"/>
  <c r="N9" i="59"/>
  <c r="N10" i="59" s="1"/>
  <c r="J7" i="15"/>
  <c r="E7" i="15"/>
  <c r="F7" i="15"/>
  <c r="N7" i="15"/>
  <c r="E7" i="16"/>
  <c r="N7" i="16"/>
  <c r="G20" i="59"/>
  <c r="G24" i="14"/>
  <c r="G26" i="14" s="1"/>
  <c r="F7" i="48"/>
  <c r="F25" i="48" s="1"/>
  <c r="F12" i="17"/>
  <c r="G54" i="14" s="1"/>
  <c r="G56" i="14" s="1"/>
  <c r="C19" i="14"/>
  <c r="B10" i="48"/>
  <c r="E18" i="22"/>
  <c r="F50" i="14" s="1"/>
  <c r="F52" i="14" s="1"/>
  <c r="D13" i="14"/>
  <c r="D16" i="14" s="1"/>
  <c r="D27" i="14" s="1"/>
  <c r="B20" i="6" s="1"/>
  <c r="C88" i="14"/>
  <c r="C18" i="59" s="1"/>
  <c r="P22" i="48"/>
  <c r="M10" i="48"/>
  <c r="M28" i="48" s="1"/>
  <c r="P12" i="13"/>
  <c r="Q41" i="14" s="1"/>
  <c r="D8" i="48"/>
  <c r="D22" i="16"/>
  <c r="E43" i="14" s="1"/>
  <c r="E46" i="14" s="1"/>
  <c r="E61" i="14" s="1"/>
  <c r="E13" i="14"/>
  <c r="E16" i="14" s="1"/>
  <c r="B5" i="15"/>
  <c r="B16" i="15" s="1"/>
  <c r="P20" i="15"/>
  <c r="Q40" i="14" s="1"/>
  <c r="Q10" i="14"/>
  <c r="P5" i="48"/>
  <c r="P23" i="48" s="1"/>
  <c r="N8" i="15"/>
  <c r="E8" i="15"/>
  <c r="F8" i="15"/>
  <c r="J8" i="15"/>
  <c r="I18" i="59"/>
  <c r="B88" i="14"/>
  <c r="B18" i="59" s="1"/>
  <c r="O18" i="18"/>
  <c r="H49" i="18"/>
  <c r="J8" i="18" s="1"/>
  <c r="H50" i="18"/>
  <c r="J17" i="18" s="1"/>
  <c r="O24" i="14"/>
  <c r="O26" i="14" s="1"/>
  <c r="N12" i="13"/>
  <c r="O41" i="14" s="1"/>
  <c r="N4" i="48"/>
  <c r="Q11" i="14"/>
  <c r="D18" i="22"/>
  <c r="E50" i="14" s="1"/>
  <c r="E52" i="14" s="1"/>
  <c r="E20" i="14"/>
  <c r="E22" i="14" s="1"/>
  <c r="D9" i="48"/>
  <c r="E76" i="14"/>
  <c r="M18" i="22"/>
  <c r="N50" i="14" s="1"/>
  <c r="N52" i="14" s="1"/>
  <c r="N61" i="14" s="1"/>
  <c r="N20" i="14"/>
  <c r="J12" i="17"/>
  <c r="K54" i="14" s="1"/>
  <c r="K56" i="14" s="1"/>
  <c r="J7" i="48"/>
  <c r="J25" i="48" s="1"/>
  <c r="J11" i="16"/>
  <c r="F11" i="16"/>
  <c r="N11" i="16"/>
  <c r="O5" i="48"/>
  <c r="O23" i="48" s="1"/>
  <c r="O20" i="15"/>
  <c r="P40" i="14" s="1"/>
  <c r="P46" i="14" s="1"/>
  <c r="P61" i="14" s="1"/>
  <c r="P63" i="14" s="1"/>
  <c r="O4" i="48"/>
  <c r="E11" i="15"/>
  <c r="N8" i="16"/>
  <c r="E8" i="16"/>
  <c r="B7" i="48"/>
  <c r="C24" i="14"/>
  <c r="N89" i="14"/>
  <c r="K20" i="18"/>
  <c r="L6" i="17"/>
  <c r="L5" i="17" s="1"/>
  <c r="L8" i="17" s="1"/>
  <c r="K8" i="59"/>
  <c r="K10" i="59" s="1"/>
  <c r="K78" i="14"/>
  <c r="L18" i="59"/>
  <c r="L90" i="14"/>
  <c r="H20" i="59"/>
  <c r="C29" i="15"/>
  <c r="B9" i="15"/>
  <c r="L13" i="15"/>
  <c r="L16" i="15" s="1"/>
  <c r="C55" i="18"/>
  <c r="B9" i="18"/>
  <c r="K20" i="59"/>
  <c r="L20" i="59"/>
  <c r="J50" i="18"/>
  <c r="D17" i="18" s="1"/>
  <c r="B50" i="18"/>
  <c r="C17" i="18" s="1"/>
  <c r="B33" i="13"/>
  <c r="B55" i="18"/>
  <c r="D14" i="48"/>
  <c r="D59" i="18" l="1"/>
  <c r="G59" i="18"/>
  <c r="I19" i="18" s="1"/>
  <c r="I59" i="18"/>
  <c r="H19" i="18" s="1"/>
  <c r="B59" i="18"/>
  <c r="C19" i="18" s="1"/>
  <c r="E59" i="18"/>
  <c r="E19" i="18" s="1"/>
  <c r="H59" i="18"/>
  <c r="J19" i="18" s="1"/>
  <c r="J89" i="14" s="1"/>
  <c r="J19" i="59" s="1"/>
  <c r="J59" i="18"/>
  <c r="D19" i="18" s="1"/>
  <c r="E89" i="14" s="1"/>
  <c r="E19" i="59" s="1"/>
  <c r="C59" i="18"/>
  <c r="F59" i="18"/>
  <c r="M10" i="14"/>
  <c r="M16" i="14" s="1"/>
  <c r="M27" i="14" s="1"/>
  <c r="L20" i="15"/>
  <c r="M40" i="14" s="1"/>
  <c r="M46" i="14" s="1"/>
  <c r="L5" i="48"/>
  <c r="L7" i="48"/>
  <c r="L25" i="48" s="1"/>
  <c r="L12" i="17"/>
  <c r="M54" i="14" s="1"/>
  <c r="M56" i="14" s="1"/>
  <c r="M24" i="14"/>
  <c r="M26" i="14" s="1"/>
  <c r="Q7" i="48"/>
  <c r="O22" i="48"/>
  <c r="O33" i="48" s="1"/>
  <c r="O15" i="48"/>
  <c r="E8" i="59"/>
  <c r="J20" i="18"/>
  <c r="J87" i="14"/>
  <c r="B5" i="48"/>
  <c r="C10" i="14"/>
  <c r="D26" i="48"/>
  <c r="D15" i="48"/>
  <c r="F5" i="15"/>
  <c r="F16" i="15" s="1"/>
  <c r="F9" i="16"/>
  <c r="J9" i="16"/>
  <c r="N9" i="16"/>
  <c r="E9" i="16"/>
  <c r="G27" i="48"/>
  <c r="G33" i="48" s="1"/>
  <c r="G15" i="48"/>
  <c r="D27" i="48"/>
  <c r="Q9" i="48"/>
  <c r="N22" i="48"/>
  <c r="J76" i="14"/>
  <c r="C76" i="14" s="1"/>
  <c r="N5" i="16"/>
  <c r="N18" i="16" s="1"/>
  <c r="J12" i="16"/>
  <c r="F12" i="16"/>
  <c r="N12" i="16"/>
  <c r="E12" i="16"/>
  <c r="Q76" i="14"/>
  <c r="E22" i="48"/>
  <c r="H15" i="48"/>
  <c r="H27" i="48"/>
  <c r="H33" i="48" s="1"/>
  <c r="H52" i="14"/>
  <c r="H61" i="14" s="1"/>
  <c r="D87" i="14"/>
  <c r="O17" i="18"/>
  <c r="C20" i="18"/>
  <c r="B10" i="18"/>
  <c r="J9" i="15"/>
  <c r="N9" i="15"/>
  <c r="N5" i="15" s="1"/>
  <c r="N16" i="15" s="1"/>
  <c r="F9" i="15"/>
  <c r="E9" i="15"/>
  <c r="E5" i="15" s="1"/>
  <c r="E16" i="15" s="1"/>
  <c r="N19" i="59"/>
  <c r="N20" i="59" s="1"/>
  <c r="N90" i="14"/>
  <c r="E27" i="14"/>
  <c r="E63" i="14" s="1"/>
  <c r="Q16" i="14"/>
  <c r="Q27" i="14" s="1"/>
  <c r="Q10" i="48"/>
  <c r="E5" i="16"/>
  <c r="E18" i="16" s="1"/>
  <c r="J5" i="15"/>
  <c r="J16" i="15" s="1"/>
  <c r="M33" i="48"/>
  <c r="K11" i="14"/>
  <c r="R11" i="14" s="1"/>
  <c r="J4" i="48"/>
  <c r="J12" i="13"/>
  <c r="K41" i="14" s="1"/>
  <c r="I8" i="59"/>
  <c r="B76" i="14"/>
  <c r="I17" i="59"/>
  <c r="H22" i="14"/>
  <c r="H27" i="14" s="1"/>
  <c r="Q14" i="48"/>
  <c r="D32" i="48"/>
  <c r="E87" i="14"/>
  <c r="D20" i="18"/>
  <c r="D58" i="18"/>
  <c r="H58" i="18"/>
  <c r="E58" i="18"/>
  <c r="E9" i="18" s="1"/>
  <c r="I58" i="18"/>
  <c r="H9" i="18" s="1"/>
  <c r="F58" i="18"/>
  <c r="J58" i="18"/>
  <c r="D9" i="18" s="1"/>
  <c r="B58" i="18"/>
  <c r="C9" i="18" s="1"/>
  <c r="C58" i="18"/>
  <c r="G58" i="18"/>
  <c r="I9" i="18" s="1"/>
  <c r="C26" i="14"/>
  <c r="R24" i="14"/>
  <c r="R26" i="14" s="1"/>
  <c r="Q46" i="14"/>
  <c r="Q61" i="14" s="1"/>
  <c r="Q63" i="14" s="1"/>
  <c r="P33" i="48"/>
  <c r="C22" i="14"/>
  <c r="R19" i="14"/>
  <c r="R22" i="14" s="1"/>
  <c r="N22" i="14"/>
  <c r="N27" i="14" s="1"/>
  <c r="N63" i="14" s="1"/>
  <c r="C13" i="14"/>
  <c r="B8" i="48"/>
  <c r="F22" i="48"/>
  <c r="M15" i="48"/>
  <c r="N20" i="15" l="1"/>
  <c r="O40" i="14" s="1"/>
  <c r="N5" i="48"/>
  <c r="O10" i="14"/>
  <c r="C8" i="59"/>
  <c r="F13" i="14"/>
  <c r="E8" i="48"/>
  <c r="E26" i="48" s="1"/>
  <c r="E22" i="16"/>
  <c r="F43" i="14" s="1"/>
  <c r="I89" i="14"/>
  <c r="I20" i="18"/>
  <c r="D77" i="14"/>
  <c r="C10" i="18"/>
  <c r="O9" i="18"/>
  <c r="O10" i="18" s="1"/>
  <c r="F77" i="14"/>
  <c r="E10" i="18"/>
  <c r="E90" i="14"/>
  <c r="E17" i="59"/>
  <c r="E20" i="59" s="1"/>
  <c r="B87" i="14"/>
  <c r="Q87" i="14"/>
  <c r="D90" i="14"/>
  <c r="C87" i="14"/>
  <c r="D17" i="59"/>
  <c r="C16" i="14"/>
  <c r="R10" i="14"/>
  <c r="F89" i="14"/>
  <c r="E20" i="18"/>
  <c r="M77" i="14"/>
  <c r="H10" i="18"/>
  <c r="B8" i="59"/>
  <c r="E5" i="48"/>
  <c r="E20" i="15"/>
  <c r="F40" i="14" s="1"/>
  <c r="F46" i="14" s="1"/>
  <c r="F61" i="14" s="1"/>
  <c r="F63" i="14" s="1"/>
  <c r="F10" i="14"/>
  <c r="F16" i="14" s="1"/>
  <c r="F27" i="14" s="1"/>
  <c r="F20" i="15"/>
  <c r="G40" i="14" s="1"/>
  <c r="G10" i="14"/>
  <c r="F5" i="48"/>
  <c r="C27" i="14"/>
  <c r="B3" i="6" s="1"/>
  <c r="E77" i="14"/>
  <c r="D10" i="18"/>
  <c r="J9" i="18"/>
  <c r="H63" i="14"/>
  <c r="J5" i="16"/>
  <c r="J18" i="16" s="1"/>
  <c r="B15" i="48"/>
  <c r="L15" i="48"/>
  <c r="L23" i="48"/>
  <c r="L33" i="48" s="1"/>
  <c r="D89" i="14"/>
  <c r="O19" i="18"/>
  <c r="J22" i="48"/>
  <c r="Q4" i="48"/>
  <c r="O20" i="18"/>
  <c r="N22" i="16"/>
  <c r="O43" i="14" s="1"/>
  <c r="N8" i="48"/>
  <c r="N26" i="48" s="1"/>
  <c r="O13" i="14"/>
  <c r="I77" i="14"/>
  <c r="I10" i="18"/>
  <c r="K10" i="14"/>
  <c r="J20" i="15"/>
  <c r="K40" i="14" s="1"/>
  <c r="J5" i="48"/>
  <c r="J23" i="48" s="1"/>
  <c r="P8" i="59"/>
  <c r="J8" i="59"/>
  <c r="F5" i="16"/>
  <c r="F18" i="16" s="1"/>
  <c r="D33" i="48"/>
  <c r="J90" i="14"/>
  <c r="J17" i="59"/>
  <c r="J20" i="59" s="1"/>
  <c r="M61" i="14"/>
  <c r="M63" i="14" s="1"/>
  <c r="M89" i="14"/>
  <c r="H20" i="18"/>
  <c r="F23" i="48" l="1"/>
  <c r="I9" i="59"/>
  <c r="I10" i="59" s="1"/>
  <c r="I78" i="14"/>
  <c r="G16" i="14"/>
  <c r="G27" i="14" s="1"/>
  <c r="E23" i="48"/>
  <c r="E33" i="48" s="1"/>
  <c r="E15" i="48"/>
  <c r="M9" i="59"/>
  <c r="M10" i="59" s="1"/>
  <c r="M78" i="14"/>
  <c r="P17" i="59"/>
  <c r="I19" i="59"/>
  <c r="I20" i="59" s="1"/>
  <c r="B89" i="14"/>
  <c r="B19" i="59" s="1"/>
  <c r="I90" i="14"/>
  <c r="O16" i="14"/>
  <c r="O27" i="14" s="1"/>
  <c r="G13" i="14"/>
  <c r="F8" i="48"/>
  <c r="F26" i="48" s="1"/>
  <c r="F22" i="16"/>
  <c r="G43" i="14" s="1"/>
  <c r="E9" i="59"/>
  <c r="E10" i="59" s="1"/>
  <c r="E78" i="14"/>
  <c r="K13" i="14"/>
  <c r="J8" i="48"/>
  <c r="J22" i="16"/>
  <c r="K43" i="14" s="1"/>
  <c r="J77" i="14"/>
  <c r="J10" i="18"/>
  <c r="G46" i="14"/>
  <c r="G61" i="14" s="1"/>
  <c r="G63" i="14" s="1"/>
  <c r="D9" i="59"/>
  <c r="D10" i="59" s="1"/>
  <c r="Q77" i="14"/>
  <c r="D78" i="14"/>
  <c r="N23" i="48"/>
  <c r="N33" i="48" s="1"/>
  <c r="N15" i="48"/>
  <c r="K46" i="14"/>
  <c r="K61" i="14" s="1"/>
  <c r="K63" i="14" s="1"/>
  <c r="M19" i="59"/>
  <c r="M20" i="59" s="1"/>
  <c r="M90" i="14"/>
  <c r="K16" i="14"/>
  <c r="K27" i="14" s="1"/>
  <c r="D19" i="59"/>
  <c r="D20" i="59" s="1"/>
  <c r="Q89" i="14"/>
  <c r="P19" i="59" s="1"/>
  <c r="C89" i="14"/>
  <c r="C19" i="59" s="1"/>
  <c r="Q5" i="48"/>
  <c r="F90" i="14"/>
  <c r="F19" i="59"/>
  <c r="F20" i="59" s="1"/>
  <c r="C17" i="59"/>
  <c r="B17" i="59"/>
  <c r="B90" i="14"/>
  <c r="F9" i="59"/>
  <c r="F10" i="59" s="1"/>
  <c r="F78" i="14"/>
  <c r="O46" i="14"/>
  <c r="O61" i="14" s="1"/>
  <c r="O63" i="14" s="1"/>
  <c r="P9" i="59" l="1"/>
  <c r="P10" i="59" s="1"/>
  <c r="Q78" i="14"/>
  <c r="B9" i="6" s="1"/>
  <c r="R13" i="14"/>
  <c r="R16" i="14" s="1"/>
  <c r="R27" i="14" s="1"/>
  <c r="F15" i="48"/>
  <c r="J9" i="59"/>
  <c r="J10" i="59" s="1"/>
  <c r="J78" i="14"/>
  <c r="Q90" i="14"/>
  <c r="B17" i="6" s="1"/>
  <c r="B22" i="6" s="1"/>
  <c r="F33" i="48"/>
  <c r="J26" i="48"/>
  <c r="J33" i="48" s="1"/>
  <c r="J15" i="48"/>
  <c r="B20" i="59"/>
  <c r="C20" i="59"/>
  <c r="C90" i="14"/>
  <c r="Q8" i="48"/>
  <c r="Q15" i="48" s="1"/>
  <c r="C77" i="14"/>
  <c r="P20" i="59"/>
  <c r="B77" i="14"/>
  <c r="C9" i="59" l="1"/>
  <c r="C10" i="59" s="1"/>
  <c r="C78" i="14"/>
  <c r="C29" i="20"/>
  <c r="C16" i="22"/>
  <c r="C10" i="17"/>
  <c r="C12" i="17" s="1"/>
  <c r="D54" i="14" s="1"/>
  <c r="D56" i="14" s="1"/>
  <c r="C17" i="49"/>
  <c r="C17" i="19"/>
  <c r="C19" i="19" s="1"/>
  <c r="D39" i="14" s="1"/>
  <c r="C56" i="22"/>
  <c r="C58" i="22" s="1"/>
  <c r="D49" i="14" s="1"/>
  <c r="D52" i="14" s="1"/>
  <c r="C20" i="16"/>
  <c r="C22" i="16" s="1"/>
  <c r="D43" i="14" s="1"/>
  <c r="C22" i="59"/>
  <c r="C10" i="13"/>
  <c r="C18" i="15"/>
  <c r="C20" i="15" s="1"/>
  <c r="D40" i="14" s="1"/>
  <c r="B9" i="59"/>
  <c r="B10" i="59" s="1"/>
  <c r="B78" i="14"/>
  <c r="B4" i="6" s="1"/>
  <c r="B12" i="6" s="1"/>
  <c r="C17" i="48" l="1"/>
  <c r="C12" i="13"/>
  <c r="D41" i="14" s="1"/>
  <c r="D46" i="14" s="1"/>
  <c r="D61" i="14" s="1"/>
  <c r="D63" i="14" s="1"/>
  <c r="B10" i="17"/>
  <c r="B12" i="17" s="1"/>
  <c r="C54" i="14" s="1"/>
  <c r="B17" i="19"/>
  <c r="B19" i="19" s="1"/>
  <c r="C39" i="14" s="1"/>
  <c r="B17" i="49"/>
  <c r="B19" i="49" s="1"/>
  <c r="C42" i="14" s="1"/>
  <c r="R42" i="14" s="1"/>
  <c r="B16" i="22"/>
  <c r="B18" i="22" s="1"/>
  <c r="C50" i="14" s="1"/>
  <c r="R50" i="14" s="1"/>
  <c r="B29" i="20"/>
  <c r="B31" i="20" s="1"/>
  <c r="C48" i="14" s="1"/>
  <c r="B18" i="15"/>
  <c r="B20" i="15" s="1"/>
  <c r="B56" i="22"/>
  <c r="B58" i="22" s="1"/>
  <c r="C49" i="14" s="1"/>
  <c r="R49" i="14" s="1"/>
  <c r="B20" i="16"/>
  <c r="B22" i="16" s="1"/>
  <c r="C43" i="14" s="1"/>
  <c r="R43" i="14" s="1"/>
  <c r="B10" i="13"/>
  <c r="C55" i="14"/>
  <c r="R55" i="14" s="1"/>
  <c r="C12" i="59"/>
  <c r="B10" i="9"/>
  <c r="B12" i="9" s="1"/>
  <c r="C56" i="14" l="1"/>
  <c r="R54" i="14"/>
  <c r="R56" i="14" s="1"/>
  <c r="B17" i="48"/>
  <c r="B12" i="13"/>
  <c r="C41" i="14" s="1"/>
  <c r="R41" i="14" s="1"/>
  <c r="R48" i="14"/>
  <c r="R52" i="14" s="1"/>
  <c r="C52" i="14"/>
  <c r="C40" i="14"/>
  <c r="R40" i="14" s="1"/>
  <c r="C46" i="14"/>
  <c r="C61" i="14" s="1"/>
  <c r="C63" i="14" s="1"/>
  <c r="R39" i="14"/>
  <c r="C27" i="48"/>
  <c r="C31" i="48"/>
  <c r="C24" i="48"/>
  <c r="C29" i="48"/>
  <c r="C32" i="48"/>
  <c r="C25" i="48"/>
  <c r="C23" i="48"/>
  <c r="C28" i="48"/>
  <c r="C22" i="48"/>
  <c r="C30" i="48"/>
  <c r="C26" i="48"/>
  <c r="B29" i="48" l="1"/>
  <c r="Q29" i="48" s="1"/>
  <c r="B22" i="48"/>
  <c r="B27" i="48"/>
  <c r="Q27" i="48" s="1"/>
  <c r="B32" i="48"/>
  <c r="Q32" i="48" s="1"/>
  <c r="B31" i="48"/>
  <c r="Q31" i="48" s="1"/>
  <c r="B24" i="48"/>
  <c r="Q24" i="48" s="1"/>
  <c r="B30" i="48"/>
  <c r="Q30" i="48" s="1"/>
  <c r="B25" i="48"/>
  <c r="Q25" i="48" s="1"/>
  <c r="B28" i="48"/>
  <c r="Q28" i="48" s="1"/>
  <c r="B26" i="48"/>
  <c r="Q26" i="48" s="1"/>
  <c r="B23" i="48"/>
  <c r="Q23" i="48" s="1"/>
  <c r="C33" i="48"/>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<sst xmlns="http://schemas.openxmlformats.org/spreadsheetml/2006/main" count="2342" uniqueCount="831">
  <si>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</si>
  <si>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</si>
  <si>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</si>
  <si>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</si>
  <si>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</si>
  <si>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</si>
  <si>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</si>
  <si>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</si>
  <si>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</si>
  <si>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</si>
  <si>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</si>
  <si>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</si>
  <si>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</si>
  <si>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</si>
  <si>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</si>
  <si>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</si>
  <si>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</si>
  <si>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</si>
  <si>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</si>
  <si>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</si>
  <si>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</si>
  <si>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</si>
  <si>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</si>
  <si>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</si>
  <si>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</si>
  <si>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</si>
  <si>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</si>
  <si>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</si>
  <si>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</si>
  <si>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</si>
  <si>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</si>
  <si>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</si>
  <si>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</si>
  <si>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</si>
  <si>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</si>
  <si>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</si>
  <si>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</si>
  <si>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</si>
  <si>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</si>
  <si>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</si>
  <si>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</si>
  <si>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</si>
  <si>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</si>
  <si>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</si>
  <si>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</si>
  <si>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</si>
  <si>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</si>
  <si>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</si>
  <si>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</si>
  <si>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</si>
  <si>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</si>
  <si>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</si>
  <si>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</si>
  <si>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</si>
  <si>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</si>
  <si>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</si>
  <si>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</si>
  <si>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</si>
  <si>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</si>
  <si>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</si>
  <si>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</si>
  <si>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</si>
  <si>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</si>
  <si>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</si>
  <si>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</si>
  <si>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</si>
  <si>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</si>
  <si>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</si>
  <si>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</si>
  <si>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</si>
  <si>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</si>
  <si>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</si>
  <si>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</si>
  <si>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</si>
  <si>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</si>
  <si>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</si>
  <si>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</si>
  <si>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</si>
  <si>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</si>
  <si>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</si>
  <si>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</si>
  <si>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</si>
  <si>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</si>
  <si>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</si>
  <si>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</si>
  <si>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</si>
  <si>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</si>
  <si>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</si>
  <si>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</si>
  <si>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</si>
  <si>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</si>
  <si>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</si>
  <si>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</si>
  <si>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</si>
  <si>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</si>
  <si>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</si>
  <si>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</si>
  <si>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</si>
  <si>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</si>
  <si>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</si>
  <si>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</si>
  <si>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</si>
  <si>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</si>
  <si>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</si>
  <si>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</si>
  <si>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</si>
  <si>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</si>
  <si>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</si>
  <si>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</si>
  <si>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</si>
  <si>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</si>
  <si>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</si>
  <si>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</si>
  <si>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</si>
  <si>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</si>
  <si>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</si>
  <si>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</si>
  <si>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</si>
  <si>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</si>
  <si>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</si>
  <si>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</si>
  <si>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</si>
  <si>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</si>
  <si>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</si>
  <si>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</si>
  <si>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</si>
  <si>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</si>
  <si>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</si>
  <si>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</si>
  <si>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</si>
  <si>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</si>
  <si>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</si>
  <si>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</si>
  <si>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</si>
  <si>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</si>
  <si>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</si>
  <si>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</si>
  <si>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</si>
  <si>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</si>
  <si>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</si>
  <si>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</si>
  <si>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</si>
  <si>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</si>
  <si>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</si>
  <si>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</si>
  <si>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</si>
  <si>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</si>
  <si>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</si>
  <si>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</si>
  <si>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</si>
  <si>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</si>
  <si>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</si>
  <si>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</si>
  <si>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</si>
  <si>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</si>
  <si>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</si>
  <si>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</si>
  <si>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</si>
  <si>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</si>
  <si>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</si>
  <si>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</si>
  <si>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</si>
  <si>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</si>
  <si>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</si>
  <si>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</si>
  <si>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</si>
  <si>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</si>
  <si>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</si>
  <si>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</si>
  <si>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</si>
  <si>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</si>
  <si>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</si>
  <si>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</si>
  <si>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</si>
  <si>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</si>
  <si>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</si>
  <si>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</si>
  <si>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</si>
  <si>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</si>
  <si>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</si>
  <si>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</si>
  <si>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</si>
  <si>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</si>
  <si>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</si>
  <si>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</si>
  <si>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</si>
  <si>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</si>
  <si>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</si>
  <si>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</si>
  <si>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</si>
  <si>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</si>
  <si>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</si>
  <si>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</si>
  <si>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</si>
  <si>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</si>
  <si>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</si>
  <si>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</si>
  <si>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</si>
  <si>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</si>
  <si>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</si>
  <si>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</si>
  <si>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</si>
  <si>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</si>
  <si>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</si>
  <si>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</si>
  <si>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</si>
  <si>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</si>
  <si>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</si>
  <si>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</si>
  <si>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</si>
  <si>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</si>
  <si>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</si>
  <si>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</si>
  <si>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</si>
  <si>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</si>
  <si>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</si>
  <si>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</si>
  <si>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</si>
  <si>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</si>
  <si>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</si>
  <si>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</si>
  <si>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</si>
  <si>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</si>
  <si>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</si>
  <si>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</si>
  <si>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</si>
  <si>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</si>
  <si>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</si>
  <si>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</si>
  <si>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</si>
  <si>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</si>
  <si>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</si>
  <si>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</si>
  <si>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</si>
  <si>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</si>
  <si>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</si>
  <si>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</si>
  <si>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</si>
  <si>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</si>
  <si>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</si>
  <si>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</si>
  <si>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</si>
  <si>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</si>
  <si>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</si>
  <si>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</si>
  <si>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</si>
  <si>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</si>
  <si>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</si>
  <si>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</si>
  <si>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</si>
  <si>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</si>
  <si>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</si>
  <si>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</si>
  <si>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</si>
  <si>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</si>
  <si>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</si>
  <si>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</si>
  <si>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</si>
  <si>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</si>
  <si>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</si>
  <si>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</si>
  <si>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</si>
  <si>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</si>
  <si>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</si>
  <si>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</si>
  <si>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</si>
  <si>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</si>
  <si>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</si>
  <si>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</si>
  <si>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</si>
  <si>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</si>
  <si>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</si>
  <si>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</si>
  <si>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</si>
  <si>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</si>
  <si>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</si>
  <si>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</si>
  <si>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</si>
  <si>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</si>
  <si>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</si>
  <si>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</si>
  <si>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</si>
  <si>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</si>
  <si>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</si>
  <si>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</si>
  <si>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</si>
  <si>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</si>
  <si>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</si>
  <si>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</si>
  <si>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</si>
  <si>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</si>
  <si>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</si>
  <si>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</si>
  <si>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</si>
  <si>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</si>
  <si>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</si>
  <si>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</si>
  <si>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</si>
  <si>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</si>
  <si>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</si>
  <si>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</si>
  <si>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</si>
  <si>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</si>
  <si>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</si>
  <si>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</si>
  <si>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</si>
  <si>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</si>
  <si>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</si>
  <si>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</si>
  <si>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</si>
  <si>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</si>
  <si>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</si>
  <si>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</si>
  <si>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</si>
  <si>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</si>
  <si>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</si>
  <si>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</si>
  <si>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</si>
  <si>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</si>
  <si>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</si>
  <si>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</si>
  <si>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</si>
  <si>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</si>
  <si>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</si>
  <si>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</si>
  <si>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</si>
  <si>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</si>
  <si>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</si>
  <si>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</si>
  <si>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</si>
  <si>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</si>
  <si>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</si>
  <si>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</si>
  <si>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</si>
  <si>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</si>
  <si>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</si>
  <si>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</si>
  <si>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</si>
  <si>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</si>
  <si>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</si>
  <si>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</si>
  <si>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</si>
  <si>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</si>
  <si>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</si>
  <si>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</si>
  <si>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</si>
  <si>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</si>
  <si>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</si>
  <si>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</si>
  <si>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</si>
  <si>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</si>
  <si>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</si>
  <si>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</si>
  <si>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</si>
  <si>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</si>
  <si>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</si>
  <si>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</si>
  <si>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</si>
  <si>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</si>
  <si>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</si>
  <si>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</si>
  <si>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</si>
  <si>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</si>
  <si>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</si>
  <si>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</si>
  <si>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</si>
  <si>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</si>
  <si>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</si>
  <si>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</si>
  <si>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</si>
  <si>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</si>
  <si>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</si>
  <si>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</si>
  <si>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</si>
  <si>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</si>
  <si>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</si>
  <si>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</si>
  <si>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</si>
  <si>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</si>
  <si>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</si>
  <si>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</si>
  <si>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</si>
  <si>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</si>
  <si>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</si>
  <si>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</si>
  <si>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</si>
  <si>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</si>
  <si>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</si>
  <si>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</si>
  <si>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</si>
  <si>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</si>
  <si>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</si>
  <si>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</si>
  <si>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</si>
  <si>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</si>
  <si>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</si>
  <si>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</si>
  <si>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</si>
  <si>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</si>
  <si>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</si>
  <si>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</si>
  <si>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</si>
  <si>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</si>
  <si>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</si>
  <si>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</si>
  <si>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</si>
  <si>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</si>
  <si>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</si>
  <si>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</si>
  <si>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</si>
  <si>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</si>
  <si>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</si>
  <si>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</si>
  <si>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</si>
  <si>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</si>
  <si>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</si>
  <si>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</si>
  <si>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</si>
  <si>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</si>
  <si>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</si>
  <si>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</si>
  <si>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</si>
  <si>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</si>
  <si>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</si>
  <si>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</si>
  <si>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</si>
  <si>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</si>
  <si>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</si>
  <si>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</si>
  <si>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</si>
  <si>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</si>
  <si>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</si>
  <si>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</si>
  <si>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</si>
  <si>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</si>
  <si>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</si>
  <si>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</si>
  <si>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</si>
  <si>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</si>
  <si>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</si>
  <si>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</si>
  <si>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</si>
  <si>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</si>
  <si>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</si>
  <si>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</si>
  <si>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</si>
  <si>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</si>
  <si>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</si>
  <si>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</si>
  <si>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</si>
  <si>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</si>
  <si>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</si>
  <si>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</si>
  <si>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</si>
  <si>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</si>
  <si>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</si>
  <si>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</si>
  <si>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</si>
  <si>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</si>
  <si>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</si>
  <si>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</si>
  <si>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</si>
  <si>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</si>
  <si>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</si>
  <si>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</si>
  <si>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</si>
  <si>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</si>
  <si>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</si>
  <si>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</si>
  <si>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</si>
  <si>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</si>
  <si>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</si>
  <si>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</si>
  <si>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</si>
  <si>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</si>
  <si>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</si>
  <si>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</si>
  <si>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</si>
  <si>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</si>
  <si>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</si>
  <si>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</si>
  <si>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</si>
  <si>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</si>
  <si>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</si>
  <si>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</si>
  <si>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</si>
  <si>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</si>
  <si>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</si>
  <si>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</si>
  <si>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</si>
  <si>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</si>
  <si>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</si>
  <si>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</si>
  <si>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</si>
  <si>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</si>
  <si>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</si>
  <si>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</si>
  <si>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</si>
  <si>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</si>
  <si>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</si>
  <si>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</si>
  <si>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</si>
  <si>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</si>
  <si>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</si>
  <si>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</si>
  <si>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</si>
  <si>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</si>
  <si>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</si>
  <si>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</si>
  <si>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</si>
  <si>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</si>
  <si>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</si>
  <si>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</si>
  <si>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</si>
  <si>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</si>
  <si>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</si>
  <si>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</si>
  <si>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</si>
  <si>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</si>
  <si>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</si>
  <si>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</si>
  <si>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</si>
  <si>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</si>
  <si>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</si>
  <si>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</si>
  <si>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</si>
  <si>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</si>
  <si>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</si>
  <si>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</si>
  <si>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</si>
  <si>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</si>
  <si>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</si>
  <si>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</si>
  <si>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</si>
  <si>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</si>
  <si>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</si>
  <si>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</si>
  <si>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</si>
  <si>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</si>
  <si>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</si>
  <si>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</si>
  <si>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</si>
  <si>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</si>
  <si>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</si>
  <si>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</si>
  <si>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</si>
  <si>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</si>
  <si>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</si>
  <si>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</si>
  <si>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</si>
  <si>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</si>
  <si>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</si>
  <si>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</si>
  <si>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</si>
  <si>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</si>
  <si>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</si>
  <si>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</si>
  <si>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</si>
  <si>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</si>
  <si>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</si>
  <si>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</si>
  <si>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</si>
  <si>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</si>
  <si>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</si>
  <si>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</si>
  <si>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</si>
  <si>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</si>
  <si>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</si>
  <si>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</si>
  <si>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</si>
  <si>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</si>
  <si>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</si>
  <si>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</si>
  <si>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</si>
  <si>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</si>
  <si>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</si>
  <si>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</si>
  <si>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</si>
  <si>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</si>
  <si>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</si>
  <si>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</si>
  <si>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</si>
  <si>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</si>
  <si>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</si>
  <si>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</si>
  <si>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</si>
  <si>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</si>
  <si>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</si>
  <si>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</si>
  <si>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</si>
  <si>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</si>
  <si>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</si>
  <si>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</si>
  <si>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</si>
  <si>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</si>
  <si>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</si>
  <si>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</si>
  <si>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</si>
  <si>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</si>
  <si>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</si>
  <si>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</si>
  <si>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</si>
  <si>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</si>
  <si>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</si>
  <si>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</si>
  <si>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</si>
  <si>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</si>
  <si>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</si>
  <si>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</si>
  <si>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</si>
  <si>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</si>
  <si>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</si>
  <si>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</si>
  <si>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</si>
  <si>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</si>
  <si>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</si>
  <si>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</si>
  <si>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</si>
  <si>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</si>
  <si>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</si>
  <si>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</si>
  <si>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</si>
  <si>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</si>
  <si>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</si>
  <si>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</si>
  <si>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</si>
  <si>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</si>
  <si>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</si>
  <si>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</si>
  <si>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</si>
  <si>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</si>
  <si>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</si>
  <si>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</si>
  <si>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</si>
  <si>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</si>
  <si>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</si>
  <si>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</si>
  <si>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</si>
  <si>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</si>
  <si>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</si>
  <si>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</si>
  <si>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</si>
  <si>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</si>
  <si>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</si>
  <si>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</si>
  <si>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</si>
  <si>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</si>
  <si>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</si>
  <si>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</si>
  <si>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</si>
  <si>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</si>
  <si>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</si>
  <si>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</si>
  <si>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</si>
  <si>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</si>
  <si>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</si>
  <si>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</si>
  <si>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</si>
  <si>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</si>
  <si>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</si>
  <si>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</si>
  <si>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</si>
  <si>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</si>
  <si>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</si>
  <si>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</si>
  <si>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</si>
  <si>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</si>
  <si>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</si>
  <si>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</si>
  <si>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</si>
  <si>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</si>
  <si>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</si>
  <si>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</si>
  <si>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</si>
  <si>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</si>
  <si>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</si>
  <si>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</si>
  <si>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</si>
  <si>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</si>
  <si>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</si>
  <si>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</si>
  <si>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</si>
  <si>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</si>
  <si>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</si>
  <si>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</si>
  <si>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</si>
  <si>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</si>
  <si>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</si>
  <si>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</si>
  <si>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</si>
  <si>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</si>
  <si>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</si>
  <si>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</si>
  <si>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</si>
  <si>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</si>
  <si>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</si>
  <si>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</si>
  <si>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</si>
  <si>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</si>
  <si>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</si>
  <si>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</si>
  <si>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</si>
  <si>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</si>
  <si>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</si>
  <si>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</si>
  <si>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</si>
  <si>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</si>
  <si>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</si>
  <si>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</si>
  <si>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</si>
  <si>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</si>
  <si>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</si>
  <si>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</si>
  <si>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</si>
  <si>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</si>
  <si>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</si>
  <si>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</si>
  <si>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</si>
  <si>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</si>
  <si>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</si>
  <si>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</si>
  <si>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</si>
  <si>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</si>
  <si>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</si>
  <si>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</si>
  <si>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</si>
  <si>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</si>
  <si>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</si>
  <si>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</si>
  <si>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</si>
  <si>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</si>
  <si>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</si>
  <si>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</si>
  <si>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</si>
  <si>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</si>
  <si>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</si>
  <si>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</si>
  <si>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</si>
  <si>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</si>
  <si>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</si>
  <si>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</si>
  <si>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</si>
  <si>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</si>
  <si>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</si>
  <si>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</si>
  <si>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</si>
  <si>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</si>
  <si>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</si>
  <si>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</si>
  <si>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</si>
  <si>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</si>
  <si>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</si>
  <si>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</si>
  <si>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</si>
  <si>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</si>
  <si>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</si>
  <si>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</si>
  <si>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</si>
  <si>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</si>
  <si>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</si>
  <si>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</si>
  <si>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</si>
  <si>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</si>
  <si>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</si>
  <si>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</si>
  <si>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</si>
  <si>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</si>
  <si>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</si>
  <si>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</si>
  <si>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</si>
  <si>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</si>
  <si>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</si>
  <si>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</si>
  <si>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</si>
  <si>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</si>
  <si>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</si>
  <si>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</si>
  <si>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</si>
  <si>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</si>
  <si>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</si>
  <si>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</si>
  <si>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</si>
  <si>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</si>
  <si>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</si>
  <si>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</si>
  <si>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</si>
  <si>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</si>
  <si>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</si>
  <si>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</si>
  <si>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</si>
  <si>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</si>
  <si>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</si>
  <si>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</si>
  <si>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</si>
  <si>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</si>
  <si>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</si>
  <si>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</si>
  <si>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</si>
  <si>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</si>
  <si>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</si>
  <si>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</si>
  <si>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</si>
  <si>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</si>
  <si>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</si>
  <si>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</si>
  <si>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</si>
  <si>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</si>
  <si>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</si>
  <si>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</si>
  <si>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</si>
  <si>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</si>
  <si>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</si>
  <si>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</si>
  <si>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</si>
  <si>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</si>
  <si>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</si>
  <si>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</si>
  <si>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</si>
  <si>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</si>
  <si>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</si>
  <si>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</si>
  <si>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</si>
  <si>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</si>
  <si>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</si>
  <si>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</si>
  <si>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</si>
  <si>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</si>
  <si>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11013</t>
  </si>
  <si>
    <t>EDEGEM</t>
  </si>
  <si>
    <t>waterkracht</t>
  </si>
  <si>
    <t>Tertiair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</si>
</sst>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C16F31B3-6160-454E-BBC6-C4D7A6E2339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164491.60135126245</c:v>
                </c:pt>
                <c:pt idx="1">
                  <c:v>100978.28818179505</c:v>
                </c:pt>
                <c:pt idx="2">
                  <c:v>908.25</c:v>
                </c:pt>
                <c:pt idx="3">
                  <c:v>2242.2288691869362</c:v>
                </c:pt>
                <c:pt idx="4">
                  <c:v>22046.770944084969</c:v>
                </c:pt>
                <c:pt idx="5">
                  <c:v>123775.60655822541</c:v>
                </c:pt>
                <c:pt idx="6">
                  <c:v>2423.354559994727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164491.60135126245</c:v>
                </c:pt>
                <c:pt idx="1">
                  <c:v>100978.28818179505</c:v>
                </c:pt>
                <c:pt idx="2">
                  <c:v>908.25</c:v>
                </c:pt>
                <c:pt idx="3">
                  <c:v>2242.2288691869362</c:v>
                </c:pt>
                <c:pt idx="4">
                  <c:v>22046.770944084969</c:v>
                </c:pt>
                <c:pt idx="5">
                  <c:v>123775.60655822541</c:v>
                </c:pt>
                <c:pt idx="6">
                  <c:v>2423.354559994727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32900.362387049165</c:v>
                </c:pt>
                <c:pt idx="1">
                  <c:v>21100.110981299542</c:v>
                </c:pt>
                <c:pt idx="2">
                  <c:v>193.6979461188466</c:v>
                </c:pt>
                <c:pt idx="3">
                  <c:v>544.07671852496048</c:v>
                </c:pt>
                <c:pt idx="4">
                  <c:v>4636.2352727412208</c:v>
                </c:pt>
                <c:pt idx="5">
                  <c:v>29344.505485466369</c:v>
                </c:pt>
                <c:pt idx="6">
                  <c:v>580.50388720409944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32900.362387049165</c:v>
                </c:pt>
                <c:pt idx="1">
                  <c:v>21100.110981299542</c:v>
                </c:pt>
                <c:pt idx="2">
                  <c:v>193.6979461188466</c:v>
                </c:pt>
                <c:pt idx="3">
                  <c:v>544.07671852496048</c:v>
                </c:pt>
                <c:pt idx="4">
                  <c:v>4636.2352727412208</c:v>
                </c:pt>
                <c:pt idx="5">
                  <c:v>29344.505485466369</c:v>
                </c:pt>
                <c:pt idx="6">
                  <c:v>580.50388720409944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11013</v>
      </c>
      <c r="B6" s="380"/>
      <c r="C6" s="381"/>
    </row>
    <row r="7" spans="1:7" s="378" customFormat="1" ht="15.75" customHeight="1">
      <c r="A7" s="382" t="str">
        <f>txtMunicipality</f>
        <v>EDEGEM</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42843.051199142537</v>
      </c>
      <c r="D10" s="637">
        <f ca="1">tertiair!C16</f>
        <v>7888.8888895200007</v>
      </c>
      <c r="E10" s="637">
        <f ca="1">tertiair!D16</f>
        <v>45360.094267853354</v>
      </c>
      <c r="F10" s="637">
        <f ca="1">tertiair!E16</f>
        <v>40.488456580968524</v>
      </c>
      <c r="G10" s="637">
        <f ca="1">tertiair!F16</f>
        <v>4343.6453660702837</v>
      </c>
      <c r="H10" s="637">
        <f>tertiair!G16</f>
        <v>0</v>
      </c>
      <c r="I10" s="637">
        <f>tertiair!H16</f>
        <v>0</v>
      </c>
      <c r="J10" s="637">
        <f>tertiair!I16</f>
        <v>0</v>
      </c>
      <c r="K10" s="637">
        <f>tertiair!J16</f>
        <v>3.4583743299665258E-2</v>
      </c>
      <c r="L10" s="637">
        <f>tertiair!K16</f>
        <v>0</v>
      </c>
      <c r="M10" s="637">
        <f ca="1">tertiair!L16</f>
        <v>0</v>
      </c>
      <c r="N10" s="637">
        <f>tertiair!M16</f>
        <v>0</v>
      </c>
      <c r="O10" s="637">
        <f ca="1">tertiair!N16</f>
        <v>1395.6436365870984</v>
      </c>
      <c r="P10" s="637">
        <f>tertiair!O16</f>
        <v>14.691782297523464</v>
      </c>
      <c r="Q10" s="638">
        <f>tertiair!P16</f>
        <v>0</v>
      </c>
      <c r="R10" s="640">
        <f ca="1">SUM(C10:Q10)</f>
        <v>101886.53818179505</v>
      </c>
      <c r="S10" s="67"/>
    </row>
    <row r="11" spans="1:19" s="439" customFormat="1">
      <c r="A11" s="757" t="s">
        <v>214</v>
      </c>
      <c r="B11" s="762"/>
      <c r="C11" s="637">
        <f>huishoudens!B8</f>
        <v>30849.88532232666</v>
      </c>
      <c r="D11" s="637">
        <f>huishoudens!C8</f>
        <v>0</v>
      </c>
      <c r="E11" s="637">
        <f>huishoudens!D8</f>
        <v>98553.069598707007</v>
      </c>
      <c r="F11" s="637">
        <f>huishoudens!E8</f>
        <v>1762.8040893170041</v>
      </c>
      <c r="G11" s="637">
        <f>huishoudens!F8</f>
        <v>22332.151288131721</v>
      </c>
      <c r="H11" s="637">
        <f>huishoudens!G8</f>
        <v>0</v>
      </c>
      <c r="I11" s="637">
        <f>huishoudens!H8</f>
        <v>0</v>
      </c>
      <c r="J11" s="637">
        <f>huishoudens!I8</f>
        <v>0</v>
      </c>
      <c r="K11" s="637">
        <f>huishoudens!J8</f>
        <v>142.93863680814746</v>
      </c>
      <c r="L11" s="637">
        <f>huishoudens!K8</f>
        <v>0</v>
      </c>
      <c r="M11" s="637">
        <f>huishoudens!L8</f>
        <v>0</v>
      </c>
      <c r="N11" s="637">
        <f>huishoudens!M8</f>
        <v>0</v>
      </c>
      <c r="O11" s="637">
        <f>huishoudens!N8</f>
        <v>9926.6002846372648</v>
      </c>
      <c r="P11" s="637">
        <f>huishoudens!O8</f>
        <v>249.97873564276603</v>
      </c>
      <c r="Q11" s="638">
        <f>huishoudens!P8</f>
        <v>674.17339569184151</v>
      </c>
      <c r="R11" s="640">
        <f>SUM(C11:Q11)</f>
        <v>164491.60135126245</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9623.1739178869775</v>
      </c>
      <c r="D13" s="637">
        <f>industrie!C18</f>
        <v>0</v>
      </c>
      <c r="E13" s="637">
        <f>industrie!D18</f>
        <v>10456.391230376656</v>
      </c>
      <c r="F13" s="637">
        <f>industrie!E18</f>
        <v>31.81026060565711</v>
      </c>
      <c r="G13" s="637">
        <f>industrie!F18</f>
        <v>1739.7472664133343</v>
      </c>
      <c r="H13" s="637">
        <f>industrie!G18</f>
        <v>0</v>
      </c>
      <c r="I13" s="637">
        <f>industrie!H18</f>
        <v>0</v>
      </c>
      <c r="J13" s="637">
        <f>industrie!I18</f>
        <v>0</v>
      </c>
      <c r="K13" s="637">
        <f>industrie!J18</f>
        <v>6.9222468403314072E-2</v>
      </c>
      <c r="L13" s="637">
        <f>industrie!K18</f>
        <v>0</v>
      </c>
      <c r="M13" s="637">
        <f>industrie!L18</f>
        <v>0</v>
      </c>
      <c r="N13" s="637">
        <f>industrie!M18</f>
        <v>0</v>
      </c>
      <c r="O13" s="637">
        <f>industrie!N18</f>
        <v>195.57904633394509</v>
      </c>
      <c r="P13" s="637">
        <f>industrie!O18</f>
        <v>0</v>
      </c>
      <c r="Q13" s="638">
        <f>industrie!P18</f>
        <v>0</v>
      </c>
      <c r="R13" s="640">
        <f>SUM(C13:Q13)</f>
        <v>22046.770944084969</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83316.110439356169</v>
      </c>
      <c r="D16" s="673">
        <f t="shared" ref="D16:R16" ca="1" si="0">SUM(D9:D15)</f>
        <v>7888.8888895200007</v>
      </c>
      <c r="E16" s="673">
        <f t="shared" ca="1" si="0"/>
        <v>154369.55509693699</v>
      </c>
      <c r="F16" s="673">
        <f t="shared" ca="1" si="0"/>
        <v>1835.1028065036296</v>
      </c>
      <c r="G16" s="673">
        <f t="shared" ca="1" si="0"/>
        <v>28415.543920615339</v>
      </c>
      <c r="H16" s="673">
        <f t="shared" si="0"/>
        <v>0</v>
      </c>
      <c r="I16" s="673">
        <f t="shared" si="0"/>
        <v>0</v>
      </c>
      <c r="J16" s="673">
        <f t="shared" si="0"/>
        <v>0</v>
      </c>
      <c r="K16" s="673">
        <f t="shared" si="0"/>
        <v>143.04244301985045</v>
      </c>
      <c r="L16" s="673">
        <f t="shared" si="0"/>
        <v>0</v>
      </c>
      <c r="M16" s="673">
        <f t="shared" ca="1" si="0"/>
        <v>0</v>
      </c>
      <c r="N16" s="673">
        <f t="shared" si="0"/>
        <v>0</v>
      </c>
      <c r="O16" s="673">
        <f t="shared" ca="1" si="0"/>
        <v>11517.822967558308</v>
      </c>
      <c r="P16" s="673">
        <f t="shared" si="0"/>
        <v>264.67051794028947</v>
      </c>
      <c r="Q16" s="673">
        <f t="shared" si="0"/>
        <v>674.17339569184151</v>
      </c>
      <c r="R16" s="673">
        <f t="shared" ca="1" si="0"/>
        <v>288424.91047714249</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51.932324885524316</v>
      </c>
      <c r="D19" s="637">
        <f>transport!C54</f>
        <v>0</v>
      </c>
      <c r="E19" s="637">
        <f>transport!D54</f>
        <v>0</v>
      </c>
      <c r="F19" s="637">
        <f>transport!E54</f>
        <v>0</v>
      </c>
      <c r="G19" s="637">
        <f>transport!F54</f>
        <v>0</v>
      </c>
      <c r="H19" s="637">
        <f>transport!G54</f>
        <v>2132.6911587007594</v>
      </c>
      <c r="I19" s="637">
        <f>transport!H54</f>
        <v>0</v>
      </c>
      <c r="J19" s="637">
        <f>transport!I54</f>
        <v>0</v>
      </c>
      <c r="K19" s="637">
        <f>transport!J54</f>
        <v>0</v>
      </c>
      <c r="L19" s="637">
        <f>transport!K54</f>
        <v>0</v>
      </c>
      <c r="M19" s="637">
        <f>transport!L54</f>
        <v>0</v>
      </c>
      <c r="N19" s="637">
        <f>transport!M54</f>
        <v>238.73107640844339</v>
      </c>
      <c r="O19" s="637">
        <f>transport!N54</f>
        <v>0</v>
      </c>
      <c r="P19" s="637">
        <f>transport!O54</f>
        <v>0</v>
      </c>
      <c r="Q19" s="638">
        <f>transport!P54</f>
        <v>0</v>
      </c>
      <c r="R19" s="640">
        <f>SUM(C19:Q19)</f>
        <v>2423.354559994727</v>
      </c>
      <c r="S19" s="67"/>
    </row>
    <row r="20" spans="1:19" s="439" customFormat="1">
      <c r="A20" s="757" t="s">
        <v>294</v>
      </c>
      <c r="B20" s="762"/>
      <c r="C20" s="637">
        <f>transport!B14</f>
        <v>662.54733892338584</v>
      </c>
      <c r="D20" s="637">
        <f>transport!C14</f>
        <v>0</v>
      </c>
      <c r="E20" s="637">
        <f>transport!D14</f>
        <v>581.61507045375117</v>
      </c>
      <c r="F20" s="637">
        <f>transport!E14</f>
        <v>215.74970551768337</v>
      </c>
      <c r="G20" s="637">
        <f>transport!F14</f>
        <v>0</v>
      </c>
      <c r="H20" s="637">
        <f>transport!G14</f>
        <v>82329.871869364477</v>
      </c>
      <c r="I20" s="637">
        <f>transport!H14</f>
        <v>28332.008447900756</v>
      </c>
      <c r="J20" s="637">
        <f>transport!I14</f>
        <v>0</v>
      </c>
      <c r="K20" s="637">
        <f>transport!J14</f>
        <v>0</v>
      </c>
      <c r="L20" s="637">
        <f>transport!K14</f>
        <v>0</v>
      </c>
      <c r="M20" s="637">
        <f>transport!L14</f>
        <v>0</v>
      </c>
      <c r="N20" s="637">
        <f>transport!M14</f>
        <v>11653.814126065348</v>
      </c>
      <c r="O20" s="637">
        <f>transport!N14</f>
        <v>0</v>
      </c>
      <c r="P20" s="637">
        <f>transport!O14</f>
        <v>0</v>
      </c>
      <c r="Q20" s="638">
        <f>transport!P14</f>
        <v>0</v>
      </c>
      <c r="R20" s="640">
        <f>SUM(C20:Q20)</f>
        <v>123775.60655822541</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714.47966380891012</v>
      </c>
      <c r="D22" s="760">
        <f t="shared" ref="D22:R22" si="1">SUM(D18:D21)</f>
        <v>0</v>
      </c>
      <c r="E22" s="760">
        <f t="shared" si="1"/>
        <v>581.61507045375117</v>
      </c>
      <c r="F22" s="760">
        <f t="shared" si="1"/>
        <v>215.74970551768337</v>
      </c>
      <c r="G22" s="760">
        <f t="shared" si="1"/>
        <v>0</v>
      </c>
      <c r="H22" s="760">
        <f t="shared" si="1"/>
        <v>84462.56302806524</v>
      </c>
      <c r="I22" s="760">
        <f t="shared" si="1"/>
        <v>28332.008447900756</v>
      </c>
      <c r="J22" s="760">
        <f t="shared" si="1"/>
        <v>0</v>
      </c>
      <c r="K22" s="760">
        <f t="shared" si="1"/>
        <v>0</v>
      </c>
      <c r="L22" s="760">
        <f t="shared" si="1"/>
        <v>0</v>
      </c>
      <c r="M22" s="760">
        <f t="shared" si="1"/>
        <v>0</v>
      </c>
      <c r="N22" s="760">
        <f t="shared" si="1"/>
        <v>11892.545202473792</v>
      </c>
      <c r="O22" s="760">
        <f t="shared" si="1"/>
        <v>0</v>
      </c>
      <c r="P22" s="760">
        <f t="shared" si="1"/>
        <v>0</v>
      </c>
      <c r="Q22" s="760">
        <f t="shared" si="1"/>
        <v>0</v>
      </c>
      <c r="R22" s="760">
        <f t="shared" si="1"/>
        <v>126198.96111822013</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337.19842458325201</v>
      </c>
      <c r="D24" s="637">
        <f>+landbouw!C8</f>
        <v>0</v>
      </c>
      <c r="E24" s="637">
        <f>+landbouw!D8</f>
        <v>652.1806167968615</v>
      </c>
      <c r="F24" s="637">
        <f>+landbouw!E8</f>
        <v>11.370847400853872</v>
      </c>
      <c r="G24" s="637">
        <f>+landbouw!F8</f>
        <v>1168.2888870618865</v>
      </c>
      <c r="H24" s="637">
        <f>+landbouw!G8</f>
        <v>0</v>
      </c>
      <c r="I24" s="637">
        <f>+landbouw!H8</f>
        <v>0</v>
      </c>
      <c r="J24" s="637">
        <f>+landbouw!I8</f>
        <v>0</v>
      </c>
      <c r="K24" s="637">
        <f>+landbouw!J8</f>
        <v>73.190093344082555</v>
      </c>
      <c r="L24" s="637">
        <f>+landbouw!K8</f>
        <v>0</v>
      </c>
      <c r="M24" s="637">
        <f>+landbouw!L8</f>
        <v>0</v>
      </c>
      <c r="N24" s="637">
        <f>+landbouw!M8</f>
        <v>0</v>
      </c>
      <c r="O24" s="637">
        <f>+landbouw!N8</f>
        <v>0</v>
      </c>
      <c r="P24" s="637">
        <f>+landbouw!O8</f>
        <v>0</v>
      </c>
      <c r="Q24" s="638">
        <f>+landbouw!P8</f>
        <v>0</v>
      </c>
      <c r="R24" s="640">
        <f>SUM(C24:Q24)</f>
        <v>2242.2288691869362</v>
      </c>
      <c r="S24" s="67"/>
    </row>
    <row r="25" spans="1:19" s="439" customFormat="1" ht="15" thickBot="1">
      <c r="A25" s="779" t="s">
        <v>634</v>
      </c>
      <c r="B25" s="890"/>
      <c r="C25" s="891">
        <f>IF(Onbekend_ele_kWh="---",0,Onbekend_ele_kWh)/1000+IF(REST_rest_ele_kWh="---",0,REST_rest_ele_kWh)/1000</f>
        <v>820.42916631156299</v>
      </c>
      <c r="D25" s="891"/>
      <c r="E25" s="891">
        <f>IF(onbekend_gas_kWh="---",0,onbekend_gas_kWh)/1000+IF(REST_rest_gas_kWh="---",0,REST_rest_gas_kWh)/1000</f>
        <v>2380.2301127425503</v>
      </c>
      <c r="F25" s="891"/>
      <c r="G25" s="891"/>
      <c r="H25" s="891"/>
      <c r="I25" s="891"/>
      <c r="J25" s="891"/>
      <c r="K25" s="891"/>
      <c r="L25" s="891"/>
      <c r="M25" s="891"/>
      <c r="N25" s="891"/>
      <c r="O25" s="891"/>
      <c r="P25" s="891"/>
      <c r="Q25" s="892"/>
      <c r="R25" s="640">
        <f>SUM(C25:Q25)</f>
        <v>3200.6592790541135</v>
      </c>
      <c r="S25" s="67"/>
    </row>
    <row r="26" spans="1:19" s="439" customFormat="1" ht="15.75" thickBot="1">
      <c r="A26" s="645" t="s">
        <v>635</v>
      </c>
      <c r="B26" s="765"/>
      <c r="C26" s="760">
        <f>SUM(C24:C25)</f>
        <v>1157.6275908948151</v>
      </c>
      <c r="D26" s="760">
        <f t="shared" ref="D26:R26" si="2">SUM(D24:D25)</f>
        <v>0</v>
      </c>
      <c r="E26" s="760">
        <f t="shared" si="2"/>
        <v>3032.4107295394119</v>
      </c>
      <c r="F26" s="760">
        <f t="shared" si="2"/>
        <v>11.370847400853872</v>
      </c>
      <c r="G26" s="760">
        <f t="shared" si="2"/>
        <v>1168.2888870618865</v>
      </c>
      <c r="H26" s="760">
        <f t="shared" si="2"/>
        <v>0</v>
      </c>
      <c r="I26" s="760">
        <f t="shared" si="2"/>
        <v>0</v>
      </c>
      <c r="J26" s="760">
        <f t="shared" si="2"/>
        <v>0</v>
      </c>
      <c r="K26" s="760">
        <f t="shared" si="2"/>
        <v>73.190093344082555</v>
      </c>
      <c r="L26" s="760">
        <f t="shared" si="2"/>
        <v>0</v>
      </c>
      <c r="M26" s="760">
        <f t="shared" si="2"/>
        <v>0</v>
      </c>
      <c r="N26" s="760">
        <f t="shared" si="2"/>
        <v>0</v>
      </c>
      <c r="O26" s="760">
        <f t="shared" si="2"/>
        <v>0</v>
      </c>
      <c r="P26" s="760">
        <f t="shared" si="2"/>
        <v>0</v>
      </c>
      <c r="Q26" s="760">
        <f t="shared" si="2"/>
        <v>0</v>
      </c>
      <c r="R26" s="760">
        <f t="shared" si="2"/>
        <v>5442.8881482410497</v>
      </c>
      <c r="S26" s="67"/>
    </row>
    <row r="27" spans="1:19" s="439" customFormat="1" ht="17.25" thickTop="1" thickBot="1">
      <c r="A27" s="646" t="s">
        <v>109</v>
      </c>
      <c r="B27" s="752"/>
      <c r="C27" s="647">
        <f ca="1">C22+C16+C26</f>
        <v>85188.217694059887</v>
      </c>
      <c r="D27" s="647">
        <f t="shared" ref="D27:R27" ca="1" si="3">D22+D16+D26</f>
        <v>7888.8888895200007</v>
      </c>
      <c r="E27" s="647">
        <f t="shared" ca="1" si="3"/>
        <v>157983.58089693016</v>
      </c>
      <c r="F27" s="647">
        <f t="shared" ca="1" si="3"/>
        <v>2062.2233594221671</v>
      </c>
      <c r="G27" s="647">
        <f t="shared" ca="1" si="3"/>
        <v>29583.832807677227</v>
      </c>
      <c r="H27" s="647">
        <f t="shared" si="3"/>
        <v>84462.56302806524</v>
      </c>
      <c r="I27" s="647">
        <f t="shared" si="3"/>
        <v>28332.008447900756</v>
      </c>
      <c r="J27" s="647">
        <f t="shared" si="3"/>
        <v>0</v>
      </c>
      <c r="K27" s="647">
        <f t="shared" si="3"/>
        <v>216.23253636393301</v>
      </c>
      <c r="L27" s="647">
        <f t="shared" si="3"/>
        <v>0</v>
      </c>
      <c r="M27" s="647">
        <f t="shared" ca="1" si="3"/>
        <v>0</v>
      </c>
      <c r="N27" s="647">
        <f t="shared" si="3"/>
        <v>11892.545202473792</v>
      </c>
      <c r="O27" s="647">
        <f t="shared" ca="1" si="3"/>
        <v>11517.822967558308</v>
      </c>
      <c r="P27" s="647">
        <f t="shared" si="3"/>
        <v>264.67051794028947</v>
      </c>
      <c r="Q27" s="647">
        <f t="shared" si="3"/>
        <v>674.17339569184151</v>
      </c>
      <c r="R27" s="647">
        <f t="shared" ca="1" si="3"/>
        <v>420066.75974360364</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9136.9237795083918</v>
      </c>
      <c r="D40" s="637">
        <f ca="1">tertiair!C20</f>
        <v>1825.1896707738438</v>
      </c>
      <c r="E40" s="637">
        <f ca="1">tertiair!D20</f>
        <v>9162.7390421063774</v>
      </c>
      <c r="F40" s="637">
        <f ca="1">tertiair!E20</f>
        <v>9.190879643879855</v>
      </c>
      <c r="G40" s="637">
        <f ca="1">tertiair!F20</f>
        <v>1159.7533127407658</v>
      </c>
      <c r="H40" s="637">
        <f>tertiair!G20</f>
        <v>0</v>
      </c>
      <c r="I40" s="637">
        <f>tertiair!H20</f>
        <v>0</v>
      </c>
      <c r="J40" s="637">
        <f>tertiair!I20</f>
        <v>0</v>
      </c>
      <c r="K40" s="637">
        <f>tertiair!J20</f>
        <v>1.22426451280815E-2</v>
      </c>
      <c r="L40" s="637">
        <f>tertiair!K20</f>
        <v>0</v>
      </c>
      <c r="M40" s="637">
        <f ca="1">tertiair!L20</f>
        <v>0</v>
      </c>
      <c r="N40" s="637">
        <f>tertiair!M20</f>
        <v>0</v>
      </c>
      <c r="O40" s="637">
        <f ca="1">tertiair!N20</f>
        <v>0</v>
      </c>
      <c r="P40" s="637">
        <f>tertiair!O20</f>
        <v>0</v>
      </c>
      <c r="Q40" s="720">
        <f>tertiair!P20</f>
        <v>0</v>
      </c>
      <c r="R40" s="798">
        <f t="shared" ca="1" si="4"/>
        <v>21293.808927418388</v>
      </c>
    </row>
    <row r="41" spans="1:18">
      <c r="A41" s="770" t="s">
        <v>214</v>
      </c>
      <c r="B41" s="777"/>
      <c r="C41" s="637">
        <f ca="1">huishoudens!B12</f>
        <v>6579.2011284741275</v>
      </c>
      <c r="D41" s="637">
        <f ca="1">huishoudens!C12</f>
        <v>0</v>
      </c>
      <c r="E41" s="637">
        <f>huishoudens!D12</f>
        <v>19907.720058938816</v>
      </c>
      <c r="F41" s="637">
        <f>huishoudens!E12</f>
        <v>400.15652827495995</v>
      </c>
      <c r="G41" s="637">
        <f>huishoudens!F12</f>
        <v>5962.6843939311702</v>
      </c>
      <c r="H41" s="637">
        <f>huishoudens!G12</f>
        <v>0</v>
      </c>
      <c r="I41" s="637">
        <f>huishoudens!H12</f>
        <v>0</v>
      </c>
      <c r="J41" s="637">
        <f>huishoudens!I12</f>
        <v>0</v>
      </c>
      <c r="K41" s="637">
        <f>huishoudens!J12</f>
        <v>50.600277430084198</v>
      </c>
      <c r="L41" s="637">
        <f>huishoudens!K12</f>
        <v>0</v>
      </c>
      <c r="M41" s="637">
        <f>huishoudens!L12</f>
        <v>0</v>
      </c>
      <c r="N41" s="637">
        <f>huishoudens!M12</f>
        <v>0</v>
      </c>
      <c r="O41" s="637">
        <f>huishoudens!N12</f>
        <v>0</v>
      </c>
      <c r="P41" s="637">
        <f>huishoudens!O12</f>
        <v>0</v>
      </c>
      <c r="Q41" s="720">
        <f>huishoudens!P12</f>
        <v>0</v>
      </c>
      <c r="R41" s="798">
        <f t="shared" ca="1" si="4"/>
        <v>32900.362387049165</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2052.2862901614772</v>
      </c>
      <c r="D43" s="637">
        <f ca="1">industrie!C22</f>
        <v>0</v>
      </c>
      <c r="E43" s="637">
        <f>industrie!D22</f>
        <v>2112.1910285360846</v>
      </c>
      <c r="F43" s="637">
        <f>industrie!E22</f>
        <v>7.2209291574841643</v>
      </c>
      <c r="G43" s="637">
        <f>industrie!F22</f>
        <v>464.51252013236029</v>
      </c>
      <c r="H43" s="637">
        <f>industrie!G22</f>
        <v>0</v>
      </c>
      <c r="I43" s="637">
        <f>industrie!H22</f>
        <v>0</v>
      </c>
      <c r="J43" s="637">
        <f>industrie!I22</f>
        <v>0</v>
      </c>
      <c r="K43" s="637">
        <f>industrie!J22</f>
        <v>2.450475381477318E-2</v>
      </c>
      <c r="L43" s="637">
        <f>industrie!K22</f>
        <v>0</v>
      </c>
      <c r="M43" s="637">
        <f>industrie!L22</f>
        <v>0</v>
      </c>
      <c r="N43" s="637">
        <f>industrie!M22</f>
        <v>0</v>
      </c>
      <c r="O43" s="637">
        <f>industrie!N22</f>
        <v>0</v>
      </c>
      <c r="P43" s="637">
        <f>industrie!O22</f>
        <v>0</v>
      </c>
      <c r="Q43" s="720">
        <f>industrie!P22</f>
        <v>0</v>
      </c>
      <c r="R43" s="797">
        <f t="shared" ca="1" si="4"/>
        <v>4636.2352727412208</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17768.411198143996</v>
      </c>
      <c r="D46" s="673">
        <f t="shared" ref="D46:Q46" ca="1" si="5">SUM(D39:D45)</f>
        <v>1825.1896707738438</v>
      </c>
      <c r="E46" s="673">
        <f t="shared" ca="1" si="5"/>
        <v>31182.650129581278</v>
      </c>
      <c r="F46" s="673">
        <f t="shared" ca="1" si="5"/>
        <v>416.56833707632393</v>
      </c>
      <c r="G46" s="673">
        <f t="shared" ca="1" si="5"/>
        <v>7586.9502268042961</v>
      </c>
      <c r="H46" s="673">
        <f t="shared" si="5"/>
        <v>0</v>
      </c>
      <c r="I46" s="673">
        <f t="shared" si="5"/>
        <v>0</v>
      </c>
      <c r="J46" s="673">
        <f t="shared" si="5"/>
        <v>0</v>
      </c>
      <c r="K46" s="673">
        <f t="shared" si="5"/>
        <v>50.637024829027055</v>
      </c>
      <c r="L46" s="673">
        <f t="shared" si="5"/>
        <v>0</v>
      </c>
      <c r="M46" s="673">
        <f t="shared" ca="1" si="5"/>
        <v>0</v>
      </c>
      <c r="N46" s="673">
        <f t="shared" si="5"/>
        <v>0</v>
      </c>
      <c r="O46" s="673">
        <f t="shared" ca="1" si="5"/>
        <v>0</v>
      </c>
      <c r="P46" s="673">
        <f t="shared" si="5"/>
        <v>0</v>
      </c>
      <c r="Q46" s="673">
        <f t="shared" si="5"/>
        <v>0</v>
      </c>
      <c r="R46" s="673">
        <f ca="1">SUM(R39:R45)</f>
        <v>58830.406587208774</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11.07534783099667</v>
      </c>
      <c r="D49" s="637">
        <f ca="1">transport!C58</f>
        <v>0</v>
      </c>
      <c r="E49" s="637">
        <f>transport!D58</f>
        <v>0</v>
      </c>
      <c r="F49" s="637">
        <f>transport!E58</f>
        <v>0</v>
      </c>
      <c r="G49" s="637">
        <f>transport!F58</f>
        <v>0</v>
      </c>
      <c r="H49" s="637">
        <f>transport!G58</f>
        <v>569.42853937310281</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580.50388720409944</v>
      </c>
    </row>
    <row r="50" spans="1:18">
      <c r="A50" s="773" t="s">
        <v>294</v>
      </c>
      <c r="B50" s="783"/>
      <c r="C50" s="643">
        <f ca="1">transport!B18</f>
        <v>141.29816543459091</v>
      </c>
      <c r="D50" s="643">
        <f>transport!C18</f>
        <v>0</v>
      </c>
      <c r="E50" s="643">
        <f>transport!D18</f>
        <v>117.48624423165775</v>
      </c>
      <c r="F50" s="643">
        <f>transport!E18</f>
        <v>48.975183152514127</v>
      </c>
      <c r="G50" s="643">
        <f>transport!F18</f>
        <v>0</v>
      </c>
      <c r="H50" s="643">
        <f>transport!G18</f>
        <v>21982.075789120317</v>
      </c>
      <c r="I50" s="643">
        <f>transport!H18</f>
        <v>7054.6701035272881</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29344.505485466369</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152.37351326558758</v>
      </c>
      <c r="D52" s="673">
        <f t="shared" ref="D52:Q52" ca="1" si="6">SUM(D48:D51)</f>
        <v>0</v>
      </c>
      <c r="E52" s="673">
        <f t="shared" si="6"/>
        <v>117.48624423165775</v>
      </c>
      <c r="F52" s="673">
        <f t="shared" si="6"/>
        <v>48.975183152514127</v>
      </c>
      <c r="G52" s="673">
        <f t="shared" si="6"/>
        <v>0</v>
      </c>
      <c r="H52" s="673">
        <f t="shared" si="6"/>
        <v>22551.504328493422</v>
      </c>
      <c r="I52" s="673">
        <f t="shared" si="6"/>
        <v>7054.6701035272881</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29925.009372670469</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71.912625682671845</v>
      </c>
      <c r="D54" s="643">
        <f ca="1">+landbouw!C12</f>
        <v>0</v>
      </c>
      <c r="E54" s="643">
        <f>+landbouw!D12</f>
        <v>131.74048459296603</v>
      </c>
      <c r="F54" s="643">
        <f>+landbouw!E12</f>
        <v>2.5811823599938291</v>
      </c>
      <c r="G54" s="643">
        <f>+landbouw!F12</f>
        <v>311.93313284552369</v>
      </c>
      <c r="H54" s="643">
        <f>+landbouw!G12</f>
        <v>0</v>
      </c>
      <c r="I54" s="643">
        <f>+landbouw!H12</f>
        <v>0</v>
      </c>
      <c r="J54" s="643">
        <f>+landbouw!I12</f>
        <v>0</v>
      </c>
      <c r="K54" s="643">
        <f>+landbouw!J12</f>
        <v>25.909293043805224</v>
      </c>
      <c r="L54" s="643">
        <f>+landbouw!K12</f>
        <v>0</v>
      </c>
      <c r="M54" s="643">
        <f>+landbouw!L12</f>
        <v>0</v>
      </c>
      <c r="N54" s="643">
        <f>+landbouw!M12</f>
        <v>0</v>
      </c>
      <c r="O54" s="643">
        <f>+landbouw!N12</f>
        <v>0</v>
      </c>
      <c r="P54" s="643">
        <f>+landbouw!O12</f>
        <v>0</v>
      </c>
      <c r="Q54" s="644">
        <f>+landbouw!P12</f>
        <v>0</v>
      </c>
      <c r="R54" s="672">
        <f ca="1">SUM(C54:Q54)</f>
        <v>544.07671852496048</v>
      </c>
    </row>
    <row r="55" spans="1:18" ht="15" thickBot="1">
      <c r="A55" s="773" t="s">
        <v>634</v>
      </c>
      <c r="B55" s="783"/>
      <c r="C55" s="643">
        <f ca="1">C25*'EF ele_warmte'!B12</f>
        <v>174.96883506804005</v>
      </c>
      <c r="D55" s="643"/>
      <c r="E55" s="643">
        <f>E25*EF_CO2_aardgas</f>
        <v>480.80648277399519</v>
      </c>
      <c r="F55" s="643"/>
      <c r="G55" s="643"/>
      <c r="H55" s="643"/>
      <c r="I55" s="643"/>
      <c r="J55" s="643"/>
      <c r="K55" s="643"/>
      <c r="L55" s="643"/>
      <c r="M55" s="643"/>
      <c r="N55" s="643"/>
      <c r="O55" s="643"/>
      <c r="P55" s="643"/>
      <c r="Q55" s="644"/>
      <c r="R55" s="672">
        <f ca="1">SUM(C55:Q55)</f>
        <v>655.77531784203529</v>
      </c>
    </row>
    <row r="56" spans="1:18" ht="15.75" thickBot="1">
      <c r="A56" s="771" t="s">
        <v>635</v>
      </c>
      <c r="B56" s="784"/>
      <c r="C56" s="673">
        <f ca="1">SUM(C54:C55)</f>
        <v>246.88146075071188</v>
      </c>
      <c r="D56" s="673">
        <f t="shared" ref="D56:Q56" ca="1" si="7">SUM(D54:D55)</f>
        <v>0</v>
      </c>
      <c r="E56" s="673">
        <f t="shared" si="7"/>
        <v>612.54696736696121</v>
      </c>
      <c r="F56" s="673">
        <f t="shared" si="7"/>
        <v>2.5811823599938291</v>
      </c>
      <c r="G56" s="673">
        <f t="shared" si="7"/>
        <v>311.93313284552369</v>
      </c>
      <c r="H56" s="673">
        <f t="shared" si="7"/>
        <v>0</v>
      </c>
      <c r="I56" s="673">
        <f t="shared" si="7"/>
        <v>0</v>
      </c>
      <c r="J56" s="673">
        <f t="shared" si="7"/>
        <v>0</v>
      </c>
      <c r="K56" s="673">
        <f t="shared" si="7"/>
        <v>25.909293043805224</v>
      </c>
      <c r="L56" s="673">
        <f t="shared" si="7"/>
        <v>0</v>
      </c>
      <c r="M56" s="673">
        <f t="shared" si="7"/>
        <v>0</v>
      </c>
      <c r="N56" s="673">
        <f t="shared" si="7"/>
        <v>0</v>
      </c>
      <c r="O56" s="673">
        <f t="shared" si="7"/>
        <v>0</v>
      </c>
      <c r="P56" s="673">
        <f t="shared" si="7"/>
        <v>0</v>
      </c>
      <c r="Q56" s="674">
        <f t="shared" si="7"/>
        <v>0</v>
      </c>
      <c r="R56" s="675">
        <f ca="1">SUM(R54:R55)</f>
        <v>1199.8520363669959</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18167.666172160298</v>
      </c>
      <c r="D61" s="681">
        <f t="shared" ref="D61:Q61" ca="1" si="8">D46+D52+D56</f>
        <v>1825.1896707738438</v>
      </c>
      <c r="E61" s="681">
        <f t="shared" ca="1" si="8"/>
        <v>31912.683341179898</v>
      </c>
      <c r="F61" s="681">
        <f t="shared" ca="1" si="8"/>
        <v>468.12470258883189</v>
      </c>
      <c r="G61" s="681">
        <f t="shared" ca="1" si="8"/>
        <v>7898.8833596498198</v>
      </c>
      <c r="H61" s="681">
        <f t="shared" si="8"/>
        <v>22551.504328493422</v>
      </c>
      <c r="I61" s="681">
        <f t="shared" si="8"/>
        <v>7054.6701035272881</v>
      </c>
      <c r="J61" s="681">
        <f t="shared" si="8"/>
        <v>0</v>
      </c>
      <c r="K61" s="681">
        <f t="shared" si="8"/>
        <v>76.546317872832276</v>
      </c>
      <c r="L61" s="681">
        <f t="shared" si="8"/>
        <v>0</v>
      </c>
      <c r="M61" s="681">
        <f t="shared" ca="1" si="8"/>
        <v>0</v>
      </c>
      <c r="N61" s="681">
        <f t="shared" si="8"/>
        <v>0</v>
      </c>
      <c r="O61" s="681">
        <f t="shared" ca="1" si="8"/>
        <v>0</v>
      </c>
      <c r="P61" s="681">
        <f t="shared" si="8"/>
        <v>0</v>
      </c>
      <c r="Q61" s="681">
        <f t="shared" si="8"/>
        <v>0</v>
      </c>
      <c r="R61" s="681">
        <f ca="1">R46+R52+R56</f>
        <v>89955.267996246243</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0.21326501086578215</v>
      </c>
      <c r="D63" s="727">
        <f t="shared" ca="1" si="9"/>
        <v>0.2313620709246543</v>
      </c>
      <c r="E63" s="916">
        <f t="shared" ca="1" si="9"/>
        <v>0.20200000000000004</v>
      </c>
      <c r="F63" s="727">
        <f t="shared" ca="1" si="9"/>
        <v>0.22699999999999998</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3303.9980434606973</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6876.3888894390011</v>
      </c>
      <c r="D76" s="899">
        <f>'lokale energieproductie'!C8</f>
        <v>7875.9186828905495</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1590.9355739438911</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3303.9980434606973</v>
      </c>
      <c r="C78" s="699">
        <f>SUM(C72:C77)</f>
        <v>6876.3888894390011</v>
      </c>
      <c r="D78" s="700">
        <f t="shared" ref="D78:H78" si="10">SUM(D76:D77)</f>
        <v>7875.9186828905495</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1590.9355739438911</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7888.8888895200007</v>
      </c>
      <c r="D87" s="723">
        <f>'lokale energieproductie'!C17</f>
        <v>9035.592429573484</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1825.1896707738438</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7888.8888895200007</v>
      </c>
      <c r="D90" s="699">
        <f t="shared" ref="D90:H90" si="12">SUM(D87:D89)</f>
        <v>9035.592429573484</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1825.1896707738438</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30849.88532232666</v>
      </c>
      <c r="C4" s="443">
        <f>huishoudens!C8</f>
        <v>0</v>
      </c>
      <c r="D4" s="443">
        <f>huishoudens!D8</f>
        <v>98553.069598707007</v>
      </c>
      <c r="E4" s="443">
        <f>huishoudens!E8</f>
        <v>1762.8040893170041</v>
      </c>
      <c r="F4" s="443">
        <f>huishoudens!F8</f>
        <v>22332.151288131721</v>
      </c>
      <c r="G4" s="443">
        <f>huishoudens!G8</f>
        <v>0</v>
      </c>
      <c r="H4" s="443">
        <f>huishoudens!H8</f>
        <v>0</v>
      </c>
      <c r="I4" s="443">
        <f>huishoudens!I8</f>
        <v>0</v>
      </c>
      <c r="J4" s="443">
        <f>huishoudens!J8</f>
        <v>142.93863680814746</v>
      </c>
      <c r="K4" s="443">
        <f>huishoudens!K8</f>
        <v>0</v>
      </c>
      <c r="L4" s="443">
        <f>huishoudens!L8</f>
        <v>0</v>
      </c>
      <c r="M4" s="443">
        <f>huishoudens!M8</f>
        <v>0</v>
      </c>
      <c r="N4" s="443">
        <f>huishoudens!N8</f>
        <v>9926.6002846372648</v>
      </c>
      <c r="O4" s="443">
        <f>huishoudens!O8</f>
        <v>249.97873564276603</v>
      </c>
      <c r="P4" s="444">
        <f>huishoudens!P8</f>
        <v>674.17339569184151</v>
      </c>
      <c r="Q4" s="445">
        <f>SUM(B4:P4)</f>
        <v>164491.60135126245</v>
      </c>
    </row>
    <row r="5" spans="1:17">
      <c r="A5" s="442" t="s">
        <v>149</v>
      </c>
      <c r="B5" s="443">
        <f ca="1">tertiair!B16</f>
        <v>41934.801199142537</v>
      </c>
      <c r="C5" s="443">
        <f ca="1">tertiair!C16</f>
        <v>7888.8888895200007</v>
      </c>
      <c r="D5" s="443">
        <f ca="1">tertiair!D16</f>
        <v>45360.094267853354</v>
      </c>
      <c r="E5" s="443">
        <f ca="1">tertiair!E16</f>
        <v>40.488456580968524</v>
      </c>
      <c r="F5" s="443">
        <f ca="1">tertiair!F16</f>
        <v>4343.6453660702837</v>
      </c>
      <c r="G5" s="443">
        <f>tertiair!G16</f>
        <v>0</v>
      </c>
      <c r="H5" s="443">
        <f>tertiair!H16</f>
        <v>0</v>
      </c>
      <c r="I5" s="443">
        <f>tertiair!I16</f>
        <v>0</v>
      </c>
      <c r="J5" s="443">
        <f>tertiair!J16</f>
        <v>3.4583743299665258E-2</v>
      </c>
      <c r="K5" s="443">
        <f>tertiair!K16</f>
        <v>0</v>
      </c>
      <c r="L5" s="443">
        <f ca="1">tertiair!L16</f>
        <v>0</v>
      </c>
      <c r="M5" s="443">
        <f>tertiair!M16</f>
        <v>0</v>
      </c>
      <c r="N5" s="443">
        <f ca="1">tertiair!N16</f>
        <v>1395.6436365870984</v>
      </c>
      <c r="O5" s="443">
        <f>tertiair!O16</f>
        <v>14.691782297523464</v>
      </c>
      <c r="P5" s="444">
        <f>tertiair!P16</f>
        <v>0</v>
      </c>
      <c r="Q5" s="442">
        <f t="shared" ref="Q5:Q14" ca="1" si="0">SUM(B5:P5)</f>
        <v>100978.28818179505</v>
      </c>
    </row>
    <row r="6" spans="1:17">
      <c r="A6" s="442" t="s">
        <v>187</v>
      </c>
      <c r="B6" s="443">
        <f>'openbare verlichting'!B8</f>
        <v>908.25</v>
      </c>
      <c r="C6" s="443"/>
      <c r="D6" s="443"/>
      <c r="E6" s="443"/>
      <c r="F6" s="443"/>
      <c r="G6" s="443"/>
      <c r="H6" s="443"/>
      <c r="I6" s="443"/>
      <c r="J6" s="443"/>
      <c r="K6" s="443"/>
      <c r="L6" s="443"/>
      <c r="M6" s="443"/>
      <c r="N6" s="443"/>
      <c r="O6" s="443"/>
      <c r="P6" s="444"/>
      <c r="Q6" s="442">
        <f t="shared" si="0"/>
        <v>908.25</v>
      </c>
    </row>
    <row r="7" spans="1:17">
      <c r="A7" s="442" t="s">
        <v>105</v>
      </c>
      <c r="B7" s="443">
        <f>landbouw!B8</f>
        <v>337.19842458325201</v>
      </c>
      <c r="C7" s="443">
        <f>landbouw!C8</f>
        <v>0</v>
      </c>
      <c r="D7" s="443">
        <f>landbouw!D8</f>
        <v>652.1806167968615</v>
      </c>
      <c r="E7" s="443">
        <f>landbouw!E8</f>
        <v>11.370847400853872</v>
      </c>
      <c r="F7" s="443">
        <f>landbouw!F8</f>
        <v>1168.2888870618865</v>
      </c>
      <c r="G7" s="443">
        <f>landbouw!G8</f>
        <v>0</v>
      </c>
      <c r="H7" s="443">
        <f>landbouw!H8</f>
        <v>0</v>
      </c>
      <c r="I7" s="443">
        <f>landbouw!I8</f>
        <v>0</v>
      </c>
      <c r="J7" s="443">
        <f>landbouw!J8</f>
        <v>73.190093344082555</v>
      </c>
      <c r="K7" s="443">
        <f>landbouw!K8</f>
        <v>0</v>
      </c>
      <c r="L7" s="443">
        <f>landbouw!L8</f>
        <v>0</v>
      </c>
      <c r="M7" s="443">
        <f>landbouw!M8</f>
        <v>0</v>
      </c>
      <c r="N7" s="443">
        <f>landbouw!N8</f>
        <v>0</v>
      </c>
      <c r="O7" s="443">
        <f>landbouw!O8</f>
        <v>0</v>
      </c>
      <c r="P7" s="444">
        <f>landbouw!P8</f>
        <v>0</v>
      </c>
      <c r="Q7" s="442">
        <f t="shared" si="0"/>
        <v>2242.2288691869362</v>
      </c>
    </row>
    <row r="8" spans="1:17">
      <c r="A8" s="442" t="s">
        <v>569</v>
      </c>
      <c r="B8" s="443">
        <f>industrie!B18</f>
        <v>9623.1739178869775</v>
      </c>
      <c r="C8" s="443">
        <f>industrie!C18</f>
        <v>0</v>
      </c>
      <c r="D8" s="443">
        <f>industrie!D18</f>
        <v>10456.391230376656</v>
      </c>
      <c r="E8" s="443">
        <f>industrie!E18</f>
        <v>31.81026060565711</v>
      </c>
      <c r="F8" s="443">
        <f>industrie!F18</f>
        <v>1739.7472664133343</v>
      </c>
      <c r="G8" s="443">
        <f>industrie!G18</f>
        <v>0</v>
      </c>
      <c r="H8" s="443">
        <f>industrie!H18</f>
        <v>0</v>
      </c>
      <c r="I8" s="443">
        <f>industrie!I18</f>
        <v>0</v>
      </c>
      <c r="J8" s="443">
        <f>industrie!J18</f>
        <v>6.9222468403314072E-2</v>
      </c>
      <c r="K8" s="443">
        <f>industrie!K18</f>
        <v>0</v>
      </c>
      <c r="L8" s="443">
        <f>industrie!L18</f>
        <v>0</v>
      </c>
      <c r="M8" s="443">
        <f>industrie!M18</f>
        <v>0</v>
      </c>
      <c r="N8" s="443">
        <f>industrie!N18</f>
        <v>195.57904633394509</v>
      </c>
      <c r="O8" s="443">
        <f>industrie!O18</f>
        <v>0</v>
      </c>
      <c r="P8" s="444">
        <f>industrie!P18</f>
        <v>0</v>
      </c>
      <c r="Q8" s="442">
        <f t="shared" si="0"/>
        <v>22046.770944084969</v>
      </c>
    </row>
    <row r="9" spans="1:17" s="448" customFormat="1">
      <c r="A9" s="446" t="s">
        <v>521</v>
      </c>
      <c r="B9" s="447">
        <f>transport!B14</f>
        <v>662.54733892338584</v>
      </c>
      <c r="C9" s="447">
        <f>transport!C14</f>
        <v>0</v>
      </c>
      <c r="D9" s="447">
        <f>transport!D14</f>
        <v>581.61507045375117</v>
      </c>
      <c r="E9" s="447">
        <f>transport!E14</f>
        <v>215.74970551768337</v>
      </c>
      <c r="F9" s="447">
        <f>transport!F14</f>
        <v>0</v>
      </c>
      <c r="G9" s="447">
        <f>transport!G14</f>
        <v>82329.871869364477</v>
      </c>
      <c r="H9" s="447">
        <f>transport!H14</f>
        <v>28332.008447900756</v>
      </c>
      <c r="I9" s="447">
        <f>transport!I14</f>
        <v>0</v>
      </c>
      <c r="J9" s="447">
        <f>transport!J14</f>
        <v>0</v>
      </c>
      <c r="K9" s="447">
        <f>transport!K14</f>
        <v>0</v>
      </c>
      <c r="L9" s="447">
        <f>transport!L14</f>
        <v>0</v>
      </c>
      <c r="M9" s="447">
        <f>transport!M14</f>
        <v>11653.814126065348</v>
      </c>
      <c r="N9" s="447">
        <f>transport!N14</f>
        <v>0</v>
      </c>
      <c r="O9" s="447">
        <f>transport!O14</f>
        <v>0</v>
      </c>
      <c r="P9" s="447">
        <f>transport!P14</f>
        <v>0</v>
      </c>
      <c r="Q9" s="446">
        <f>SUM(B9:P9)</f>
        <v>123775.60655822541</v>
      </c>
    </row>
    <row r="10" spans="1:17">
      <c r="A10" s="442" t="s">
        <v>511</v>
      </c>
      <c r="B10" s="443">
        <f>transport!B54</f>
        <v>51.932324885524316</v>
      </c>
      <c r="C10" s="443">
        <f>transport!C54</f>
        <v>0</v>
      </c>
      <c r="D10" s="443">
        <f>transport!D54</f>
        <v>0</v>
      </c>
      <c r="E10" s="443">
        <f>transport!E54</f>
        <v>0</v>
      </c>
      <c r="F10" s="443">
        <f>transport!F54</f>
        <v>0</v>
      </c>
      <c r="G10" s="443">
        <f>transport!G54</f>
        <v>2132.6911587007594</v>
      </c>
      <c r="H10" s="443">
        <f>transport!H54</f>
        <v>0</v>
      </c>
      <c r="I10" s="443">
        <f>transport!I54</f>
        <v>0</v>
      </c>
      <c r="J10" s="443">
        <f>transport!J54</f>
        <v>0</v>
      </c>
      <c r="K10" s="443">
        <f>transport!K54</f>
        <v>0</v>
      </c>
      <c r="L10" s="443">
        <f>transport!L54</f>
        <v>0</v>
      </c>
      <c r="M10" s="443">
        <f>transport!M54</f>
        <v>238.73107640844339</v>
      </c>
      <c r="N10" s="443">
        <f>transport!N54</f>
        <v>0</v>
      </c>
      <c r="O10" s="443">
        <f>transport!O54</f>
        <v>0</v>
      </c>
      <c r="P10" s="444">
        <f>transport!P54</f>
        <v>0</v>
      </c>
      <c r="Q10" s="442">
        <f t="shared" si="0"/>
        <v>2423.354559994727</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820.42916631156299</v>
      </c>
      <c r="C14" s="450"/>
      <c r="D14" s="450">
        <f>'SEAP template'!E25</f>
        <v>2380.2301127425503</v>
      </c>
      <c r="E14" s="450"/>
      <c r="F14" s="450"/>
      <c r="G14" s="450"/>
      <c r="H14" s="450"/>
      <c r="I14" s="450"/>
      <c r="J14" s="450"/>
      <c r="K14" s="450"/>
      <c r="L14" s="450"/>
      <c r="M14" s="450"/>
      <c r="N14" s="450"/>
      <c r="O14" s="450"/>
      <c r="P14" s="451"/>
      <c r="Q14" s="442">
        <f t="shared" si="0"/>
        <v>3200.6592790541135</v>
      </c>
    </row>
    <row r="15" spans="1:17" s="454" customFormat="1">
      <c r="A15" s="452" t="s">
        <v>515</v>
      </c>
      <c r="B15" s="453">
        <f ca="1">SUM(B4:B14)</f>
        <v>85188.217694059887</v>
      </c>
      <c r="C15" s="453">
        <f t="shared" ref="C15:Q15" ca="1" si="1">SUM(C4:C14)</f>
        <v>7888.8888895200007</v>
      </c>
      <c r="D15" s="453">
        <f t="shared" ca="1" si="1"/>
        <v>157983.58089693019</v>
      </c>
      <c r="E15" s="453">
        <f t="shared" ca="1" si="1"/>
        <v>2062.2233594221666</v>
      </c>
      <c r="F15" s="453">
        <f t="shared" ca="1" si="1"/>
        <v>29583.832807677227</v>
      </c>
      <c r="G15" s="453">
        <f t="shared" si="1"/>
        <v>84462.56302806524</v>
      </c>
      <c r="H15" s="453">
        <f t="shared" si="1"/>
        <v>28332.008447900756</v>
      </c>
      <c r="I15" s="453">
        <f t="shared" si="1"/>
        <v>0</v>
      </c>
      <c r="J15" s="453">
        <f t="shared" si="1"/>
        <v>216.23253636393301</v>
      </c>
      <c r="K15" s="453">
        <f t="shared" si="1"/>
        <v>0</v>
      </c>
      <c r="L15" s="453">
        <f t="shared" ca="1" si="1"/>
        <v>0</v>
      </c>
      <c r="M15" s="453">
        <f t="shared" si="1"/>
        <v>11892.545202473792</v>
      </c>
      <c r="N15" s="453">
        <f t="shared" ca="1" si="1"/>
        <v>11517.822967558308</v>
      </c>
      <c r="O15" s="453">
        <f t="shared" si="1"/>
        <v>264.67051794028947</v>
      </c>
      <c r="P15" s="453">
        <f t="shared" si="1"/>
        <v>674.17339569184151</v>
      </c>
      <c r="Q15" s="453">
        <f t="shared" ca="1" si="1"/>
        <v>420066.75974360364</v>
      </c>
    </row>
    <row r="17" spans="1:17">
      <c r="A17" s="455" t="s">
        <v>516</v>
      </c>
      <c r="B17" s="732">
        <f ca="1">huishoudens!B10</f>
        <v>0.21326501086578212</v>
      </c>
      <c r="C17" s="732">
        <f ca="1">huishoudens!C10</f>
        <v>0.2313620709246543</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6579.2011284741275</v>
      </c>
      <c r="C22" s="443">
        <f t="shared" ref="C22:C32" ca="1" si="3">C4*$C$17</f>
        <v>0</v>
      </c>
      <c r="D22" s="443">
        <f t="shared" ref="D22:D32" si="4">D4*$D$17</f>
        <v>19907.720058938816</v>
      </c>
      <c r="E22" s="443">
        <f t="shared" ref="E22:E32" si="5">E4*$E$17</f>
        <v>400.15652827495995</v>
      </c>
      <c r="F22" s="443">
        <f t="shared" ref="F22:F32" si="6">F4*$F$17</f>
        <v>5962.6843939311702</v>
      </c>
      <c r="G22" s="443">
        <f t="shared" ref="G22:G32" si="7">G4*$G$17</f>
        <v>0</v>
      </c>
      <c r="H22" s="443">
        <f t="shared" ref="H22:H32" si="8">H4*$H$17</f>
        <v>0</v>
      </c>
      <c r="I22" s="443">
        <f t="shared" ref="I22:I32" si="9">I4*$I$17</f>
        <v>0</v>
      </c>
      <c r="J22" s="443">
        <f t="shared" ref="J22:J32" si="10">J4*$J$17</f>
        <v>50.600277430084198</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32900.362387049165</v>
      </c>
    </row>
    <row r="23" spans="1:17">
      <c r="A23" s="442" t="s">
        <v>149</v>
      </c>
      <c r="B23" s="443">
        <f t="shared" ca="1" si="2"/>
        <v>8943.2258333895461</v>
      </c>
      <c r="C23" s="443">
        <f t="shared" ca="1" si="3"/>
        <v>1825.1896707738438</v>
      </c>
      <c r="D23" s="443">
        <f t="shared" ca="1" si="4"/>
        <v>9162.7390421063774</v>
      </c>
      <c r="E23" s="443">
        <f t="shared" ca="1" si="5"/>
        <v>9.190879643879855</v>
      </c>
      <c r="F23" s="443">
        <f t="shared" ca="1" si="6"/>
        <v>1159.7533127407658</v>
      </c>
      <c r="G23" s="443">
        <f t="shared" si="7"/>
        <v>0</v>
      </c>
      <c r="H23" s="443">
        <f t="shared" si="8"/>
        <v>0</v>
      </c>
      <c r="I23" s="443">
        <f t="shared" si="9"/>
        <v>0</v>
      </c>
      <c r="J23" s="443">
        <f t="shared" si="10"/>
        <v>1.22426451280815E-2</v>
      </c>
      <c r="K23" s="443">
        <f t="shared" si="11"/>
        <v>0</v>
      </c>
      <c r="L23" s="443">
        <f t="shared" ca="1" si="12"/>
        <v>0</v>
      </c>
      <c r="M23" s="443">
        <f t="shared" si="13"/>
        <v>0</v>
      </c>
      <c r="N23" s="443">
        <f t="shared" ca="1" si="14"/>
        <v>0</v>
      </c>
      <c r="O23" s="443">
        <f t="shared" si="15"/>
        <v>0</v>
      </c>
      <c r="P23" s="444">
        <f t="shared" si="16"/>
        <v>0</v>
      </c>
      <c r="Q23" s="442">
        <f t="shared" ref="Q23:Q31" ca="1" si="17">SUM(B23:P23)</f>
        <v>21100.110981299542</v>
      </c>
    </row>
    <row r="24" spans="1:17">
      <c r="A24" s="442" t="s">
        <v>187</v>
      </c>
      <c r="B24" s="443">
        <f t="shared" ca="1" si="2"/>
        <v>193.6979461188466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193.6979461188466</v>
      </c>
    </row>
    <row r="25" spans="1:17">
      <c r="A25" s="442" t="s">
        <v>105</v>
      </c>
      <c r="B25" s="443">
        <f t="shared" ca="1" si="2"/>
        <v>71.912625682671845</v>
      </c>
      <c r="C25" s="443">
        <f t="shared" ca="1" si="3"/>
        <v>0</v>
      </c>
      <c r="D25" s="443">
        <f t="shared" si="4"/>
        <v>131.74048459296603</v>
      </c>
      <c r="E25" s="443">
        <f t="shared" si="5"/>
        <v>2.5811823599938291</v>
      </c>
      <c r="F25" s="443">
        <f t="shared" si="6"/>
        <v>311.93313284552369</v>
      </c>
      <c r="G25" s="443">
        <f t="shared" si="7"/>
        <v>0</v>
      </c>
      <c r="H25" s="443">
        <f t="shared" si="8"/>
        <v>0</v>
      </c>
      <c r="I25" s="443">
        <f t="shared" si="9"/>
        <v>0</v>
      </c>
      <c r="J25" s="443">
        <f t="shared" si="10"/>
        <v>25.909293043805224</v>
      </c>
      <c r="K25" s="443">
        <f t="shared" si="11"/>
        <v>0</v>
      </c>
      <c r="L25" s="443">
        <f t="shared" si="12"/>
        <v>0</v>
      </c>
      <c r="M25" s="443">
        <f t="shared" si="13"/>
        <v>0</v>
      </c>
      <c r="N25" s="443">
        <f t="shared" si="14"/>
        <v>0</v>
      </c>
      <c r="O25" s="443">
        <f t="shared" si="15"/>
        <v>0</v>
      </c>
      <c r="P25" s="444">
        <f t="shared" si="16"/>
        <v>0</v>
      </c>
      <c r="Q25" s="442">
        <f t="shared" ca="1" si="17"/>
        <v>544.07671852496048</v>
      </c>
    </row>
    <row r="26" spans="1:17">
      <c r="A26" s="442" t="s">
        <v>569</v>
      </c>
      <c r="B26" s="443">
        <f t="shared" ca="1" si="2"/>
        <v>2052.2862901614772</v>
      </c>
      <c r="C26" s="443">
        <f t="shared" ca="1" si="3"/>
        <v>0</v>
      </c>
      <c r="D26" s="443">
        <f t="shared" si="4"/>
        <v>2112.1910285360846</v>
      </c>
      <c r="E26" s="443">
        <f t="shared" si="5"/>
        <v>7.2209291574841643</v>
      </c>
      <c r="F26" s="443">
        <f t="shared" si="6"/>
        <v>464.51252013236029</v>
      </c>
      <c r="G26" s="443">
        <f t="shared" si="7"/>
        <v>0</v>
      </c>
      <c r="H26" s="443">
        <f t="shared" si="8"/>
        <v>0</v>
      </c>
      <c r="I26" s="443">
        <f t="shared" si="9"/>
        <v>0</v>
      </c>
      <c r="J26" s="443">
        <f t="shared" si="10"/>
        <v>2.450475381477318E-2</v>
      </c>
      <c r="K26" s="443">
        <f t="shared" si="11"/>
        <v>0</v>
      </c>
      <c r="L26" s="443">
        <f t="shared" si="12"/>
        <v>0</v>
      </c>
      <c r="M26" s="443">
        <f t="shared" si="13"/>
        <v>0</v>
      </c>
      <c r="N26" s="443">
        <f t="shared" si="14"/>
        <v>0</v>
      </c>
      <c r="O26" s="443">
        <f t="shared" si="15"/>
        <v>0</v>
      </c>
      <c r="P26" s="444">
        <f t="shared" si="16"/>
        <v>0</v>
      </c>
      <c r="Q26" s="442">
        <f t="shared" ca="1" si="17"/>
        <v>4636.2352727412208</v>
      </c>
    </row>
    <row r="27" spans="1:17" s="448" customFormat="1">
      <c r="A27" s="446" t="s">
        <v>521</v>
      </c>
      <c r="B27" s="726">
        <f t="shared" ca="1" si="2"/>
        <v>141.29816543459091</v>
      </c>
      <c r="C27" s="447">
        <f t="shared" ca="1" si="3"/>
        <v>0</v>
      </c>
      <c r="D27" s="447">
        <f t="shared" si="4"/>
        <v>117.48624423165775</v>
      </c>
      <c r="E27" s="447">
        <f t="shared" si="5"/>
        <v>48.975183152514127</v>
      </c>
      <c r="F27" s="447">
        <f t="shared" si="6"/>
        <v>0</v>
      </c>
      <c r="G27" s="447">
        <f t="shared" si="7"/>
        <v>21982.075789120317</v>
      </c>
      <c r="H27" s="447">
        <f t="shared" si="8"/>
        <v>7054.6701035272881</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29344.505485466369</v>
      </c>
    </row>
    <row r="28" spans="1:17" ht="16.5" customHeight="1">
      <c r="A28" s="442" t="s">
        <v>511</v>
      </c>
      <c r="B28" s="443">
        <f t="shared" ca="1" si="2"/>
        <v>11.07534783099667</v>
      </c>
      <c r="C28" s="443">
        <f t="shared" ca="1" si="3"/>
        <v>0</v>
      </c>
      <c r="D28" s="443">
        <f t="shared" si="4"/>
        <v>0</v>
      </c>
      <c r="E28" s="443">
        <f t="shared" si="5"/>
        <v>0</v>
      </c>
      <c r="F28" s="443">
        <f t="shared" si="6"/>
        <v>0</v>
      </c>
      <c r="G28" s="443">
        <f t="shared" si="7"/>
        <v>569.42853937310281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580.50388720409944</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174.96883506804005</v>
      </c>
      <c r="C32" s="443">
        <f t="shared" ca="1" si="3"/>
        <v>0</v>
      </c>
      <c r="D32" s="443">
        <f t="shared" si="4"/>
        <v>480.80648277399519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655.77531784203529</v>
      </c>
    </row>
    <row r="33" spans="1:17" s="454" customFormat="1">
      <c r="A33" s="452" t="s">
        <v>515</v>
      </c>
      <c r="B33" s="453">
        <f ca="1">SUM(B22:B32)</f>
        <v>18167.666172160294</v>
      </c>
      <c r="C33" s="453">
        <f t="shared" ref="C33:Q33" ca="1" si="19">SUM(C22:C32)</f>
        <v>1825.1896707738438</v>
      </c>
      <c r="D33" s="453">
        <f t="shared" ca="1" si="19"/>
        <v>31912.683341179894</v>
      </c>
      <c r="E33" s="453">
        <f t="shared" ca="1" si="19"/>
        <v>468.12470258883189</v>
      </c>
      <c r="F33" s="453">
        <f t="shared" ca="1" si="19"/>
        <v>7898.8833596498198</v>
      </c>
      <c r="G33" s="453">
        <f t="shared" si="19"/>
        <v>22551.504328493422</v>
      </c>
      <c r="H33" s="453">
        <f t="shared" si="19"/>
        <v>7054.6701035272881</v>
      </c>
      <c r="I33" s="453">
        <f t="shared" si="19"/>
        <v>0</v>
      </c>
      <c r="J33" s="453">
        <f t="shared" si="19"/>
        <v>76.546317872832276</v>
      </c>
      <c r="K33" s="453">
        <f t="shared" si="19"/>
        <v>0</v>
      </c>
      <c r="L33" s="453">
        <f t="shared" ca="1" si="19"/>
        <v>0</v>
      </c>
      <c r="M33" s="453">
        <f t="shared" si="19"/>
        <v>0</v>
      </c>
      <c r="N33" s="453">
        <f t="shared" ca="1" si="19"/>
        <v>0</v>
      </c>
      <c r="O33" s="453">
        <f t="shared" si="19"/>
        <v>0</v>
      </c>
      <c r="P33" s="453">
        <f t="shared" si="19"/>
        <v>0</v>
      </c>
      <c r="Q33" s="453">
        <f t="shared" ca="1" si="19"/>
        <v>89955.267996246243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3303.9980434606973</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6876.3888894390011</v>
      </c>
      <c r="D8" s="967">
        <f>'SEAP template'!D76</f>
        <v>7875.9186828905495</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1590.9355739438911</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3303.9980434606973</v>
      </c>
      <c r="C10" s="969">
        <f>SUM(C4:C9)</f>
        <v>6876.3888894390011</v>
      </c>
      <c r="D10" s="969">
        <f t="shared" ref="D10:H10" si="0">SUM(D8:D9)</f>
        <v>7875.9186828905495</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1590.9355739438911</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0.21326501086578212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7888.8888895200007</v>
      </c>
      <c r="D17" s="968">
        <f>'SEAP template'!D87</f>
        <v>9035.592429573484</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1825.1896707738438</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7888.8888895200007</v>
      </c>
      <c r="D20" s="969">
        <f t="shared" ref="D20:H20" si="2">SUM(D17:D19)</f>
        <v>9035.592429573484</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1825.1896707738438</v>
      </c>
    </row>
    <row r="21" spans="1:16">
      <c r="B21" s="836"/>
    </row>
    <row r="22" spans="1:16">
      <c r="A22" s="455" t="s">
        <v>677</v>
      </c>
      <c r="B22" s="732" t="s">
        <v>675</v>
      </c>
      <c r="C22" s="732">
        <f ca="1">'EF ele_warmte'!B22</f>
        <v>0.2313620709246543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0.21326501086578212</v>
      </c>
      <c r="C17" s="492">
        <f ca="1">'EF ele_warmte'!B22</f>
        <v>0.2313620709246543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0.21326501086578212</v>
      </c>
      <c r="C17" s="492">
        <f ca="1">'EF ele_warmte'!B22</f>
        <v>0.2313620709246543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0.21326501086578212</v>
      </c>
      <c r="C29" s="493">
        <f ca="1">'EF ele_warmte'!B22</f>
        <v>0.2313620709246543</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9775</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115.54000000000002</v>
      </c>
      <c r="C14" s="323"/>
      <c r="D14" s="323"/>
      <c r="E14" s="323"/>
      <c r="F14" s="323"/>
    </row>
    <row r="15" spans="1:6">
      <c r="A15" s="1266" t="s">
        <v>177</v>
      </c>
      <c r="B15" s="1267">
        <v>1</v>
      </c>
      <c r="C15" s="323"/>
      <c r="D15" s="323"/>
      <c r="E15" s="323"/>
      <c r="F15" s="323"/>
    </row>
    <row r="16" spans="1:6">
      <c r="A16" s="1266" t="s">
        <v>6</v>
      </c>
      <c r="B16" s="1267">
        <v>64</v>
      </c>
      <c r="C16" s="323"/>
      <c r="D16" s="323"/>
      <c r="E16" s="323"/>
      <c r="F16" s="323"/>
    </row>
    <row r="17" spans="1:6">
      <c r="A17" s="1266" t="s">
        <v>7</v>
      </c>
      <c r="B17" s="1267">
        <v>1</v>
      </c>
      <c r="C17" s="323"/>
      <c r="D17" s="323"/>
      <c r="E17" s="323"/>
      <c r="F17" s="323"/>
    </row>
    <row r="18" spans="1:6">
      <c r="A18" s="1266" t="s">
        <v>8</v>
      </c>
      <c r="B18" s="1267">
        <v>36</v>
      </c>
      <c r="C18" s="323"/>
      <c r="D18" s="323"/>
      <c r="E18" s="323"/>
      <c r="F18" s="323"/>
    </row>
    <row r="19" spans="1:6">
      <c r="A19" s="1266" t="s">
        <v>9</v>
      </c>
      <c r="B19" s="1267">
        <v>20</v>
      </c>
      <c r="C19" s="323"/>
      <c r="D19" s="323"/>
      <c r="E19" s="323"/>
      <c r="F19" s="323"/>
    </row>
    <row r="20" spans="1:6">
      <c r="A20" s="1266" t="s">
        <v>10</v>
      </c>
      <c r="B20" s="1267">
        <v>59</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0</v>
      </c>
      <c r="C26" s="323"/>
      <c r="D26" s="323"/>
      <c r="E26" s="323"/>
      <c r="F26" s="323"/>
    </row>
    <row r="27" spans="1:6">
      <c r="A27" s="1266" t="s">
        <v>17</v>
      </c>
      <c r="B27" s="1267">
        <v>0</v>
      </c>
      <c r="C27" s="323"/>
      <c r="D27" s="323"/>
      <c r="E27" s="323"/>
      <c r="F27" s="323"/>
    </row>
    <row r="28" spans="1:6">
      <c r="A28" s="1268" t="s">
        <v>18</v>
      </c>
      <c r="B28" s="1269">
        <v>0</v>
      </c>
      <c r="C28" s="323"/>
      <c r="D28" s="323"/>
      <c r="E28" s="323"/>
      <c r="F28" s="323"/>
    </row>
    <row r="29" spans="1:6">
      <c r="A29" s="1268" t="s">
        <v>628</v>
      </c>
      <c r="B29" s="1269">
        <v>0</v>
      </c>
      <c r="C29" s="323"/>
      <c r="D29" s="323"/>
      <c r="E29" s="323"/>
      <c r="F29" s="323"/>
    </row>
    <row r="30" spans="1:6">
      <c r="A30" s="1261" t="s">
        <v>629</v>
      </c>
      <c r="B30" s="1270">
        <v>0</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8261</v>
      </c>
      <c r="D39" s="1267">
        <v>109139611.958701</v>
      </c>
      <c r="E39" s="1267">
        <v>9854</v>
      </c>
      <c r="F39" s="1267">
        <v>27889400.351502899</v>
      </c>
    </row>
    <row r="40" spans="1:6">
      <c r="A40" s="1266" t="s">
        <v>29</v>
      </c>
      <c r="B40" s="1266" t="s">
        <v>28</v>
      </c>
      <c r="C40" s="1267">
        <v>0</v>
      </c>
      <c r="D40" s="1267">
        <v>0</v>
      </c>
      <c r="E40" s="1267">
        <v>0</v>
      </c>
      <c r="F40" s="1267">
        <v>0</v>
      </c>
    </row>
    <row r="41" spans="1:6">
      <c r="A41" s="1266" t="s">
        <v>31</v>
      </c>
      <c r="B41" s="1266" t="s">
        <v>32</v>
      </c>
      <c r="C41" s="1267">
        <v>145</v>
      </c>
      <c r="D41" s="1267">
        <v>2750944.2277122</v>
      </c>
      <c r="E41" s="1267">
        <v>87</v>
      </c>
      <c r="F41" s="1267">
        <v>1902463.1630615301</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5</v>
      </c>
      <c r="D44" s="1267">
        <v>7962870.8335738303</v>
      </c>
      <c r="E44" s="1267">
        <v>6</v>
      </c>
      <c r="F44" s="1267">
        <v>7396681.4270951496</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5</v>
      </c>
      <c r="D47" s="1267">
        <v>78447.186470200904</v>
      </c>
      <c r="E47" s="1267">
        <v>5</v>
      </c>
      <c r="F47" s="1267">
        <v>11470.475648844</v>
      </c>
    </row>
    <row r="48" spans="1:6">
      <c r="A48" s="1266" t="s">
        <v>31</v>
      </c>
      <c r="B48" s="1266" t="s">
        <v>28</v>
      </c>
      <c r="C48" s="1267">
        <v>2</v>
      </c>
      <c r="D48" s="1267">
        <v>54541.1699699405</v>
      </c>
      <c r="E48" s="1267">
        <v>1</v>
      </c>
      <c r="F48" s="1267">
        <v>0</v>
      </c>
    </row>
    <row r="49" spans="1:6">
      <c r="A49" s="1266" t="s">
        <v>31</v>
      </c>
      <c r="B49" s="1266" t="s">
        <v>39</v>
      </c>
      <c r="C49" s="1267">
        <v>0</v>
      </c>
      <c r="D49" s="1267">
        <v>0</v>
      </c>
      <c r="E49" s="1267">
        <v>4</v>
      </c>
      <c r="F49" s="1267">
        <v>20341.151726001</v>
      </c>
    </row>
    <row r="50" spans="1:6">
      <c r="A50" s="1266" t="s">
        <v>31</v>
      </c>
      <c r="B50" s="1266" t="s">
        <v>40</v>
      </c>
      <c r="C50" s="1267">
        <v>8</v>
      </c>
      <c r="D50" s="1267">
        <v>732810.34791796305</v>
      </c>
      <c r="E50" s="1267">
        <v>14</v>
      </c>
      <c r="F50" s="1267">
        <v>292217.70035545202</v>
      </c>
    </row>
    <row r="51" spans="1:6">
      <c r="A51" s="1266" t="s">
        <v>41</v>
      </c>
      <c r="B51" s="1266" t="s">
        <v>42</v>
      </c>
      <c r="C51" s="1267">
        <v>3</v>
      </c>
      <c r="D51" s="1267">
        <v>722237.67087138596</v>
      </c>
      <c r="E51" s="1267">
        <v>21</v>
      </c>
      <c r="F51" s="1267">
        <v>337198.424583252</v>
      </c>
    </row>
    <row r="52" spans="1:6">
      <c r="A52" s="1266" t="s">
        <v>41</v>
      </c>
      <c r="B52" s="1266" t="s">
        <v>28</v>
      </c>
      <c r="C52" s="1267">
        <v>0</v>
      </c>
      <c r="D52" s="1267">
        <v>0</v>
      </c>
      <c r="E52" s="1267">
        <v>0</v>
      </c>
      <c r="F52" s="1267">
        <v>0</v>
      </c>
    </row>
    <row r="53" spans="1:6">
      <c r="A53" s="1266" t="s">
        <v>43</v>
      </c>
      <c r="B53" s="1266" t="s">
        <v>44</v>
      </c>
      <c r="C53" s="1267">
        <v>184</v>
      </c>
      <c r="D53" s="1267">
        <v>2380230.1127425502</v>
      </c>
      <c r="E53" s="1267">
        <v>449</v>
      </c>
      <c r="F53" s="1267">
        <v>820429.16631156299</v>
      </c>
    </row>
    <row r="54" spans="1:6">
      <c r="A54" s="1266" t="s">
        <v>45</v>
      </c>
      <c r="B54" s="1266" t="s">
        <v>46</v>
      </c>
      <c r="C54" s="1267">
        <v>0</v>
      </c>
      <c r="D54" s="1267">
        <v>0</v>
      </c>
      <c r="E54" s="1267">
        <v>1</v>
      </c>
      <c r="F54" s="1267">
        <v>908250</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63</v>
      </c>
      <c r="D57" s="1267">
        <v>4530889.2245162502</v>
      </c>
      <c r="E57" s="1267">
        <v>85</v>
      </c>
      <c r="F57" s="1267">
        <v>3226713.90392564</v>
      </c>
    </row>
    <row r="58" spans="1:6">
      <c r="A58" s="1266" t="s">
        <v>48</v>
      </c>
      <c r="B58" s="1266" t="s">
        <v>50</v>
      </c>
      <c r="C58" s="1267">
        <v>80</v>
      </c>
      <c r="D58" s="1267">
        <v>37848808.0984198</v>
      </c>
      <c r="E58" s="1267">
        <v>91</v>
      </c>
      <c r="F58" s="1267">
        <v>18407019.424701799</v>
      </c>
    </row>
    <row r="59" spans="1:6">
      <c r="A59" s="1266" t="s">
        <v>48</v>
      </c>
      <c r="B59" s="1266" t="s">
        <v>51</v>
      </c>
      <c r="C59" s="1267">
        <v>113</v>
      </c>
      <c r="D59" s="1267">
        <v>4255990.4153285697</v>
      </c>
      <c r="E59" s="1267">
        <v>160</v>
      </c>
      <c r="F59" s="1267">
        <v>5416050.1865738099</v>
      </c>
    </row>
    <row r="60" spans="1:6">
      <c r="A60" s="1266" t="s">
        <v>48</v>
      </c>
      <c r="B60" s="1266" t="s">
        <v>52</v>
      </c>
      <c r="C60" s="1267">
        <v>47</v>
      </c>
      <c r="D60" s="1267">
        <v>4737596.4706416298</v>
      </c>
      <c r="E60" s="1267">
        <v>54</v>
      </c>
      <c r="F60" s="1267">
        <v>1722299.6874996601</v>
      </c>
    </row>
    <row r="61" spans="1:6">
      <c r="A61" s="1266" t="s">
        <v>48</v>
      </c>
      <c r="B61" s="1266" t="s">
        <v>53</v>
      </c>
      <c r="C61" s="1267">
        <v>346</v>
      </c>
      <c r="D61" s="1267">
        <v>15900304.119568599</v>
      </c>
      <c r="E61" s="1267">
        <v>717</v>
      </c>
      <c r="F61" s="1267">
        <v>5730787.9229290597</v>
      </c>
    </row>
    <row r="62" spans="1:6">
      <c r="A62" s="1266" t="s">
        <v>48</v>
      </c>
      <c r="B62" s="1266" t="s">
        <v>54</v>
      </c>
      <c r="C62" s="1267">
        <v>16</v>
      </c>
      <c r="D62" s="1267">
        <v>1687214.9719873699</v>
      </c>
      <c r="E62" s="1267">
        <v>22</v>
      </c>
      <c r="F62" s="1267">
        <v>555541.18407357205</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9</v>
      </c>
      <c r="F66" s="1267">
        <v>412281.50918665598</v>
      </c>
    </row>
    <row r="67" spans="1:6">
      <c r="A67" s="1268" t="s">
        <v>55</v>
      </c>
      <c r="B67" s="1268" t="s">
        <v>58</v>
      </c>
      <c r="C67" s="1267">
        <v>0</v>
      </c>
      <c r="D67" s="1267">
        <v>0</v>
      </c>
      <c r="E67" s="1267">
        <v>0</v>
      </c>
      <c r="F67" s="1267">
        <v>0</v>
      </c>
    </row>
    <row r="68" spans="1:6">
      <c r="A68" s="1261" t="s">
        <v>55</v>
      </c>
      <c r="B68" s="1261" t="s">
        <v>59</v>
      </c>
      <c r="C68" s="1270">
        <v>3</v>
      </c>
      <c r="D68" s="1270">
        <v>75782.556585486207</v>
      </c>
      <c r="E68" s="1270">
        <v>7</v>
      </c>
      <c r="F68" s="1270">
        <v>82540.604585797206</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30137606</v>
      </c>
      <c r="E73" s="441"/>
      <c r="F73" s="323"/>
    </row>
    <row r="74" spans="1:6">
      <c r="A74" s="1266" t="s">
        <v>63</v>
      </c>
      <c r="B74" s="1266" t="s">
        <v>589</v>
      </c>
      <c r="C74" s="1280" t="s">
        <v>591</v>
      </c>
      <c r="D74" s="1281">
        <v>2421814.5834622323</v>
      </c>
      <c r="E74" s="441"/>
      <c r="F74" s="323"/>
    </row>
    <row r="75" spans="1:6">
      <c r="A75" s="1266" t="s">
        <v>64</v>
      </c>
      <c r="B75" s="1266" t="s">
        <v>588</v>
      </c>
      <c r="C75" s="1280" t="s">
        <v>592</v>
      </c>
      <c r="D75" s="1281">
        <v>27429008</v>
      </c>
      <c r="E75" s="441"/>
      <c r="F75" s="323"/>
    </row>
    <row r="76" spans="1:6">
      <c r="A76" s="1266" t="s">
        <v>64</v>
      </c>
      <c r="B76" s="1266" t="s">
        <v>589</v>
      </c>
      <c r="C76" s="1280" t="s">
        <v>593</v>
      </c>
      <c r="D76" s="1281">
        <v>33315.4</v>
      </c>
      <c r="E76" s="441"/>
      <c r="F76" s="323"/>
    </row>
    <row r="77" spans="1:6">
      <c r="A77" s="1266" t="s">
        <v>65</v>
      </c>
      <c r="B77" s="1266" t="s">
        <v>588</v>
      </c>
      <c r="C77" s="1280" t="s">
        <v>594</v>
      </c>
      <c r="D77" s="1281">
        <v>75928067</v>
      </c>
      <c r="E77" s="441"/>
      <c r="F77" s="323"/>
    </row>
    <row r="78" spans="1:6">
      <c r="A78" s="1261" t="s">
        <v>65</v>
      </c>
      <c r="B78" s="1261" t="s">
        <v>589</v>
      </c>
      <c r="C78" s="1261" t="s">
        <v>595</v>
      </c>
      <c r="D78" s="1282">
        <v>8305952</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677630.83307553513</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2960.4849708237598</v>
      </c>
      <c r="C91" s="323"/>
      <c r="D91" s="323"/>
      <c r="E91" s="323"/>
      <c r="F91" s="323"/>
    </row>
    <row r="92" spans="1:6">
      <c r="A92" s="1261" t="s">
        <v>68</v>
      </c>
      <c r="B92" s="1262">
        <v>343.51307263693752</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6361</v>
      </c>
      <c r="C97" s="323"/>
      <c r="D97" s="323"/>
      <c r="E97" s="323"/>
      <c r="F97" s="323"/>
    </row>
    <row r="98" spans="1:6">
      <c r="A98" s="1266" t="s">
        <v>71</v>
      </c>
      <c r="B98" s="1267">
        <v>2</v>
      </c>
      <c r="C98" s="323"/>
      <c r="D98" s="323"/>
      <c r="E98" s="323"/>
      <c r="F98" s="323"/>
    </row>
    <row r="99" spans="1:6">
      <c r="A99" s="1266" t="s">
        <v>72</v>
      </c>
      <c r="B99" s="1267">
        <v>6</v>
      </c>
      <c r="C99" s="323"/>
      <c r="D99" s="323"/>
      <c r="E99" s="323"/>
      <c r="F99" s="323"/>
    </row>
    <row r="100" spans="1:6">
      <c r="A100" s="1266" t="s">
        <v>73</v>
      </c>
      <c r="B100" s="1267">
        <v>580</v>
      </c>
      <c r="C100" s="323"/>
      <c r="D100" s="323"/>
      <c r="E100" s="323"/>
      <c r="F100" s="323"/>
    </row>
    <row r="101" spans="1:6">
      <c r="A101" s="1266" t="s">
        <v>74</v>
      </c>
      <c r="B101" s="1267">
        <v>13</v>
      </c>
      <c r="C101" s="323"/>
      <c r="D101" s="323"/>
      <c r="E101" s="323"/>
      <c r="F101" s="323"/>
    </row>
    <row r="102" spans="1:6">
      <c r="A102" s="1266" t="s">
        <v>75</v>
      </c>
      <c r="B102" s="1267">
        <v>131</v>
      </c>
      <c r="C102" s="323"/>
      <c r="D102" s="323"/>
      <c r="E102" s="323"/>
      <c r="F102" s="323"/>
    </row>
    <row r="103" spans="1:6">
      <c r="A103" s="1266" t="s">
        <v>76</v>
      </c>
      <c r="B103" s="1267">
        <v>45</v>
      </c>
      <c r="C103" s="323"/>
      <c r="D103" s="323"/>
      <c r="E103" s="323"/>
      <c r="F103" s="323"/>
    </row>
    <row r="104" spans="1:6">
      <c r="A104" s="1266" t="s">
        <v>77</v>
      </c>
      <c r="B104" s="1267">
        <v>1767</v>
      </c>
      <c r="C104" s="323"/>
      <c r="D104" s="323"/>
      <c r="E104" s="323"/>
      <c r="F104" s="323"/>
    </row>
    <row r="105" spans="1:6">
      <c r="A105" s="1261" t="s">
        <v>78</v>
      </c>
      <c r="B105" s="1270">
        <v>3</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39</v>
      </c>
      <c r="C123" s="1267">
        <v>18</v>
      </c>
      <c r="D123" s="323"/>
      <c r="E123" s="323"/>
      <c r="F123" s="323"/>
    </row>
    <row r="124" spans="1:6">
      <c r="A124" s="1268" t="s">
        <v>88</v>
      </c>
      <c r="B124" s="1289">
        <v>2</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108</v>
      </c>
      <c r="C129" s="323"/>
      <c r="D129" s="323"/>
      <c r="E129" s="323"/>
      <c r="F129" s="323"/>
    </row>
    <row r="130" spans="1:6">
      <c r="A130" s="1266" t="s">
        <v>282</v>
      </c>
      <c r="B130" s="1267">
        <v>3</v>
      </c>
      <c r="C130" s="323"/>
      <c r="D130" s="323"/>
      <c r="E130" s="323"/>
      <c r="F130" s="323"/>
    </row>
    <row r="131" spans="1:6">
      <c r="A131" s="1266" t="s">
        <v>283</v>
      </c>
      <c r="B131" s="1267">
        <v>0</v>
      </c>
      <c r="C131" s="323"/>
      <c r="D131" s="323"/>
      <c r="E131" s="323"/>
      <c r="F131" s="323"/>
    </row>
    <row r="132" spans="1:6">
      <c r="A132" s="1261" t="s">
        <v>284</v>
      </c>
      <c r="B132" s="1262">
        <v>23</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85188.217694059887</v>
      </c>
      <c r="C3" s="43" t="s">
        <v>163</v>
      </c>
      <c r="D3" s="43"/>
      <c r="E3" s="153"/>
      <c r="F3" s="43"/>
      <c r="G3" s="43"/>
      <c r="H3" s="43"/>
      <c r="I3" s="43"/>
      <c r="J3" s="43"/>
      <c r="K3" s="96"/>
    </row>
    <row r="4" spans="1:11">
      <c r="A4" s="348" t="s">
        <v>164</v>
      </c>
      <c r="B4" s="49">
        <f>IF(ISERROR('SEAP template'!B78+'SEAP template'!C78),0,'SEAP template'!B78+'SEAP template'!C78)</f>
        <v>10180.386932899699</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1590.9355739438911</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0.21326501086578212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1825.1896707738438</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7888.8888895200007</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0.2313620709246543</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908.25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908.25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0.21326501086578212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193.6979461188466</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27889.4003515029</v>
      </c>
      <c r="C5" s="17">
        <f>IF(ISERROR('Eigen informatie GS &amp; warmtenet'!B59),0,'Eigen informatie GS &amp; warmtenet'!B59)</f>
        <v>0</v>
      </c>
      <c r="D5" s="30">
        <f>(SUM(HH_hh_gas_kWh,HH_rest_gas_kWh)/1000)*0.903</f>
        <v>98553.069598707007</v>
      </c>
      <c r="E5" s="17">
        <f>B32*B41</f>
        <v>1762.8040893170041</v>
      </c>
      <c r="F5" s="17">
        <f>B36*B45</f>
        <v>22332.151288131721</v>
      </c>
      <c r="G5" s="18"/>
      <c r="H5" s="17"/>
      <c r="I5" s="17"/>
      <c r="J5" s="17">
        <f>B35*B44+C35*C44</f>
        <v>142.93863680814746</v>
      </c>
      <c r="K5" s="17"/>
      <c r="L5" s="17"/>
      <c r="M5" s="17"/>
      <c r="N5" s="17">
        <f>B34*B43+C34*C43</f>
        <v>9926.6002846372648</v>
      </c>
      <c r="O5" s="17">
        <f>B52*B53*B54</f>
        <v>249.97873564276603</v>
      </c>
      <c r="P5" s="17">
        <f>B60*B61*B62/1000-B60*B61*B62/1000/B63</f>
        <v>674.17339569184151</v>
      </c>
    </row>
    <row r="6" spans="1:16">
      <c r="A6" s="16" t="s">
        <v>556</v>
      </c>
      <c r="B6" s="734">
        <f>kWh_PV_kleiner_dan_10kW</f>
        <v>2960.4849708237598</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30849.88532232666</v>
      </c>
      <c r="C8" s="21">
        <f>C5</f>
        <v>0</v>
      </c>
      <c r="D8" s="21">
        <f>D5</f>
        <v>98553.069598707007</v>
      </c>
      <c r="E8" s="21">
        <f>E5</f>
        <v>1762.8040893170041</v>
      </c>
      <c r="F8" s="21">
        <f>F5</f>
        <v>22332.151288131721</v>
      </c>
      <c r="G8" s="21"/>
      <c r="H8" s="21"/>
      <c r="I8" s="21"/>
      <c r="J8" s="21">
        <f>J5</f>
        <v>142.93863680814746</v>
      </c>
      <c r="K8" s="21"/>
      <c r="L8" s="21">
        <f>L5</f>
        <v>0</v>
      </c>
      <c r="M8" s="21">
        <f>M5</f>
        <v>0</v>
      </c>
      <c r="N8" s="21">
        <f>N5</f>
        <v>9926.6002846372648</v>
      </c>
      <c r="O8" s="21">
        <f>O5</f>
        <v>249.97873564276603</v>
      </c>
      <c r="P8" s="21">
        <f>P5</f>
        <v>674.17339569184151</v>
      </c>
    </row>
    <row r="9" spans="1:16">
      <c r="B9" s="19"/>
      <c r="C9" s="19"/>
      <c r="D9" s="253"/>
      <c r="E9" s="19"/>
      <c r="F9" s="19"/>
      <c r="G9" s="19"/>
      <c r="H9" s="19"/>
      <c r="I9" s="19"/>
      <c r="J9" s="19"/>
      <c r="K9" s="19"/>
      <c r="L9" s="19"/>
      <c r="M9" s="19"/>
      <c r="N9" s="19"/>
      <c r="O9" s="19"/>
      <c r="P9" s="19"/>
    </row>
    <row r="10" spans="1:16">
      <c r="A10" s="24" t="s">
        <v>207</v>
      </c>
      <c r="B10" s="25">
        <f ca="1">'EF ele_warmte'!B12</f>
        <v>0.21326501086578212</v>
      </c>
      <c r="C10" s="25">
        <f ca="1">'EF ele_warmte'!B22</f>
        <v>0.2313620709246543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6579.2011284741275</v>
      </c>
      <c r="C12" s="23">
        <f ca="1">C10*C8</f>
        <v>0</v>
      </c>
      <c r="D12" s="23">
        <f>D8*D10</f>
        <v>19907.720058938816</v>
      </c>
      <c r="E12" s="23">
        <f>E10*E8</f>
        <v>400.15652827495995</v>
      </c>
      <c r="F12" s="23">
        <f>F10*F8</f>
        <v>5962.6843939311702</v>
      </c>
      <c r="G12" s="23"/>
      <c r="H12" s="23"/>
      <c r="I12" s="23"/>
      <c r="J12" s="23">
        <f>J10*J8</f>
        <v>50.600277430084198</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9775</v>
      </c>
      <c r="C26" s="36"/>
      <c r="D26" s="224"/>
    </row>
    <row r="27" spans="1:5" s="15" customFormat="1">
      <c r="A27" s="226" t="s">
        <v>770</v>
      </c>
      <c r="B27" s="37">
        <f>SUM(HH_hh_gas_aantal,HH_rest_gas_aantal)</f>
        <v>8261</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7847.95</v>
      </c>
      <c r="C31" s="34" t="s">
        <v>104</v>
      </c>
      <c r="D31" s="170"/>
    </row>
    <row r="32" spans="1:5">
      <c r="A32" s="167" t="s">
        <v>72</v>
      </c>
      <c r="B32" s="33">
        <f>IF((B21*($B$26-($B$27-0.05*$B$27)-$B$60))&lt;0,0,(B21*($B$26-($B$27-0.05*$B$27)-$B$60)))</f>
        <v>30.433276944079424</v>
      </c>
      <c r="C32" s="34" t="s">
        <v>104</v>
      </c>
      <c r="D32" s="170"/>
    </row>
    <row r="33" spans="1:6">
      <c r="A33" s="167" t="s">
        <v>73</v>
      </c>
      <c r="B33" s="33">
        <f>IF((B22*($B$26-($B$27-0.05*$B$27)-$B$60))&lt;0,0,B22*($B$26-($B$27-0.05*$B$27)-$B$60))</f>
        <v>494.17614380530398</v>
      </c>
      <c r="C33" s="34" t="s">
        <v>104</v>
      </c>
      <c r="D33" s="170"/>
    </row>
    <row r="34" spans="1:6">
      <c r="A34" s="167" t="s">
        <v>74</v>
      </c>
      <c r="B34" s="33">
        <f>IF((B24*($B$26-($B$27-0.05*$B$27)-$B$60))&lt;0,0,B24*($B$26-($B$27-0.05*$B$27)-$B$60))</f>
        <v>216.08181144146923</v>
      </c>
      <c r="C34" s="33">
        <f>B26*C24</f>
        <v>1642.1976517262699</v>
      </c>
      <c r="D34" s="229"/>
    </row>
    <row r="35" spans="1:6">
      <c r="A35" s="167" t="s">
        <v>76</v>
      </c>
      <c r="B35" s="33">
        <f>IF((B19*($B$26-($B$27-0.05*$B$27)-$B$60))&lt;0,0,B19*($B$26-($B$27-0.05*$B$27)-$B$60))</f>
        <v>13.229272932673164</v>
      </c>
      <c r="C35" s="33">
        <f>B35/2</f>
        <v>6.6146364663365818</v>
      </c>
      <c r="D35" s="229"/>
    </row>
    <row r="36" spans="1:6">
      <c r="A36" s="167" t="s">
        <v>77</v>
      </c>
      <c r="B36" s="33">
        <f>IF((B18*($B$26-($B$27-0.05*$B$27)-$B$60))&lt;0,0,B18*($B$26-($B$27-0.05*$B$27)-$B$60))</f>
        <v>1109.1294948764735</v>
      </c>
      <c r="C36" s="34" t="s">
        <v>104</v>
      </c>
      <c r="D36" s="170"/>
    </row>
    <row r="37" spans="1:6">
      <c r="A37" s="167" t="s">
        <v>78</v>
      </c>
      <c r="B37" s="33">
        <f>B60</f>
        <v>64</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126</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64</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35058.412309703534</v>
      </c>
      <c r="C5" s="17">
        <f>IF(ISERROR('Eigen informatie GS &amp; warmtenet'!B60),0,'Eigen informatie GS &amp; warmtenet'!B60)</f>
        <v>0</v>
      </c>
      <c r="D5" s="30">
        <f>SUM(D6:D12)</f>
        <v>62271.605380317385</v>
      </c>
      <c r="E5" s="17">
        <f>SUM(E6:E12)</f>
        <v>40.488456580968524</v>
      </c>
      <c r="F5" s="17">
        <f>SUM(F6:F12)</f>
        <v>4343.6453660702837</v>
      </c>
      <c r="G5" s="18"/>
      <c r="H5" s="17"/>
      <c r="I5" s="17"/>
      <c r="J5" s="17">
        <f>SUM(J6:J12)</f>
        <v>3.4583743299665258E-2</v>
      </c>
      <c r="K5" s="17"/>
      <c r="L5" s="17"/>
      <c r="M5" s="17"/>
      <c r="N5" s="17">
        <f>SUM(N6:N12)</f>
        <v>1395.6436365870984</v>
      </c>
      <c r="O5" s="17">
        <f>B38*B39*B40</f>
        <v>14.691782297523464</v>
      </c>
      <c r="P5" s="17">
        <f>B46*B47*B48/1000-B46*B47*B48/1000/B49</f>
        <v>0</v>
      </c>
      <c r="R5" s="32"/>
    </row>
    <row r="6" spans="1:18">
      <c r="A6" s="32" t="s">
        <v>53</v>
      </c>
      <c r="B6" s="37">
        <f>B26</f>
        <v>5730.7879229290593</v>
      </c>
      <c r="C6" s="33"/>
      <c r="D6" s="37">
        <f>IF(ISERROR(TER_kantoor_gas_kWh/1000),0,TER_kantoor_gas_kWh/1000)*0.903</f>
        <v>14357.974619970446</v>
      </c>
      <c r="E6" s="33">
        <f>$C$26*'E Balans VL '!I12/100/3.6*1000000</f>
        <v>0</v>
      </c>
      <c r="F6" s="33">
        <f>$C$26*('E Balans VL '!L12+'E Balans VL '!N12)/100/3.6*1000000</f>
        <v>655.1981498865407</v>
      </c>
      <c r="G6" s="34"/>
      <c r="H6" s="33"/>
      <c r="I6" s="33"/>
      <c r="J6" s="33">
        <f>$C$26*('E Balans VL '!D12+'E Balans VL '!E12)/100/3.6*1000000</f>
        <v>0</v>
      </c>
      <c r="K6" s="33"/>
      <c r="L6" s="33"/>
      <c r="M6" s="33"/>
      <c r="N6" s="33">
        <f>$C$26*'E Balans VL '!Y12/100/3.6*1000000</f>
        <v>6.4909827801982027</v>
      </c>
      <c r="O6" s="33"/>
      <c r="P6" s="33"/>
      <c r="R6" s="32"/>
    </row>
    <row r="7" spans="1:18">
      <c r="A7" s="32" t="s">
        <v>52</v>
      </c>
      <c r="B7" s="37">
        <f t="shared" ref="B7:B12" si="0">B27</f>
        <v>1722.29968749966</v>
      </c>
      <c r="C7" s="33"/>
      <c r="D7" s="37">
        <f>IF(ISERROR(TER_horeca_gas_kWh/1000),0,TER_horeca_gas_kWh/1000)*0.903</f>
        <v>4278.0496129893918</v>
      </c>
      <c r="E7" s="33">
        <f>$C$27*'E Balans VL '!I9/100/3.6*1000000</f>
        <v>0</v>
      </c>
      <c r="F7" s="33">
        <f>$C$27*('E Balans VL '!L9+'E Balans VL '!N9)/100/3.6*1000000</f>
        <v>181.05381808181525</v>
      </c>
      <c r="G7" s="34"/>
      <c r="H7" s="33"/>
      <c r="I7" s="33"/>
      <c r="J7" s="33">
        <f>$C$27*('E Balans VL '!D9+'E Balans VL '!E9)/100/3.6*1000000</f>
        <v>0</v>
      </c>
      <c r="K7" s="33"/>
      <c r="L7" s="33"/>
      <c r="M7" s="33"/>
      <c r="N7" s="33">
        <f>$C$27*'E Balans VL '!Y9/100/3.6*1000000</f>
        <v>19.400850018393037</v>
      </c>
      <c r="O7" s="33"/>
      <c r="P7" s="33"/>
      <c r="R7" s="32"/>
    </row>
    <row r="8" spans="1:18">
      <c r="A8" s="6" t="s">
        <v>51</v>
      </c>
      <c r="B8" s="37">
        <f t="shared" si="0"/>
        <v>5416.0501865738097</v>
      </c>
      <c r="C8" s="33"/>
      <c r="D8" s="37">
        <f>IF(ISERROR(TER_handel_gas_kWh/1000),0,TER_handel_gas_kWh/1000)*0.903</f>
        <v>3843.1593450416985</v>
      </c>
      <c r="E8" s="33">
        <f>$C$28*'E Balans VL '!I13/100/3.6*1000000</f>
        <v>1.1674579307688713</v>
      </c>
      <c r="F8" s="33">
        <f>$C$28*('E Balans VL '!L13+'E Balans VL '!N13)/100/3.6*1000000</f>
        <v>761.66585693072716</v>
      </c>
      <c r="G8" s="34"/>
      <c r="H8" s="33"/>
      <c r="I8" s="33"/>
      <c r="J8" s="33">
        <f>$C$28*('E Balans VL '!D13+'E Balans VL '!E13)/100/3.6*1000000</f>
        <v>0</v>
      </c>
      <c r="K8" s="33"/>
      <c r="L8" s="33"/>
      <c r="M8" s="33"/>
      <c r="N8" s="33">
        <f>$C$28*'E Balans VL '!Y13/100/3.6*1000000</f>
        <v>5.1968018023804188</v>
      </c>
      <c r="O8" s="33"/>
      <c r="P8" s="33"/>
      <c r="R8" s="32"/>
    </row>
    <row r="9" spans="1:18">
      <c r="A9" s="32" t="s">
        <v>50</v>
      </c>
      <c r="B9" s="37">
        <f t="shared" si="0"/>
        <v>18407.019424701797</v>
      </c>
      <c r="C9" s="33"/>
      <c r="D9" s="37">
        <f>IF(ISERROR(TER_gezond_gas_kWh/1000),0,TER_gezond_gas_kWh/1000)*0.903</f>
        <v>34177.473712873085</v>
      </c>
      <c r="E9" s="33">
        <f>$C$29*'E Balans VL '!I10/100/3.6*1000000</f>
        <v>0</v>
      </c>
      <c r="F9" s="33">
        <f>$C$29*('E Balans VL '!L10+'E Balans VL '!N10)/100/3.6*1000000</f>
        <v>501.22813179971473</v>
      </c>
      <c r="G9" s="34"/>
      <c r="H9" s="33"/>
      <c r="I9" s="33"/>
      <c r="J9" s="33">
        <f>$C$29*('E Balans VL '!D10+'E Balans VL '!E10)/100/3.6*1000000</f>
        <v>0</v>
      </c>
      <c r="K9" s="33"/>
      <c r="L9" s="33"/>
      <c r="M9" s="33"/>
      <c r="N9" s="33">
        <f>$C$29*'E Balans VL '!Y10/100/3.6*1000000</f>
        <v>116.70086390870804</v>
      </c>
      <c r="O9" s="33"/>
      <c r="P9" s="33"/>
      <c r="R9" s="32"/>
    </row>
    <row r="10" spans="1:18">
      <c r="A10" s="32" t="s">
        <v>49</v>
      </c>
      <c r="B10" s="37">
        <f t="shared" si="0"/>
        <v>3226.7139039256399</v>
      </c>
      <c r="C10" s="33"/>
      <c r="D10" s="37">
        <f>IF(ISERROR(TER_ander_gas_kWh/1000),0,TER_ander_gas_kWh/1000)*0.903</f>
        <v>4091.3929697381745</v>
      </c>
      <c r="E10" s="33">
        <f>$C$30*'E Balans VL '!I14/100/3.6*1000000</f>
        <v>39.320998650199655</v>
      </c>
      <c r="F10" s="33">
        <f>$C$30*('E Balans VL '!L14+'E Balans VL '!N14)/100/3.6*1000000</f>
        <v>2221.2830352429064</v>
      </c>
      <c r="G10" s="34"/>
      <c r="H10" s="33"/>
      <c r="I10" s="33"/>
      <c r="J10" s="33">
        <f>$C$30*('E Balans VL '!D14+'E Balans VL '!E14)/100/3.6*1000000</f>
        <v>3.4583743299665258E-2</v>
      </c>
      <c r="K10" s="33"/>
      <c r="L10" s="33"/>
      <c r="M10" s="33"/>
      <c r="N10" s="33">
        <f>$C$30*'E Balans VL '!Y14/100/3.6*1000000</f>
        <v>1246.4733521928545</v>
      </c>
      <c r="O10" s="33"/>
      <c r="P10" s="33"/>
      <c r="R10" s="32"/>
    </row>
    <row r="11" spans="1:18">
      <c r="A11" s="32" t="s">
        <v>54</v>
      </c>
      <c r="B11" s="37">
        <f t="shared" si="0"/>
        <v>555.54118407357203</v>
      </c>
      <c r="C11" s="33"/>
      <c r="D11" s="37">
        <f>IF(ISERROR(TER_onderwijs_gas_kWh/1000),0,TER_onderwijs_gas_kWh/1000)*0.903</f>
        <v>1523.555119704595</v>
      </c>
      <c r="E11" s="33">
        <f>$C$31*'E Balans VL '!I11/100/3.6*1000000</f>
        <v>0</v>
      </c>
      <c r="F11" s="33">
        <f>$C$31*('E Balans VL '!L11+'E Balans VL '!N11)/100/3.6*1000000</f>
        <v>23.216374128579805</v>
      </c>
      <c r="G11" s="34"/>
      <c r="H11" s="33"/>
      <c r="I11" s="33"/>
      <c r="J11" s="33">
        <f>$C$31*('E Balans VL '!D11+'E Balans VL '!E11)/100/3.6*1000000</f>
        <v>0</v>
      </c>
      <c r="K11" s="33"/>
      <c r="L11" s="33"/>
      <c r="M11" s="33"/>
      <c r="N11" s="33">
        <f>$C$31*'E Balans VL '!Y11/100/3.6*1000000</f>
        <v>1.3807858845642533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6876.3888894390011</v>
      </c>
      <c r="C13" s="242">
        <f ca="1">'lokale energieproductie'!O39+'lokale energieproductie'!O32</f>
        <v>7888.8888895200007</v>
      </c>
      <c r="D13" s="301">
        <f ca="1">('lokale energieproductie'!P32+'lokale energieproductie'!P39)*(-1)</f>
        <v>-16911.511112464032</v>
      </c>
      <c r="E13" s="301">
        <f ca="1">('lokale energieproductie'!X32+'lokale energieproductie'!X39)*(-1)</f>
        <v>0</v>
      </c>
      <c r="F13" s="301">
        <f ca="1">('lokale energieproductie'!S32+'lokale energieproductie'!S39)*(-1)</f>
        <v>0</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41934.801199142537</v>
      </c>
      <c r="C16" s="21">
        <f t="shared" ca="1" si="1"/>
        <v>7888.8888895200007</v>
      </c>
      <c r="D16" s="21">
        <f t="shared" ca="1" si="1"/>
        <v>45360.094267853354</v>
      </c>
      <c r="E16" s="21">
        <f t="shared" ca="1" si="1"/>
        <v>40.488456580968524</v>
      </c>
      <c r="F16" s="21">
        <f t="shared" ca="1" si="1"/>
        <v>4343.6453660702837</v>
      </c>
      <c r="G16" s="21">
        <f t="shared" si="1"/>
        <v>0</v>
      </c>
      <c r="H16" s="21">
        <f t="shared" si="1"/>
        <v>0</v>
      </c>
      <c r="I16" s="21">
        <f t="shared" si="1"/>
        <v>0</v>
      </c>
      <c r="J16" s="21">
        <f t="shared" si="1"/>
        <v>3.4583743299665258E-2</v>
      </c>
      <c r="K16" s="21">
        <f t="shared" si="1"/>
        <v>0</v>
      </c>
      <c r="L16" s="21">
        <f t="shared" ca="1" si="1"/>
        <v>0</v>
      </c>
      <c r="M16" s="21">
        <f t="shared" si="1"/>
        <v>0</v>
      </c>
      <c r="N16" s="21">
        <f t="shared" ca="1" si="1"/>
        <v>1395.6436365870984</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0.21326501086578212</v>
      </c>
      <c r="C18" s="25">
        <f ca="1">'EF ele_warmte'!B22</f>
        <v>0.2313620709246543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8943.2258333895461</v>
      </c>
      <c r="C20" s="23">
        <f t="shared" ref="C20:P20" ca="1" si="2">C16*C18</f>
        <v>1825.1896707738438</v>
      </c>
      <c r="D20" s="23">
        <f t="shared" ca="1" si="2"/>
        <v>9162.7390421063774</v>
      </c>
      <c r="E20" s="23">
        <f t="shared" ca="1" si="2"/>
        <v>9.190879643879855</v>
      </c>
      <c r="F20" s="23">
        <f t="shared" ca="1" si="2"/>
        <v>1159.7533127407658</v>
      </c>
      <c r="G20" s="23">
        <f t="shared" si="2"/>
        <v>0</v>
      </c>
      <c r="H20" s="23">
        <f t="shared" si="2"/>
        <v>0</v>
      </c>
      <c r="I20" s="23">
        <f t="shared" si="2"/>
        <v>0</v>
      </c>
      <c r="J20" s="23">
        <f t="shared" si="2"/>
        <v>1.22426451280815E-2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5730.7879229290593</v>
      </c>
      <c r="C26" s="39">
        <f>IF(ISERROR(B26*3.6/1000000/'E Balans VL '!Z12*100),0,B26*3.6/1000000/'E Balans VL '!Z12*100)</f>
        <v>0.17616470139688137</v>
      </c>
      <c r="D26" s="232" t="s">
        <v>768</v>
      </c>
      <c r="F26" s="6"/>
    </row>
    <row r="27" spans="1:18" ht="30">
      <c r="A27" s="227" t="s">
        <v>52</v>
      </c>
      <c r="B27" s="33">
        <f>IF(ISERROR(TER_horeca_ele_kWh/1000),0,TER_horeca_ele_kWh/1000)</f>
        <v>1722.29968749966</v>
      </c>
      <c r="C27" s="39">
        <f>IF(ISERROR(B27*3.6/1000000/'E Balans VL '!Z9*100),0,B27*3.6/1000000/'E Balans VL '!Z9*100)</f>
        <v>0.1398480606471478</v>
      </c>
      <c r="D27" s="232" t="s">
        <v>768</v>
      </c>
      <c r="F27" s="6"/>
    </row>
    <row r="28" spans="1:18" ht="30">
      <c r="A28" s="167" t="s">
        <v>51</v>
      </c>
      <c r="B28" s="33">
        <f>IF(ISERROR(TER_handel_ele_kWh/1000),0,TER_handel_ele_kWh/1000)</f>
        <v>5416.0501865738097</v>
      </c>
      <c r="C28" s="39">
        <f>IF(ISERROR(B28*3.6/1000000/'E Balans VL '!Z13*100),0,B28*3.6/1000000/'E Balans VL '!Z13*100)</f>
        <v>0.17808681486068131</v>
      </c>
      <c r="D28" s="232" t="s">
        <v>768</v>
      </c>
      <c r="F28" s="6"/>
    </row>
    <row r="29" spans="1:18" ht="30">
      <c r="A29" s="227" t="s">
        <v>50</v>
      </c>
      <c r="B29" s="33">
        <f>IF(ISERROR(TER_gezond_ele_kWh/1000),0,TER_gezond_ele_kWh/1000)</f>
        <v>18407.019424701797</v>
      </c>
      <c r="C29" s="39">
        <f>IF(ISERROR(B29*3.6/1000000/'E Balans VL '!Z10*100),0,B29*3.6/1000000/'E Balans VL '!Z10*100)</f>
        <v>1.7959686006384308</v>
      </c>
      <c r="D29" s="232" t="s">
        <v>768</v>
      </c>
      <c r="F29" s="6"/>
    </row>
    <row r="30" spans="1:18" ht="30">
      <c r="A30" s="227" t="s">
        <v>49</v>
      </c>
      <c r="B30" s="33">
        <f>IF(ISERROR(TER_ander_ele_kWh/1000),0,TER_ander_ele_kWh/1000)</f>
        <v>3226.7139039256399</v>
      </c>
      <c r="C30" s="39">
        <f>IF(ISERROR(B30*3.6/1000000/'E Balans VL '!Z14*100),0,B30*3.6/1000000/'E Balans VL '!Z14*100)</f>
        <v>0.14163990429897033</v>
      </c>
      <c r="D30" s="232" t="s">
        <v>768</v>
      </c>
      <c r="F30" s="6"/>
    </row>
    <row r="31" spans="1:18" ht="30">
      <c r="A31" s="227" t="s">
        <v>54</v>
      </c>
      <c r="B31" s="33">
        <f>IF(ISERROR(TER_onderwijs_ele_kWh/1000),0,TER_onderwijs_ele_kWh/1000)</f>
        <v>555.54118407357203</v>
      </c>
      <c r="C31" s="39">
        <f>IF(ISERROR(B31*3.6/1000000/'E Balans VL '!Z11*100),0,B31*3.6/1000000/'E Balans VL '!Z11*100)</f>
        <v>0.19031934564158365</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0</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9623.1739178869775</v>
      </c>
      <c r="C5" s="17">
        <f>IF(ISERROR('Eigen informatie GS &amp; warmtenet'!B61),0,'Eigen informatie GS &amp; warmtenet'!B61)</f>
        <v>0</v>
      </c>
      <c r="D5" s="30">
        <f>SUM(D6:D15)</f>
        <v>10456.391230376656</v>
      </c>
      <c r="E5" s="17">
        <f>SUM(E6:E15)</f>
        <v>31.81026060565711</v>
      </c>
      <c r="F5" s="17">
        <f>SUM(F6:F15)</f>
        <v>1739.7472664133343</v>
      </c>
      <c r="G5" s="18"/>
      <c r="H5" s="17"/>
      <c r="I5" s="17"/>
      <c r="J5" s="17">
        <f>SUM(J6:J15)</f>
        <v>6.9222468403314072E-2</v>
      </c>
      <c r="K5" s="17"/>
      <c r="L5" s="17"/>
      <c r="M5" s="17"/>
      <c r="N5" s="17">
        <f>SUM(N6:N15)</f>
        <v>195.57904633394509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7396.68142709515</v>
      </c>
      <c r="C8" s="33"/>
      <c r="D8" s="37">
        <f>IF( ISERROR(IND_metaal_Gas_kWH/1000),0,IND_metaal_Gas_kWH/1000)*0.903</f>
        <v>7190.4723627171688</v>
      </c>
      <c r="E8" s="33">
        <f>C30*'E Balans VL '!I18/100/3.6*1000000</f>
        <v>21.537956253356608</v>
      </c>
      <c r="F8" s="33">
        <f>C30*'E Balans VL '!L18/100/3.6*1000000+C30*'E Balans VL '!N18/100/3.6*1000000</f>
        <v>284.26967810112285</v>
      </c>
      <c r="G8" s="34"/>
      <c r="H8" s="33"/>
      <c r="I8" s="33"/>
      <c r="J8" s="40">
        <f>C30*'E Balans VL '!D18/100/3.6*1000000+C30*'E Balans VL '!E18/100/3.6*1000000</f>
        <v>1.998666840314349E-14</v>
      </c>
      <c r="K8" s="33"/>
      <c r="L8" s="33"/>
      <c r="M8" s="33"/>
      <c r="N8" s="33">
        <f>C30*'E Balans VL '!Y18/100/3.6*1000000</f>
        <v>109.71027690849031</v>
      </c>
      <c r="O8" s="33"/>
      <c r="P8" s="33"/>
      <c r="R8" s="32"/>
    </row>
    <row r="9" spans="1:18">
      <c r="A9" s="6" t="s">
        <v>32</v>
      </c>
      <c r="B9" s="37">
        <f t="shared" si="0"/>
        <v>1902.4631630615302</v>
      </c>
      <c r="C9" s="33"/>
      <c r="D9" s="37">
        <f>IF( ISERROR(IND_andere_gas_kWh/1000),0,IND_andere_gas_kWh/1000)*0.903</f>
        <v>2484.1026376241171</v>
      </c>
      <c r="E9" s="33">
        <f>C31*'E Balans VL '!I19/100/3.6*1000000</f>
        <v>9.6476817733627076</v>
      </c>
      <c r="F9" s="33">
        <f>C31*'E Balans VL '!L19/100/3.6*1000000+C31*'E Balans VL '!N19/100/3.6*1000000</f>
        <v>1439.8178386401516</v>
      </c>
      <c r="G9" s="34"/>
      <c r="H9" s="33"/>
      <c r="I9" s="33"/>
      <c r="J9" s="40">
        <f>C31*'E Balans VL '!D19/100/3.6*1000000+C31*'E Balans VL '!E19/100/3.6*1000000</f>
        <v>0</v>
      </c>
      <c r="K9" s="33"/>
      <c r="L9" s="33"/>
      <c r="M9" s="33"/>
      <c r="N9" s="33">
        <f>C31*'E Balans VL '!Y19/100/3.6*1000000</f>
        <v>70.031936122809142</v>
      </c>
      <c r="O9" s="33"/>
      <c r="P9" s="33"/>
      <c r="R9" s="32"/>
    </row>
    <row r="10" spans="1:18">
      <c r="A10" s="6" t="s">
        <v>40</v>
      </c>
      <c r="B10" s="37">
        <f t="shared" si="0"/>
        <v>292.217700355452</v>
      </c>
      <c r="C10" s="33"/>
      <c r="D10" s="37">
        <f>IF( ISERROR(IND_voed_gas_kWh/1000),0,IND_voed_gas_kWh/1000)*0.903</f>
        <v>661.7277441699207</v>
      </c>
      <c r="E10" s="33">
        <f>C32*'E Balans VL '!I20/100/3.6*1000000</f>
        <v>0.34172082056102376</v>
      </c>
      <c r="F10" s="33">
        <f>C32*'E Balans VL '!L20/100/3.6*1000000+C32*'E Balans VL '!N20/100/3.6*1000000</f>
        <v>13.645308767495395</v>
      </c>
      <c r="G10" s="34"/>
      <c r="H10" s="33"/>
      <c r="I10" s="33"/>
      <c r="J10" s="40">
        <f>C32*'E Balans VL '!D20/100/3.6*1000000+C32*'E Balans VL '!E20/100/3.6*1000000</f>
        <v>0</v>
      </c>
      <c r="K10" s="33"/>
      <c r="L10" s="33"/>
      <c r="M10" s="33"/>
      <c r="N10" s="33">
        <f>C32*'E Balans VL '!Y20/100/3.6*1000000</f>
        <v>16.758680885927294</v>
      </c>
      <c r="O10" s="33"/>
      <c r="P10" s="33"/>
      <c r="R10" s="32"/>
    </row>
    <row r="11" spans="1:18">
      <c r="A11" s="6" t="s">
        <v>39</v>
      </c>
      <c r="B11" s="37">
        <f t="shared" si="0"/>
        <v>20.341151726001002</v>
      </c>
      <c r="C11" s="33"/>
      <c r="D11" s="37">
        <f>IF( ISERROR(IND_textiel_gas_kWh/1000),0,IND_textiel_gas_kWh/1000)*0.903</f>
        <v>0</v>
      </c>
      <c r="E11" s="33">
        <f>C33*'E Balans VL '!I21/100/3.6*1000000</f>
        <v>0.28290175837677017</v>
      </c>
      <c r="F11" s="33">
        <f>C33*'E Balans VL '!L21/100/3.6*1000000+C33*'E Balans VL '!N21/100/3.6*1000000</f>
        <v>0.64405584672224658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11.470475648843999</v>
      </c>
      <c r="C13" s="33"/>
      <c r="D13" s="37">
        <f>IF( ISERROR(IND_papier_gas_kWh/1000),0,IND_papier_gas_kWh/1000)*0.903</f>
        <v>70.837809382591416</v>
      </c>
      <c r="E13" s="33">
        <f>C35*'E Balans VL '!I23/100/3.6*1000000</f>
        <v>0</v>
      </c>
      <c r="F13" s="33">
        <f>C35*'E Balans VL '!L23/100/3.6*1000000+C35*'E Balans VL '!N23/100/3.6*1000000</f>
        <v>1.3703850578418857</v>
      </c>
      <c r="G13" s="34"/>
      <c r="H13" s="33"/>
      <c r="I13" s="33"/>
      <c r="J13" s="40">
        <f>C35*'E Balans VL '!D23/100/3.6*1000000+C35*'E Balans VL '!E23/100/3.6*1000000</f>
        <v>6.9222468403294088E-2</v>
      </c>
      <c r="K13" s="33"/>
      <c r="L13" s="33"/>
      <c r="M13" s="33"/>
      <c r="N13" s="33">
        <f>C35*'E Balans VL '!Y23/100/3.6*1000000</f>
        <v>-0.92184758328166505</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ISERROR(IND_rest_gas_kWh/1000),0,IND_rest_gas_kWh/1000)*0.903</f>
        <v>49.250676482856271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energieproductie'!N38+'lokale energieproductie'!N31</f>
        <v>0</v>
      </c>
      <c r="C16" s="242">
        <f>'lokale energieproductie'!O38+'lokale energieproductie'!O31</f>
        <v>0</v>
      </c>
      <c r="D16" s="301">
        <f>('lokale energieproductie'!P31+'lokale energieproductie'!P38)*(-1)</f>
        <v>0</v>
      </c>
      <c r="E16" s="301">
        <f>('lokale energieproductie'!X31+'lokale energieproductie'!X38)*(-1)</f>
        <v>0</v>
      </c>
      <c r="F16" s="301">
        <f>('lokale energieproductie'!S31+'lokale energieproductie'!S38)*(-1)</f>
        <v>0</v>
      </c>
      <c r="G16" s="244"/>
      <c r="H16" s="243"/>
      <c r="I16" s="243"/>
      <c r="J16" s="243"/>
      <c r="K16" s="243"/>
      <c r="L16" s="301">
        <f>('lokale energieproductie'!T31+'lokale energieproductie'!U31+'lokale energieproductie'!T38+'lokale energieproductie'!U38)*(-1)</f>
        <v>0</v>
      </c>
      <c r="M16" s="243"/>
      <c r="N16" s="301">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9623.1739178869775</v>
      </c>
      <c r="C18" s="21">
        <f>C5+C16</f>
        <v>0</v>
      </c>
      <c r="D18" s="21">
        <f>MAX((D5+D16),0)</f>
        <v>10456.391230376656</v>
      </c>
      <c r="E18" s="21">
        <f>MAX((E5+E16),0)</f>
        <v>31.81026060565711</v>
      </c>
      <c r="F18" s="21">
        <f>MAX((F5+F16),0)</f>
        <v>1739.7472664133343</v>
      </c>
      <c r="G18" s="21"/>
      <c r="H18" s="21"/>
      <c r="I18" s="21"/>
      <c r="J18" s="21">
        <f>MAX((J5+J16),0)</f>
        <v>6.9222468403314072E-2</v>
      </c>
      <c r="K18" s="21"/>
      <c r="L18" s="21">
        <f>MAX((L5+L16),0)</f>
        <v>0</v>
      </c>
      <c r="M18" s="21"/>
      <c r="N18" s="21">
        <f>MAX((N5+N16),0)</f>
        <v>195.57904633394509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0.21326501086578212</v>
      </c>
      <c r="C20" s="25">
        <f ca="1">'EF ele_warmte'!B22</f>
        <v>0.2313620709246543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2052.2862901614772</v>
      </c>
      <c r="C22" s="23">
        <f ca="1">C18*C20</f>
        <v>0</v>
      </c>
      <c r="D22" s="23">
        <f>D18*D20</f>
        <v>2112.1910285360846</v>
      </c>
      <c r="E22" s="23">
        <f>E18*E20</f>
        <v>7.2209291574841643</v>
      </c>
      <c r="F22" s="23">
        <f>F18*F20</f>
        <v>464.51252013236029</v>
      </c>
      <c r="G22" s="23"/>
      <c r="H22" s="23"/>
      <c r="I22" s="23"/>
      <c r="J22" s="23">
        <f>J18*J20</f>
        <v>2.450475381477318E-2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7396.68142709515</v>
      </c>
      <c r="C30" s="39">
        <f>IF(ISERROR(B30*3.6/1000000/'E Balans VL '!Z18*100),0,B30*3.6/1000000/'E Balans VL '!Z18*100)</f>
        <v>0.51846884566718221</v>
      </c>
      <c r="D30" s="232" t="s">
        <v>768</v>
      </c>
    </row>
    <row r="31" spans="1:18" ht="30">
      <c r="A31" s="6" t="s">
        <v>32</v>
      </c>
      <c r="B31" s="37">
        <f>IF( ISERROR(IND_ander_ele_kWh/1000),0,IND_ander_ele_kWh/1000)</f>
        <v>1902.4631630615302</v>
      </c>
      <c r="C31" s="39">
        <f>IF(ISERROR(B31*3.6/1000000/'E Balans VL '!Z19*100),0,B31*3.6/1000000/'E Balans VL '!Z19*100)</f>
        <v>8.9135568818309391E-2</v>
      </c>
      <c r="D31" s="232" t="s">
        <v>768</v>
      </c>
    </row>
    <row r="32" spans="1:18" ht="30">
      <c r="A32" s="167" t="s">
        <v>40</v>
      </c>
      <c r="B32" s="37">
        <f>IF( ISERROR(IND_voed_ele_kWh/1000),0,IND_voed_ele_kWh/1000)</f>
        <v>292.217700355452</v>
      </c>
      <c r="C32" s="39">
        <f>IF(ISERROR(B32*3.6/1000000/'E Balans VL '!Z20*100),0,B32*3.6/1000000/'E Balans VL '!Z20*100)</f>
        <v>9.6455695482154033E-3</v>
      </c>
      <c r="D32" s="232" t="s">
        <v>768</v>
      </c>
    </row>
    <row r="33" spans="1:5" ht="30">
      <c r="A33" s="167" t="s">
        <v>39</v>
      </c>
      <c r="B33" s="37">
        <f>IF( ISERROR(IND_textiel_ele_kWh/1000),0,IND_textiel_ele_kWh/1000)</f>
        <v>20.341151726001002</v>
      </c>
      <c r="C33" s="39">
        <f>IF(ISERROR(B33*3.6/1000000/'E Balans VL '!Z21*100),0,B33*3.6/1000000/'E Balans VL '!Z21*100)</f>
        <v>3.7739231184531598E-3</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11.470475648843999</v>
      </c>
      <c r="C35" s="39">
        <f>IF(ISERROR(B35*3.6/1000000/'E Balans VL '!Z22*100),0,B35*3.6/1000000/'E Balans VL '!Z22*100)</f>
        <v>4.8133001508009841E-3</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337.19842458325201</v>
      </c>
      <c r="C5" s="17">
        <f>'Eigen informatie GS &amp; warmtenet'!B62</f>
        <v>0</v>
      </c>
      <c r="D5" s="30">
        <f>IF(ISERROR(SUM(LB_lb_gas_kWh,LB_rest_gas_kWh)/1000),0,SUM(LB_lb_gas_kWh,LB_rest_gas_kWh)/1000)*0.903</f>
        <v>652.1806167968615</v>
      </c>
      <c r="E5" s="17">
        <f>B17*'E Balans VL '!I25/3.6*1000000/100</f>
        <v>11.370847400853872</v>
      </c>
      <c r="F5" s="17">
        <f>B17*('E Balans VL '!L25/3.6*1000000+'E Balans VL '!N25/3.6*1000000)/100</f>
        <v>1168.2888870618865</v>
      </c>
      <c r="G5" s="18"/>
      <c r="H5" s="17"/>
      <c r="I5" s="17"/>
      <c r="J5" s="17">
        <f>('E Balans VL '!D25+'E Balans VL '!E25)/3.6*1000000*landbouw!B17/100</f>
        <v>73.190093344082555</v>
      </c>
      <c r="K5" s="17"/>
      <c r="L5" s="17">
        <f>L6*(-1)</f>
        <v>0</v>
      </c>
      <c r="M5" s="17"/>
      <c r="N5" s="17">
        <f>N6*(-1)</f>
        <v>0</v>
      </c>
      <c r="O5" s="17"/>
      <c r="P5" s="17"/>
      <c r="R5" s="32"/>
    </row>
    <row r="6" spans="1:18">
      <c r="A6" s="16" t="s">
        <v>808</v>
      </c>
      <c r="B6" s="17" t="s">
        <v>204</v>
      </c>
      <c r="C6" s="17">
        <f>'lokale energieproductie'!O40+'lokale energieproductie'!O33</f>
        <v>0</v>
      </c>
      <c r="D6" s="301">
        <f>('lokale energieproductie'!P33+'lokale energieproductie'!P40)*(-1)</f>
        <v>0</v>
      </c>
      <c r="E6" s="301">
        <f>('lokale energieproductie'!X33+'lokale energieproductie'!X40)*(-1)</f>
        <v>0</v>
      </c>
      <c r="F6" s="301">
        <f>('lokale energieproductie'!S33+'lokale energieproductie'!S40)*(-1)</f>
        <v>0</v>
      </c>
      <c r="G6" s="244"/>
      <c r="H6" s="243"/>
      <c r="I6" s="243"/>
      <c r="J6" s="243"/>
      <c r="K6" s="243"/>
      <c r="L6" s="301">
        <f>('lokale energieproductie'!T33+'lokale energieproductie'!U33+'lokale energieproductie'!T40+'lokale energieproductie'!U40)*(-1)</f>
        <v>0</v>
      </c>
      <c r="M6" s="243"/>
      <c r="N6" s="301">
        <f>('lokale energieproductie'!V33+'lokale energieproductie'!R33+'lokale energieproductie'!Q33+'lokale energieproductie'!Q40+'lokale energieproductie'!R40+'lokale energieproductie'!V40)*(-1)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337.19842458325201</v>
      </c>
      <c r="C8" s="21">
        <f>C5+C6</f>
        <v>0</v>
      </c>
      <c r="D8" s="21">
        <f>MAX((D5+D6),0)</f>
        <v>652.1806167968615</v>
      </c>
      <c r="E8" s="21">
        <f>MAX((E5+E6),0)</f>
        <v>11.370847400853872</v>
      </c>
      <c r="F8" s="21">
        <f>MAX((F5+F6),0)</f>
        <v>1168.2888870618865</v>
      </c>
      <c r="G8" s="21"/>
      <c r="H8" s="21"/>
      <c r="I8" s="21"/>
      <c r="J8" s="21">
        <f>MAX((J5+J6),0)</f>
        <v>73.190093344082555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0.21326501086578212</v>
      </c>
      <c r="C10" s="31">
        <f ca="1">'EF ele_warmte'!B22</f>
        <v>0.2313620709246543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71.912625682671845</v>
      </c>
      <c r="C12" s="23">
        <f ca="1">C8*C10</f>
        <v>0</v>
      </c>
      <c r="D12" s="23">
        <f>D8*D10</f>
        <v>131.74048459296603</v>
      </c>
      <c r="E12" s="23">
        <f>E8*E10</f>
        <v>2.5811823599938291</v>
      </c>
      <c r="F12" s="23">
        <f>F8*F10</f>
        <v>311.93313284552369</v>
      </c>
      <c r="G12" s="23"/>
      <c r="H12" s="23"/>
      <c r="I12" s="23"/>
      <c r="J12" s="23">
        <f>J8*J10</f>
        <v>25.909293043805224</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4.8168630687703454E-2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13.171440238922651</v>
      </c>
      <c r="C26" s="242">
        <f>B26*'GWP N2O_CH4'!B5</f>
        <v>276.6002450173757</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2.4731503510648039</v>
      </c>
      <c r="C27" s="242">
        <f>B27*'GWP N2O_CH4'!B5</f>
        <v>51.936157372360881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0.16254384179538561</v>
      </c>
      <c r="C28" s="242">
        <f>B28*'GWP N2O_CH4'!B4</f>
        <v>50.388590956569537</v>
      </c>
      <c r="D28" s="50"/>
    </row>
    <row r="29" spans="1:4">
      <c r="A29" s="41" t="s">
        <v>266</v>
      </c>
      <c r="B29" s="242">
        <f>B34*'ha_N2O bodem landbouw'!B4</f>
        <v>0.78251695083254591</v>
      </c>
      <c r="C29" s="242">
        <f>B29*'GWP N2O_CH4'!B4</f>
        <v>242.58025475808924</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1.715638565232582E-4</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2.3851704201241892E-3</v>
      </c>
      <c r="C5" s="428" t="s">
        <v>204</v>
      </c>
      <c r="D5" s="413">
        <f>SUM(D6:D11)</f>
        <v>2.0938142536335042E-3</v>
      </c>
      <c r="E5" s="413">
        <f>SUM(E6:E11)</f>
        <v>7.7669893986366013E-4</v>
      </c>
      <c r="F5" s="426" t="s">
        <v>204</v>
      </c>
      <c r="G5" s="413">
        <f>SUM(G6:G11)</f>
        <v>0.29638753872971213</v>
      </c>
      <c r="H5" s="413">
        <f>SUM(H6:H11)</f>
        <v>0.10199523041244273</v>
      </c>
      <c r="I5" s="428" t="s">
        <v>204</v>
      </c>
      <c r="J5" s="428" t="s">
        <v>204</v>
      </c>
      <c r="K5" s="428" t="s">
        <v>204</v>
      </c>
      <c r="L5" s="428" t="s">
        <v>204</v>
      </c>
      <c r="M5" s="413">
        <f>SUM(M6:M11)</f>
        <v>4.1953730853835254E-2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4.4559760948371192E-4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4.1077379346624325E-4</v>
      </c>
      <c r="E6" s="839">
        <f>vkm_GW_PW*SUMIFS(TableVerdeelsleutelVkm[LPG],TableVerdeelsleutelVkm[Voertuigtype],"Lichte voertuigen")*SUMIFS(TableECFTransport[EnergieConsumptieFactor (PJ per km)],TableECFTransport[Index],CONCATENATE($A6,"_LPG_LPG"))</f>
        <v>1.3809783563332437E-4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3.9084283319821965E-2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1.9542225795494694E-2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6.0566118025752319E-3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1.00652347517145E-6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2.2262701108053722E-2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1.6045391842767351E-7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2.4920758089875842E-3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5.3518720125410551E-4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6.4013849444543062E-4</v>
      </c>
      <c r="E8" s="416">
        <f>vkm_NGW_PW*SUMIFS(TableVerdeelsleutelVkm[LPG],TableVerdeelsleutelVkm[Voertuigtype],"Lichte voertuigen")*SUMIFS(TableECFTransport[EnergieConsumptieFactor (PJ per km)],TableECFTransport[Index],CONCATENATE($A8,"_LPG_LPG"))</f>
        <v>2.0552345519091978E-4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5.3244690586539418E-2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2.9877430320797767E-2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8.5310310421709244E-3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1.3846118696993081E-8</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3.9426136356265548E-4</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2.6642251002468341E-9</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4.4133407805017598E-5</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1.3999132266909488E-3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1.0429019657218301E-3</v>
      </c>
      <c r="E10" s="416">
        <f>vkm_SW_PW*SUMIFS(TableVerdeelsleutelVkm[LPG],TableVerdeelsleutelVkm[Voertuigtype],"Lichte voertuigen")*SUMIFS(TableECFTransport[EnergieConsumptieFactor (PJ per km)],TableECFTransport[Index],CONCATENATE($A10,"_LPG_LPG"))</f>
        <v>4.3307764903941594E-4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0.10957493089696294</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5.2574844770117646E-2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1.6789632334482382E-2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3.4520131015544484E-6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7.1826671454771424E-2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5.6640788910381047E-7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8.0402464578141139E-3</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662.54733892338584</v>
      </c>
      <c r="C14" s="21"/>
      <c r="D14" s="21">
        <f t="shared" ref="D14:M14" si="0">((D5)*10^9/3600)+D12</f>
        <v>581.61507045375117</v>
      </c>
      <c r="E14" s="21">
        <f t="shared" si="0"/>
        <v>215.74970551768337</v>
      </c>
      <c r="F14" s="21"/>
      <c r="G14" s="21">
        <f t="shared" si="0"/>
        <v>82329.871869364477</v>
      </c>
      <c r="H14" s="21">
        <f t="shared" si="0"/>
        <v>28332.008447900756</v>
      </c>
      <c r="I14" s="21"/>
      <c r="J14" s="21"/>
      <c r="K14" s="21"/>
      <c r="L14" s="21"/>
      <c r="M14" s="21">
        <f t="shared" si="0"/>
        <v>11653.814126065348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0.21326501086578212</v>
      </c>
      <c r="C16" s="56">
        <f ca="1">'EF ele_warmte'!B22</f>
        <v>0.2313620709246543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141.29816543459091</v>
      </c>
      <c r="C18" s="23"/>
      <c r="D18" s="23">
        <f t="shared" ref="D18:M18" si="1">D14*D16</f>
        <v>117.48624423165775</v>
      </c>
      <c r="E18" s="23">
        <f t="shared" si="1"/>
        <v>48.975183152514127</v>
      </c>
      <c r="F18" s="23"/>
      <c r="G18" s="23">
        <f t="shared" si="1"/>
        <v>21982.075789120317</v>
      </c>
      <c r="H18" s="23">
        <f t="shared" si="1"/>
        <v>7054.6701035272881</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1.8695636958788753E-4</v>
      </c>
      <c r="C50" s="312">
        <f t="shared" ref="C50:P50" si="2">SUM(C51:C52)</f>
        <v>0</v>
      </c>
      <c r="D50" s="312">
        <f t="shared" si="2"/>
        <v>0</v>
      </c>
      <c r="E50" s="312">
        <f t="shared" si="2"/>
        <v>0</v>
      </c>
      <c r="F50" s="312">
        <f t="shared" si="2"/>
        <v>0</v>
      </c>
      <c r="G50" s="312">
        <f t="shared" si="2"/>
        <v>7.6776881713227331E-3</v>
      </c>
      <c r="H50" s="312">
        <f t="shared" si="2"/>
        <v>0</v>
      </c>
      <c r="I50" s="312">
        <f t="shared" si="2"/>
        <v>0</v>
      </c>
      <c r="J50" s="312">
        <f t="shared" si="2"/>
        <v>0</v>
      </c>
      <c r="K50" s="312">
        <f t="shared" si="2"/>
        <v>0</v>
      </c>
      <c r="L50" s="312">
        <f t="shared" si="2"/>
        <v>0</v>
      </c>
      <c r="M50" s="312">
        <f t="shared" si="2"/>
        <v>8.5943187507039626E-4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1.8695636958788753E-4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7.6776881713227331E-3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8.5943187507039626E-4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51.932324885524316</v>
      </c>
      <c r="C54" s="21">
        <f t="shared" ref="C54:P54" si="3">(C50)*10^9/3600</f>
        <v>0</v>
      </c>
      <c r="D54" s="21">
        <f t="shared" si="3"/>
        <v>0</v>
      </c>
      <c r="E54" s="21">
        <f t="shared" si="3"/>
        <v>0</v>
      </c>
      <c r="F54" s="21">
        <f t="shared" si="3"/>
        <v>0</v>
      </c>
      <c r="G54" s="21">
        <f t="shared" si="3"/>
        <v>2132.6911587007594</v>
      </c>
      <c r="H54" s="21">
        <f t="shared" si="3"/>
        <v>0</v>
      </c>
      <c r="I54" s="21">
        <f t="shared" si="3"/>
        <v>0</v>
      </c>
      <c r="J54" s="21">
        <f t="shared" si="3"/>
        <v>0</v>
      </c>
      <c r="K54" s="21">
        <f t="shared" si="3"/>
        <v>0</v>
      </c>
      <c r="L54" s="21">
        <f t="shared" si="3"/>
        <v>0</v>
      </c>
      <c r="M54" s="21">
        <f t="shared" si="3"/>
        <v>238.73107640844339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0.21326501086578212</v>
      </c>
      <c r="C56" s="56">
        <f ca="1">'EF ele_warmte'!B22</f>
        <v>0.2313620709246543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11.07534783099667</v>
      </c>
      <c r="C58" s="23">
        <f t="shared" ref="C58:P58" ca="1" si="4">C54*C56</f>
        <v>0</v>
      </c>
      <c r="D58" s="23">
        <f t="shared" si="4"/>
        <v>0</v>
      </c>
      <c r="E58" s="23">
        <f t="shared" si="4"/>
        <v>0</v>
      </c>
      <c r="F58" s="23">
        <f t="shared" si="4"/>
        <v>0</v>
      </c>
      <c r="G58" s="23">
        <f t="shared" si="4"/>
        <v>569.42853937310281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3303.9980434606973</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6876.3888894390011</v>
      </c>
      <c r="C8" s="539">
        <f>B49</f>
        <v>7875.9186828905495</v>
      </c>
      <c r="D8" s="540">
        <f>J49</f>
        <v>0</v>
      </c>
      <c r="E8" s="540">
        <f>E49</f>
        <v>0</v>
      </c>
      <c r="F8" s="541"/>
      <c r="G8" s="542"/>
      <c r="H8" s="540">
        <f>I49</f>
        <v>0</v>
      </c>
      <c r="I8" s="540">
        <f>G49+F49</f>
        <v>0</v>
      </c>
      <c r="J8" s="540">
        <f>H49+D49+C49</f>
        <v>0</v>
      </c>
      <c r="K8" s="540"/>
      <c r="L8" s="540"/>
      <c r="M8" s="540"/>
      <c r="N8" s="543"/>
      <c r="O8" s="544">
        <f>C8*$C$12+D8*$D$12+E8*$E$12+F8*$F$12+G8*$G$12+H8*$H$12+I8*$I$12+J8*$J$12</f>
        <v>1590.9355739438911</v>
      </c>
      <c r="P8" s="1239"/>
      <c r="Q8" s="1240"/>
      <c r="S8" s="534"/>
      <c r="T8" s="1236"/>
      <c r="U8" s="1236"/>
    </row>
    <row r="9" spans="1:21" s="525" customFormat="1" ht="17.45" customHeight="1" thickBot="1">
      <c r="A9" s="545" t="s">
        <v>237</v>
      </c>
      <c r="B9" s="546">
        <f>N37+'Eigen informatie GS &amp; warmtenet'!B12</f>
        <v>0</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10180.386932899699</v>
      </c>
      <c r="C10" s="554">
        <f t="shared" ref="C10:L10" si="0">SUM(C8:C9)</f>
        <v>7875.9186828905495</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1590.9355739438911</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7888.8888895200007</v>
      </c>
      <c r="C17" s="570">
        <f>B50</f>
        <v>9035.592429573484</v>
      </c>
      <c r="D17" s="571">
        <f>J50</f>
        <v>0</v>
      </c>
      <c r="E17" s="571">
        <f>E50</f>
        <v>0</v>
      </c>
      <c r="F17" s="572"/>
      <c r="G17" s="573"/>
      <c r="H17" s="570">
        <f>I50</f>
        <v>0</v>
      </c>
      <c r="I17" s="571">
        <f>G50+F50</f>
        <v>0</v>
      </c>
      <c r="J17" s="571">
        <f>H50+D50+C50</f>
        <v>0</v>
      </c>
      <c r="K17" s="571"/>
      <c r="L17" s="571"/>
      <c r="M17" s="571"/>
      <c r="N17" s="913"/>
      <c r="O17" s="574">
        <f>C17*$C$22+E17*$E$22+H17*$H$22+I17*$I$22+J17*$J$22+D17*$D$22+F17*$F$22+G17*$G$22+K17*$K$22+L17*$L$22</f>
        <v>1825.1896707738438</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7888.8888895200007</v>
      </c>
      <c r="C20" s="553">
        <f>SUM(C17:C19)</f>
        <v>9035.592429573484</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1825.1896707738438</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11013</v>
      </c>
      <c r="C28" s="741"/>
      <c r="D28" s="628"/>
      <c r="E28" s="627"/>
      <c r="F28" s="627"/>
      <c r="G28" s="627"/>
      <c r="H28" s="627"/>
      <c r="I28" s="627"/>
      <c r="J28" s="740"/>
      <c r="K28" s="740"/>
      <c r="L28" s="627"/>
      <c r="M28" s="627">
        <v>1560</v>
      </c>
      <c r="N28" s="627">
        <v>6777.5000005422007</v>
      </c>
      <c r="O28" s="627">
        <v>7729.7222228406008</v>
      </c>
      <c r="P28" s="627">
        <v>16610.369445773274</v>
      </c>
      <c r="Q28" s="627">
        <v>0</v>
      </c>
      <c r="R28" s="627">
        <v>0</v>
      </c>
      <c r="S28" s="627">
        <v>0</v>
      </c>
      <c r="T28" s="627">
        <v>0</v>
      </c>
      <c r="U28" s="627">
        <v>0</v>
      </c>
      <c r="V28" s="627">
        <v>0</v>
      </c>
      <c r="W28" s="627">
        <v>0</v>
      </c>
      <c r="X28" s="627">
        <v>0</v>
      </c>
      <c r="Y28" s="627"/>
      <c r="Z28" s="627"/>
      <c r="AA28" s="629" t="s">
        <v>149</v>
      </c>
    </row>
    <row r="29" spans="1:27" s="584" customFormat="1" ht="12.75" hidden="1">
      <c r="A29" s="583"/>
      <c r="B29" s="741">
        <v>11013</v>
      </c>
      <c r="C29" s="741"/>
      <c r="D29" s="628"/>
      <c r="E29" s="627"/>
      <c r="F29" s="627"/>
      <c r="G29" s="627"/>
      <c r="H29" s="627"/>
      <c r="I29" s="627"/>
      <c r="J29" s="740"/>
      <c r="K29" s="740"/>
      <c r="L29" s="627"/>
      <c r="M29" s="627">
        <v>70</v>
      </c>
      <c r="N29" s="627">
        <v>98.888888896800012</v>
      </c>
      <c r="O29" s="627">
        <v>159.16666667940001</v>
      </c>
      <c r="P29" s="627">
        <v>301.14166669075797</v>
      </c>
      <c r="Q29" s="627">
        <v>0</v>
      </c>
      <c r="R29" s="627">
        <v>0</v>
      </c>
      <c r="S29" s="627">
        <v>0</v>
      </c>
      <c r="T29" s="627">
        <v>0</v>
      </c>
      <c r="U29" s="627">
        <v>0</v>
      </c>
      <c r="V29" s="627">
        <v>0</v>
      </c>
      <c r="W29" s="627">
        <v>0</v>
      </c>
      <c r="X29" s="627">
        <v>0</v>
      </c>
      <c r="Y29" s="627"/>
      <c r="Z29" s="627"/>
      <c r="AA29" s="629" t="s">
        <v>830</v>
      </c>
    </row>
    <row r="30" spans="1:27" s="564" customFormat="1" hidden="1">
      <c r="A30" s="586" t="s">
        <v>269</v>
      </c>
      <c r="B30" s="587"/>
      <c r="C30" s="587"/>
      <c r="D30" s="587"/>
      <c r="E30" s="587"/>
      <c r="F30" s="587"/>
      <c r="G30" s="587"/>
      <c r="H30" s="587"/>
      <c r="I30" s="587"/>
      <c r="J30" s="587"/>
      <c r="K30" s="587"/>
      <c r="L30" s="588"/>
      <c r="M30" s="588">
        <f>SUM(M28:M29)</f>
        <v>1630</v>
      </c>
      <c r="N30" s="588">
        <f>SUM(N28:N29)</f>
        <v>6876.3888894390011</v>
      </c>
      <c r="O30" s="588">
        <f>SUM(O28:O29)</f>
        <v>7888.8888895200007</v>
      </c>
      <c r="P30" s="588">
        <f>SUM(P28:P29)</f>
        <v>16911.511112464032</v>
      </c>
      <c r="Q30" s="588">
        <f>SUM(Q28:Q29)</f>
        <v>0</v>
      </c>
      <c r="R30" s="588">
        <f>SUM(R28:R29)</f>
        <v>0</v>
      </c>
      <c r="S30" s="588">
        <f>SUM(S28:S29)</f>
        <v>0</v>
      </c>
      <c r="T30" s="588">
        <f>SUM(T28:T29)</f>
        <v>0</v>
      </c>
      <c r="U30" s="588">
        <f>SUM(U28:U29)</f>
        <v>0</v>
      </c>
      <c r="V30" s="588">
        <f>SUM(V28:V29)</f>
        <v>0</v>
      </c>
      <c r="W30" s="588">
        <f>SUM(W28:W29)</f>
        <v>0</v>
      </c>
      <c r="X30" s="588">
        <f>SUM(X28:X29)</f>
        <v>0</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0</v>
      </c>
      <c r="N31" s="588">
        <f>SUMIF($AA$28:$AA$29,"industrie",N28:N29)</f>
        <v>0</v>
      </c>
      <c r="O31" s="588">
        <f>SUMIF($AA$28:$AA$29,"industrie",O28:O29)</f>
        <v>0</v>
      </c>
      <c r="P31" s="588">
        <f>SUMIF($AA$28:$AA$29,"industrie",P28:P29)</f>
        <v>0</v>
      </c>
      <c r="Q31" s="588">
        <f>SUMIF($AA$28:$AA$29,"industrie",Q28:Q29)</f>
        <v>0</v>
      </c>
      <c r="R31" s="588">
        <f>SUMIF($AA$28:$AA$29,"industrie",R28:R29)</f>
        <v>0</v>
      </c>
      <c r="S31" s="588">
        <f>SUMIF($AA$28:$AA$29,"industrie",S28:S29)</f>
        <v>0</v>
      </c>
      <c r="T31" s="588">
        <f>SUMIF($AA$28:$AA$29,"industrie",T28:T29)</f>
        <v>0</v>
      </c>
      <c r="U31" s="588">
        <f>SUMIF($AA$28:$AA$29,"industrie",U28:U29)</f>
        <v>0</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1630</v>
      </c>
      <c r="N32" s="588">
        <f ca="1">SUMIF($AA$28:AE29,"tertiair",N28:N29)</f>
        <v>6876.3888894390011</v>
      </c>
      <c r="O32" s="588">
        <f ca="1">SUMIF($AA$28:AF29,"tertiair",O28:O29)</f>
        <v>7888.8888895200007</v>
      </c>
      <c r="P32" s="588">
        <f ca="1">SUMIF($AA$28:AG29,"tertiair",P28:P29)</f>
        <v>16911.511112464032</v>
      </c>
      <c r="Q32" s="588">
        <f ca="1">SUMIF($AA$28:AH29,"tertiair",Q28:Q29)</f>
        <v>0</v>
      </c>
      <c r="R32" s="588">
        <f ca="1">SUMIF($AA$28:AI29,"tertiair",R28:R29)</f>
        <v>0</v>
      </c>
      <c r="S32" s="588">
        <f ca="1">SUMIF($AA$28:AJ29,"tertiair",S28:S29)</f>
        <v>0</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0</v>
      </c>
      <c r="N33" s="593">
        <f>SUMIF($AA$28:$AA$29,"landbouw",N28:N29)</f>
        <v>0</v>
      </c>
      <c r="O33" s="593">
        <f>SUMIF($AA$28:$AA$29,"landbouw",O28:O29)</f>
        <v>0</v>
      </c>
      <c r="P33" s="593">
        <f>SUMIF($AA$28:$AA$29,"landbouw",P28:P29)</f>
        <v>0</v>
      </c>
      <c r="Q33" s="593">
        <f>SUMIF($AA$28:$AA$29,"landbouw",Q28:Q29)</f>
        <v>0</v>
      </c>
      <c r="R33" s="593">
        <f>SUMIF($AA$28:$AA$29,"landbouw",R28:R29)</f>
        <v>0</v>
      </c>
      <c r="S33" s="593">
        <f>SUMIF($AA$28:$AA$29,"landbouw",S28:S29)</f>
        <v>0</v>
      </c>
      <c r="T33" s="593">
        <f>SUMIF($AA$28:$AA$29,"landbouw",T28:T29)</f>
        <v>0</v>
      </c>
      <c r="U33" s="593">
        <f>SUMIF($AA$28:$AA$29,"landbouw",U28:U29)</f>
        <v>0</v>
      </c>
      <c r="V33" s="593">
        <f>SUMIF($AA$28:$AA$29,"landbouw",V28:V29)</f>
        <v>0</v>
      </c>
      <c r="W33" s="593">
        <f>SUMIF($AA$28:$AA$29,"landbouw",W28:W29)</f>
        <v>0</v>
      </c>
      <c r="X33" s="593">
        <f>SUMIF($AA$28:$AA$29,"landbouw",X28:X29)</f>
        <v>0</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c r="C36" s="741"/>
      <c r="D36" s="630"/>
      <c r="E36" s="630"/>
      <c r="F36" s="630"/>
      <c r="G36" s="630"/>
      <c r="H36" s="630"/>
      <c r="I36" s="630"/>
      <c r="J36" s="740"/>
      <c r="K36" s="740"/>
      <c r="L36" s="630"/>
      <c r="M36" s="630"/>
      <c r="N36" s="630"/>
      <c r="O36" s="630"/>
      <c r="P36" s="630"/>
      <c r="Q36" s="630"/>
      <c r="R36" s="630"/>
      <c r="S36" s="630"/>
      <c r="T36" s="630"/>
      <c r="U36" s="630"/>
      <c r="V36" s="630"/>
      <c r="W36" s="630"/>
      <c r="X36" s="630"/>
      <c r="Y36" s="630"/>
      <c r="Z36" s="630"/>
      <c r="AA36" s="631"/>
    </row>
    <row r="37" spans="1:28" s="564" customFormat="1" hidden="1">
      <c r="A37" s="586" t="s">
        <v>269</v>
      </c>
      <c r="B37" s="587"/>
      <c r="C37" s="587"/>
      <c r="D37" s="587"/>
      <c r="E37" s="587"/>
      <c r="F37" s="587"/>
      <c r="G37" s="587"/>
      <c r="H37" s="587"/>
      <c r="I37" s="587"/>
      <c r="J37" s="587"/>
      <c r="K37" s="587"/>
      <c r="L37" s="588"/>
      <c r="M37" s="588">
        <f>SUM(M36:M36)</f>
        <v>0</v>
      </c>
      <c r="N37" s="588">
        <f>SUM(N36:N36)</f>
        <v>0</v>
      </c>
      <c r="O37" s="588">
        <f>SUM(O36:O36)</f>
        <v>0</v>
      </c>
      <c r="P37" s="588">
        <f>SUM(P36:P36)</f>
        <v>0</v>
      </c>
      <c r="Q37" s="588">
        <f>SUM(Q36:Q36)</f>
        <v>0</v>
      </c>
      <c r="R37" s="588">
        <f>SUM(R36:R36)</f>
        <v>0</v>
      </c>
      <c r="S37" s="588">
        <f>SUM(S36:S36)</f>
        <v>0</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0</v>
      </c>
      <c r="N38" s="588">
        <f>SUMIF($AA$36:$AA$36,"industrie",N36:N36)</f>
        <v>0</v>
      </c>
      <c r="O38" s="588">
        <f>SUMIF($AA$36:$AA$36,"industrie",O36:O36)</f>
        <v>0</v>
      </c>
      <c r="P38" s="588">
        <f>SUMIF($AA$36:$AA$36,"industrie",P36:P36)</f>
        <v>0</v>
      </c>
      <c r="Q38" s="588">
        <f>SUMIF($AA$36:$AA$36,"industrie",Q36:Q36)</f>
        <v>0</v>
      </c>
      <c r="R38" s="588">
        <f>SUMIF($AA$36:$AA$36,"industrie",R36:R36)</f>
        <v>0</v>
      </c>
      <c r="S38" s="588">
        <f>SUMIF($AA$36:$AA$36,"industrie",S36:S36)</f>
        <v>0</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0.53428652055309944</v>
      </c>
      <c r="C46" s="612">
        <f>IF(ISERROR(N30/(O30+N30)),0,N30/(N30+O30))</f>
        <v>0.46571347944690061</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7875.9186828905495</v>
      </c>
      <c r="C49" s="621">
        <f>$C$46*Q30</f>
        <v>0</v>
      </c>
      <c r="D49" s="621">
        <f>$C$46*R30</f>
        <v>0</v>
      </c>
      <c r="E49" s="621">
        <f>$C$46*S30</f>
        <v>0</v>
      </c>
      <c r="F49" s="621">
        <f>$C$46*T30</f>
        <v>0</v>
      </c>
      <c r="G49" s="621">
        <f>$C$46*U30</f>
        <v>0</v>
      </c>
      <c r="H49" s="621">
        <f>$C$46*V30</f>
        <v>0</v>
      </c>
      <c r="I49" s="621">
        <f>$C$46*W30</f>
        <v>0</v>
      </c>
      <c r="J49" s="621">
        <f>$C$46*X30</f>
        <v>0</v>
      </c>
      <c r="K49" s="580"/>
      <c r="L49" s="617"/>
      <c r="M49" s="617"/>
      <c r="N49" s="617"/>
      <c r="O49" s="604"/>
      <c r="P49" s="604"/>
    </row>
    <row r="50" spans="1:16" ht="15.75" thickBot="1">
      <c r="A50" s="622" t="s">
        <v>273</v>
      </c>
      <c r="B50" s="623">
        <f>$B$46*P30</f>
        <v>9035.592429573484</v>
      </c>
      <c r="C50" s="623">
        <f>$B$46*Q30</f>
        <v>0</v>
      </c>
      <c r="D50" s="623">
        <f>$B$46*R30</f>
        <v>0</v>
      </c>
      <c r="E50" s="623">
        <f>$B$46*S30</f>
        <v>0</v>
      </c>
      <c r="F50" s="623">
        <f>$B$46*T30</f>
        <v>0</v>
      </c>
      <c r="G50" s="623">
        <f>$B$46*U30</f>
        <v>0</v>
      </c>
      <c r="H50" s="623">
        <f>$B$46*V30</f>
        <v>0</v>
      </c>
      <c r="I50" s="623">
        <f>$B$46*W30</f>
        <v>0</v>
      </c>
      <c r="J50" s="623">
        <f>$B$46*X30</f>
        <v>0</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0</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0</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2022-10-04T13:52:03Z</dcterms:modified>
</cp:coreProperties>
</file>