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5F1AAD4E-E537-4924-889E-56581B31931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D14" i="48"/>
  <c r="B5" i="17"/>
  <c r="Q14" i="48"/>
  <c r="N18" i="18"/>
  <c r="L88" i="14" s="1"/>
  <c r="M18" i="18"/>
  <c r="K88" i="14" s="1"/>
  <c r="K89" i="14"/>
  <c r="K19" i="59"/>
  <c r="L89" i="14"/>
  <c r="L19" i="59" s="1"/>
  <c r="L87" i="14"/>
  <c r="L17" i="59"/>
  <c r="K87" i="14"/>
  <c r="K17" i="59" s="1"/>
  <c r="K77" i="14"/>
  <c r="K9" i="59"/>
  <c r="L77" i="14"/>
  <c r="L9" i="59" s="1"/>
  <c r="L10" i="59" s="1"/>
  <c r="L76" i="14"/>
  <c r="K76" i="14"/>
  <c r="K8" i="59" s="1"/>
  <c r="K10" i="59" s="1"/>
  <c r="B75" i="14"/>
  <c r="B7" i="59"/>
  <c r="L78" i="14"/>
  <c r="L8"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D5" i="22" s="1"/>
  <c r="B8" i="22"/>
  <c r="D7" i="22"/>
  <c r="B52" i="22"/>
  <c r="C37" i="22"/>
  <c r="C73" i="22"/>
  <c r="H9" i="22"/>
  <c r="H10" i="22"/>
  <c r="H8" i="22"/>
  <c r="H6" i="22"/>
  <c r="H11" i="22"/>
  <c r="H7" i="22"/>
  <c r="M15" i="19"/>
  <c r="M14" i="15"/>
  <c r="M16" i="15"/>
  <c r="O15" i="19"/>
  <c r="P15" i="19"/>
  <c r="B28" i="17"/>
  <c r="B27" i="17"/>
  <c r="B31" i="19"/>
  <c r="B35" i="19" s="1"/>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O5" i="13" s="1"/>
  <c r="O8" i="13" s="1"/>
  <c r="O4" i="48" s="1"/>
  <c r="O22" i="48" s="1"/>
  <c r="B6" i="13"/>
  <c r="B17" i="17"/>
  <c r="B34" i="17"/>
  <c r="B6" i="16"/>
  <c r="W39" i="18"/>
  <c r="V39" i="18"/>
  <c r="U39" i="18"/>
  <c r="T39" i="18"/>
  <c r="S39" i="18"/>
  <c r="R39" i="18"/>
  <c r="N6" i="17" s="1"/>
  <c r="Q39" i="18"/>
  <c r="P39" i="18"/>
  <c r="O39" i="18"/>
  <c r="N39" i="18"/>
  <c r="M39" i="18"/>
  <c r="W38" i="18"/>
  <c r="V38" i="18"/>
  <c r="U38" i="18"/>
  <c r="L13" i="15" s="1"/>
  <c r="L16" i="15" s="1"/>
  <c r="T38" i="18"/>
  <c r="S38" i="18"/>
  <c r="R38" i="18"/>
  <c r="Q38" i="18"/>
  <c r="N13" i="15" s="1"/>
  <c r="P38" i="18"/>
  <c r="O38" i="18"/>
  <c r="C13" i="15" s="1"/>
  <c r="C16" i="15" s="1"/>
  <c r="D10" i="14" s="1"/>
  <c r="N38" i="18"/>
  <c r="M38" i="18"/>
  <c r="W37" i="18"/>
  <c r="V37" i="18"/>
  <c r="U37" i="18"/>
  <c r="T37" i="18"/>
  <c r="S37" i="18"/>
  <c r="R37" i="18"/>
  <c r="Q37" i="18"/>
  <c r="P37" i="18"/>
  <c r="D16" i="16" s="1"/>
  <c r="O37" i="18"/>
  <c r="N37" i="18"/>
  <c r="M37" i="18"/>
  <c r="W36" i="18"/>
  <c r="H9" i="18" s="1"/>
  <c r="M77" i="14" s="1"/>
  <c r="M9" i="59" s="1"/>
  <c r="V36" i="18"/>
  <c r="U36" i="18"/>
  <c r="T36" i="18"/>
  <c r="S36" i="18"/>
  <c r="E9" i="18"/>
  <c r="F77" i="14" s="1"/>
  <c r="F9" i="59" s="1"/>
  <c r="R36" i="18"/>
  <c r="Q36" i="18"/>
  <c r="J9" i="18" s="1"/>
  <c r="J77" i="14" s="1"/>
  <c r="J9" i="59" s="1"/>
  <c r="P36" i="18"/>
  <c r="O36" i="18"/>
  <c r="N36" i="18"/>
  <c r="B9" i="18"/>
  <c r="M36" i="18"/>
  <c r="W32" i="18"/>
  <c r="V32" i="18"/>
  <c r="U32" i="18"/>
  <c r="L6" i="17" s="1"/>
  <c r="L5" i="17" s="1"/>
  <c r="L8" i="17" s="1"/>
  <c r="L7" i="48" s="1"/>
  <c r="T32" i="18"/>
  <c r="S32" i="18"/>
  <c r="F6" i="17" s="1"/>
  <c r="R32" i="18"/>
  <c r="Q32" i="18"/>
  <c r="P32" i="18"/>
  <c r="D6" i="17" s="1"/>
  <c r="O32" i="18"/>
  <c r="N32" i="18"/>
  <c r="M32" i="18"/>
  <c r="W31" i="18"/>
  <c r="V31" i="18"/>
  <c r="U31" i="18"/>
  <c r="T31" i="18"/>
  <c r="S31" i="18"/>
  <c r="R31" i="18"/>
  <c r="Q31" i="18"/>
  <c r="P31" i="18"/>
  <c r="O31" i="18"/>
  <c r="N31" i="18"/>
  <c r="B13" i="15"/>
  <c r="M31" i="18"/>
  <c r="W30" i="18"/>
  <c r="V30" i="18"/>
  <c r="U30" i="18"/>
  <c r="T30" i="18"/>
  <c r="L16" i="16" s="1"/>
  <c r="L18" i="16" s="1"/>
  <c r="S30" i="18"/>
  <c r="F16" i="16"/>
  <c r="R30" i="18"/>
  <c r="Q30" i="18"/>
  <c r="N16" i="16" s="1"/>
  <c r="P30" i="18"/>
  <c r="O30" i="18"/>
  <c r="N30" i="18"/>
  <c r="B16" i="16" s="1"/>
  <c r="W29" i="18"/>
  <c r="V29" i="18"/>
  <c r="U29" i="18"/>
  <c r="T29" i="18"/>
  <c r="S29" i="18"/>
  <c r="R29" i="18"/>
  <c r="Q29" i="18"/>
  <c r="P29" i="18"/>
  <c r="O29" i="18"/>
  <c r="B17" i="18"/>
  <c r="N29" i="18"/>
  <c r="B8" i="18"/>
  <c r="M29" i="18"/>
  <c r="K22" i="18"/>
  <c r="J22" i="18"/>
  <c r="I22" i="18"/>
  <c r="H22" i="18"/>
  <c r="G22" i="18"/>
  <c r="F22" i="18"/>
  <c r="E22" i="18"/>
  <c r="D22" i="18"/>
  <c r="C22" i="18"/>
  <c r="L19" i="18"/>
  <c r="O89" i="14"/>
  <c r="O19" i="59" s="1"/>
  <c r="K19" i="18"/>
  <c r="N89" i="14"/>
  <c r="N19" i="59"/>
  <c r="J19" i="18"/>
  <c r="J89" i="14"/>
  <c r="J19" i="59"/>
  <c r="I19" i="18"/>
  <c r="I89" i="14" s="1"/>
  <c r="I19" i="59" s="1"/>
  <c r="H19" i="18"/>
  <c r="M89" i="14"/>
  <c r="M90" i="14" s="1"/>
  <c r="G19" i="18"/>
  <c r="H89" i="14"/>
  <c r="H19" i="59"/>
  <c r="F19" i="18"/>
  <c r="G89" i="14"/>
  <c r="G19" i="59"/>
  <c r="E19" i="18"/>
  <c r="D19" i="18"/>
  <c r="E89" i="14"/>
  <c r="E19" i="59" s="1"/>
  <c r="C19" i="18"/>
  <c r="B19" i="18"/>
  <c r="L18" i="18"/>
  <c r="K18" i="18"/>
  <c r="N88" i="14"/>
  <c r="J18" i="18"/>
  <c r="J88" i="14" s="1"/>
  <c r="J18" i="59"/>
  <c r="I18" i="18"/>
  <c r="I88" i="14"/>
  <c r="I18" i="59" s="1"/>
  <c r="H18" i="18"/>
  <c r="M88" i="14" s="1"/>
  <c r="M18" i="59" s="1"/>
  <c r="G18" i="18"/>
  <c r="F18" i="18"/>
  <c r="G88" i="14" s="1"/>
  <c r="E18" i="18"/>
  <c r="D18" i="18"/>
  <c r="C18" i="18"/>
  <c r="B18" i="18"/>
  <c r="K12" i="18"/>
  <c r="J12" i="18"/>
  <c r="I12" i="18"/>
  <c r="H12" i="18"/>
  <c r="G12" i="18"/>
  <c r="F12" i="18"/>
  <c r="E12" i="18"/>
  <c r="D12" i="18"/>
  <c r="C12" i="18"/>
  <c r="L9" i="18"/>
  <c r="K9" i="18"/>
  <c r="G9" i="18"/>
  <c r="F9" i="18"/>
  <c r="F10" i="18"/>
  <c r="D9" i="18"/>
  <c r="C9" i="18"/>
  <c r="D77" i="14" s="1"/>
  <c r="D9" i="59" s="1"/>
  <c r="B6" i="18"/>
  <c r="B5" i="18"/>
  <c r="B4" i="18"/>
  <c r="B72" i="14"/>
  <c r="B4" i="59" s="1"/>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8" i="17"/>
  <c r="C27" i="17"/>
  <c r="C26" i="17"/>
  <c r="N10" i="17"/>
  <c r="M10" i="17"/>
  <c r="M12" i="17"/>
  <c r="N54" i="14"/>
  <c r="N56" i="14"/>
  <c r="L10" i="17"/>
  <c r="K10" i="17"/>
  <c r="J10" i="17"/>
  <c r="I10" i="17"/>
  <c r="H10" i="17"/>
  <c r="G10" i="17"/>
  <c r="F10" i="17"/>
  <c r="E10" i="17"/>
  <c r="D10" i="17"/>
  <c r="C6" i="17"/>
  <c r="C5" i="17"/>
  <c r="B8" i="17"/>
  <c r="B51" i="16"/>
  <c r="P5" i="16" s="1"/>
  <c r="B45" i="16"/>
  <c r="B43" i="16"/>
  <c r="B37" i="16"/>
  <c r="C37" i="16" s="1"/>
  <c r="B36" i="16"/>
  <c r="C36" i="16"/>
  <c r="B35" i="16"/>
  <c r="B34" i="16"/>
  <c r="B12" i="16"/>
  <c r="B33" i="16"/>
  <c r="C33" i="16"/>
  <c r="F11" i="16"/>
  <c r="B32" i="16"/>
  <c r="C32" i="16" s="1"/>
  <c r="B31" i="16"/>
  <c r="C31" i="16"/>
  <c r="B30" i="16"/>
  <c r="C30" i="16"/>
  <c r="N8" i="16"/>
  <c r="B29" i="16"/>
  <c r="C29" i="16"/>
  <c r="N20" i="16"/>
  <c r="M20" i="16"/>
  <c r="M22" i="16"/>
  <c r="N43" i="14"/>
  <c r="L20" i="16"/>
  <c r="K20" i="16"/>
  <c r="J20" i="16"/>
  <c r="I20" i="16"/>
  <c r="H20" i="16"/>
  <c r="G20" i="16"/>
  <c r="F20" i="16"/>
  <c r="E20" i="16"/>
  <c r="D20" i="16"/>
  <c r="C5" i="16"/>
  <c r="B40" i="15"/>
  <c r="B32" i="15"/>
  <c r="C32" i="15" s="1"/>
  <c r="J12" i="15" s="1"/>
  <c r="B31" i="15"/>
  <c r="C31" i="15"/>
  <c r="E11" i="15" s="1"/>
  <c r="B30" i="15"/>
  <c r="C30" i="15" s="1"/>
  <c r="E10" i="15" s="1"/>
  <c r="B29" i="15"/>
  <c r="C29" i="15"/>
  <c r="J9" i="15" s="1"/>
  <c r="B28" i="15"/>
  <c r="C28" i="15"/>
  <c r="N8" i="15"/>
  <c r="B27" i="15"/>
  <c r="C27" i="15"/>
  <c r="F7" i="15"/>
  <c r="B26" i="15"/>
  <c r="C26" i="15" s="1"/>
  <c r="E6" i="15" s="1"/>
  <c r="N18" i="15"/>
  <c r="M18" i="15"/>
  <c r="L18" i="15"/>
  <c r="K18" i="15"/>
  <c r="J18" i="15"/>
  <c r="I18" i="15"/>
  <c r="H18" i="15"/>
  <c r="G18" i="15"/>
  <c r="F18" i="15"/>
  <c r="E18" i="15"/>
  <c r="D18" i="15"/>
  <c r="H10" i="14"/>
  <c r="P5" i="15"/>
  <c r="P16" i="15"/>
  <c r="C5" i="15"/>
  <c r="B60" i="13"/>
  <c r="B37" i="13"/>
  <c r="B54" i="13"/>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4" i="13"/>
  <c r="D8" i="17"/>
  <c r="D12" i="17" s="1"/>
  <c r="E54" i="14" s="1"/>
  <c r="C34" i="13"/>
  <c r="P5" i="13"/>
  <c r="P8" i="13" s="1"/>
  <c r="P12" i="13" s="1"/>
  <c r="J30" i="48"/>
  <c r="J32" i="48"/>
  <c r="I9" i="18"/>
  <c r="I77" i="14"/>
  <c r="I9" i="59" s="1"/>
  <c r="F30" i="48"/>
  <c r="F32" i="48"/>
  <c r="N30" i="48"/>
  <c r="N32" i="48"/>
  <c r="D89" i="14"/>
  <c r="K10" i="18"/>
  <c r="N77" i="14"/>
  <c r="L10" i="18"/>
  <c r="O77" i="14"/>
  <c r="H16" i="14"/>
  <c r="B8" i="9"/>
  <c r="I14" i="15"/>
  <c r="I16" i="15"/>
  <c r="J10" i="14"/>
  <c r="B13" i="16"/>
  <c r="C35" i="16"/>
  <c r="E9" i="14"/>
  <c r="D14" i="15"/>
  <c r="P18" i="16"/>
  <c r="N5" i="17"/>
  <c r="F13" i="15"/>
  <c r="D13" i="15"/>
  <c r="B67" i="22"/>
  <c r="M11" i="22"/>
  <c r="G10" i="22"/>
  <c r="M9" i="22"/>
  <c r="G8" i="22"/>
  <c r="M7" i="22"/>
  <c r="G6" i="22"/>
  <c r="G5" i="22" s="1"/>
  <c r="G11" i="22"/>
  <c r="M8" i="22"/>
  <c r="G7" i="22"/>
  <c r="M10" i="22"/>
  <c r="G9" i="22"/>
  <c r="M6" i="22"/>
  <c r="B12" i="48"/>
  <c r="Q12" i="48"/>
  <c r="O9" i="14"/>
  <c r="B7" i="15"/>
  <c r="O5" i="16"/>
  <c r="B11" i="15"/>
  <c r="B11" i="16"/>
  <c r="J9" i="14"/>
  <c r="J16" i="14"/>
  <c r="B45" i="18"/>
  <c r="B49" i="18"/>
  <c r="K9" i="14"/>
  <c r="J11" i="48"/>
  <c r="J29" i="48"/>
  <c r="M9" i="14"/>
  <c r="L11" i="48"/>
  <c r="O19" i="14"/>
  <c r="O22" i="14"/>
  <c r="N10" i="48"/>
  <c r="N28" i="48"/>
  <c r="J19" i="14"/>
  <c r="J22" i="14"/>
  <c r="I10" i="48"/>
  <c r="I28" i="48"/>
  <c r="J19" i="19"/>
  <c r="K39" i="14"/>
  <c r="N19" i="19"/>
  <c r="O39" i="14"/>
  <c r="C45" i="18"/>
  <c r="C16" i="16"/>
  <c r="C18" i="16"/>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c r="L9" i="14"/>
  <c r="K11" i="48"/>
  <c r="K29" i="48"/>
  <c r="D11" i="48"/>
  <c r="D29" i="48"/>
  <c r="F19" i="19"/>
  <c r="G39" i="14"/>
  <c r="L19" i="19"/>
  <c r="M39" i="14"/>
  <c r="M12" i="13"/>
  <c r="N41" i="14"/>
  <c r="C78"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s="1"/>
  <c r="M20" i="15"/>
  <c r="N40" i="14"/>
  <c r="N10" i="14"/>
  <c r="N16" i="14"/>
  <c r="G20" i="15"/>
  <c r="H40" i="14"/>
  <c r="H46" i="14"/>
  <c r="H20" i="15"/>
  <c r="I40" i="14"/>
  <c r="I46" i="14"/>
  <c r="I10" i="14"/>
  <c r="I16" i="14"/>
  <c r="B74" i="14"/>
  <c r="B6" i="59"/>
  <c r="F8" i="16"/>
  <c r="B7" i="48"/>
  <c r="C24" i="14"/>
  <c r="C26" i="14"/>
  <c r="B73" i="14"/>
  <c r="B5" i="59"/>
  <c r="F6" i="15"/>
  <c r="F8" i="15"/>
  <c r="E14" i="16"/>
  <c r="D5" i="15"/>
  <c r="D16" i="15" s="1"/>
  <c r="D20" i="15" s="1"/>
  <c r="B8" i="15"/>
  <c r="J8" i="15"/>
  <c r="F12" i="15"/>
  <c r="I20" i="15"/>
  <c r="J40" i="14"/>
  <c r="B9" i="16"/>
  <c r="N9" i="16"/>
  <c r="E8" i="15"/>
  <c r="B10" i="15"/>
  <c r="B6" i="15"/>
  <c r="B5" i="15" s="1"/>
  <c r="N9" i="15"/>
  <c r="J10" i="15"/>
  <c r="D5" i="16"/>
  <c r="F10" i="16"/>
  <c r="J11" i="16"/>
  <c r="B15" i="16"/>
  <c r="J6" i="15"/>
  <c r="F10" i="15"/>
  <c r="B12" i="15"/>
  <c r="B7" i="16"/>
  <c r="B5" i="16" s="1"/>
  <c r="E10" i="16"/>
  <c r="N14" i="16"/>
  <c r="N11" i="16"/>
  <c r="N6" i="15"/>
  <c r="N10" i="15"/>
  <c r="B8" i="16"/>
  <c r="J8" i="16"/>
  <c r="B10" i="16"/>
  <c r="E11" i="16"/>
  <c r="B14" i="16"/>
  <c r="E15" i="16"/>
  <c r="E7" i="16"/>
  <c r="J7" i="16"/>
  <c r="F7" i="16"/>
  <c r="N7" i="16"/>
  <c r="N15" i="16"/>
  <c r="C34" i="16"/>
  <c r="Q13" i="14"/>
  <c r="Q16" i="14" s="1"/>
  <c r="Q27" i="14" s="1"/>
  <c r="B9" i="15"/>
  <c r="E11" i="48"/>
  <c r="E29" i="48"/>
  <c r="F9" i="14"/>
  <c r="D9" i="14"/>
  <c r="E19" i="19"/>
  <c r="F39" i="14"/>
  <c r="C11" i="48"/>
  <c r="D19" i="19"/>
  <c r="E39" i="14"/>
  <c r="C9" i="14"/>
  <c r="B11" i="48"/>
  <c r="E5" i="22"/>
  <c r="E14" i="22"/>
  <c r="D14" i="22"/>
  <c r="B5" i="22"/>
  <c r="B14" i="22" s="1"/>
  <c r="P11" i="48"/>
  <c r="P29" i="48"/>
  <c r="H5" i="48"/>
  <c r="O11" i="48"/>
  <c r="P9" i="14"/>
  <c r="M5" i="48"/>
  <c r="G29" i="48"/>
  <c r="E30" i="48"/>
  <c r="I31" i="48"/>
  <c r="I27" i="48"/>
  <c r="I30" i="48"/>
  <c r="K27" i="48"/>
  <c r="O30" i="48"/>
  <c r="K22" i="48"/>
  <c r="G22" i="48"/>
  <c r="M17" i="48"/>
  <c r="K30" i="48"/>
  <c r="I22" i="48"/>
  <c r="G30" i="48"/>
  <c r="H25" i="48"/>
  <c r="L17" i="48"/>
  <c r="L32" i="48"/>
  <c r="H22" i="48"/>
  <c r="K25" i="48"/>
  <c r="K26" i="48"/>
  <c r="Q11" i="14"/>
  <c r="Q41" i="14"/>
  <c r="P4" i="48"/>
  <c r="P22" i="48" s="1"/>
  <c r="D12" i="13"/>
  <c r="E41" i="14" s="1"/>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B10" i="48"/>
  <c r="C19" i="14"/>
  <c r="P25" i="48"/>
  <c r="C8" i="17"/>
  <c r="C7" i="48" s="1"/>
  <c r="G25" i="48"/>
  <c r="I25" i="48"/>
  <c r="D88" i="14"/>
  <c r="H88" i="14"/>
  <c r="F88" i="14"/>
  <c r="F18" i="59"/>
  <c r="G77" i="14"/>
  <c r="F20" i="18"/>
  <c r="D11" i="14"/>
  <c r="C4" i="48"/>
  <c r="N46" i="14"/>
  <c r="G51" i="22"/>
  <c r="G50" i="22" s="1"/>
  <c r="G54" i="22" s="1"/>
  <c r="M51" i="22"/>
  <c r="M50" i="22" s="1"/>
  <c r="M54" i="22" s="1"/>
  <c r="I5" i="48"/>
  <c r="K33" i="48"/>
  <c r="J27" i="14"/>
  <c r="M24" i="48"/>
  <c r="M32" i="48"/>
  <c r="K15" i="48"/>
  <c r="N78" i="14"/>
  <c r="N9" i="59"/>
  <c r="N10" i="59"/>
  <c r="G78" i="14"/>
  <c r="G9" i="59"/>
  <c r="H90" i="14"/>
  <c r="H18" i="59"/>
  <c r="H20" i="59"/>
  <c r="O78" i="14"/>
  <c r="O9" i="59"/>
  <c r="O10" i="59"/>
  <c r="C17" i="18"/>
  <c r="C20" i="18" s="1"/>
  <c r="J46" i="14"/>
  <c r="J61" i="14"/>
  <c r="L46" i="14"/>
  <c r="L61" i="14"/>
  <c r="L16" i="14"/>
  <c r="L27" i="14"/>
  <c r="D18" i="16"/>
  <c r="D22" i="16" s="1"/>
  <c r="E43" i="14" s="1"/>
  <c r="G31" i="20"/>
  <c r="H48" i="14"/>
  <c r="G12" i="22"/>
  <c r="O18" i="16"/>
  <c r="O22" i="16"/>
  <c r="P43" i="14" s="1"/>
  <c r="N5" i="13"/>
  <c r="N8" i="13" s="1"/>
  <c r="N12" i="13" s="1"/>
  <c r="O41" i="14" s="1"/>
  <c r="H13" i="48"/>
  <c r="H31" i="48"/>
  <c r="H12" i="22"/>
  <c r="N8" i="17"/>
  <c r="N12" i="17"/>
  <c r="O54" i="14"/>
  <c r="O56" i="14" s="1"/>
  <c r="L12" i="17"/>
  <c r="M54" i="14" s="1"/>
  <c r="M56" i="14" s="1"/>
  <c r="E24" i="14"/>
  <c r="E26" i="14"/>
  <c r="M29" i="48"/>
  <c r="C49" i="18"/>
  <c r="E49" i="18"/>
  <c r="E17" i="18" s="1"/>
  <c r="G49" i="18"/>
  <c r="D7" i="48"/>
  <c r="D25" i="48" s="1"/>
  <c r="D49" i="18"/>
  <c r="L28" i="48"/>
  <c r="H49" i="18"/>
  <c r="I49" i="18"/>
  <c r="H17" i="18"/>
  <c r="H20" i="18" s="1"/>
  <c r="F49" i="18"/>
  <c r="I17" i="18" s="1"/>
  <c r="I20" i="18" s="1"/>
  <c r="L31" i="48"/>
  <c r="L24" i="48"/>
  <c r="L22" i="48"/>
  <c r="M23" i="48"/>
  <c r="M22" i="48"/>
  <c r="I18" i="14"/>
  <c r="D9" i="48"/>
  <c r="D27" i="48" s="1"/>
  <c r="F20" i="14"/>
  <c r="F22" i="14" s="1"/>
  <c r="L30" i="48"/>
  <c r="B20" i="18"/>
  <c r="D24" i="14"/>
  <c r="D26" i="14"/>
  <c r="L29" i="48"/>
  <c r="M31" i="20"/>
  <c r="N48" i="14"/>
  <c r="N18" i="14"/>
  <c r="M13" i="48"/>
  <c r="M31" i="48"/>
  <c r="H31" i="20"/>
  <c r="I48" i="14"/>
  <c r="G13" i="48"/>
  <c r="G31" i="48"/>
  <c r="H18" i="14"/>
  <c r="M5" i="22"/>
  <c r="M14" i="22" s="1"/>
  <c r="H5" i="22"/>
  <c r="H14" i="22" s="1"/>
  <c r="I20" i="14" s="1"/>
  <c r="I22" i="14" s="1"/>
  <c r="I27" i="14" s="1"/>
  <c r="O20" i="15"/>
  <c r="P40" i="14" s="1"/>
  <c r="P46" i="14" s="1"/>
  <c r="P10" i="14"/>
  <c r="P20" i="15"/>
  <c r="Q40" i="14" s="1"/>
  <c r="Q10" i="14"/>
  <c r="J5" i="15"/>
  <c r="B16" i="15"/>
  <c r="C10" i="14" s="1"/>
  <c r="B18" i="16"/>
  <c r="C13" i="14"/>
  <c r="P5" i="48"/>
  <c r="P23" i="48" s="1"/>
  <c r="F13" i="16"/>
  <c r="E13" i="16"/>
  <c r="N13" i="16"/>
  <c r="J13" i="16"/>
  <c r="N12" i="16"/>
  <c r="J12" i="16"/>
  <c r="F12" i="16"/>
  <c r="E12" i="16"/>
  <c r="Q11" i="48"/>
  <c r="O5" i="48"/>
  <c r="R9" i="14"/>
  <c r="O29" i="48"/>
  <c r="H23" i="48"/>
  <c r="L27" i="48"/>
  <c r="M30" i="48"/>
  <c r="M26" i="48"/>
  <c r="M25" i="48"/>
  <c r="C5" i="48"/>
  <c r="G14" i="22"/>
  <c r="I23" i="48"/>
  <c r="I33" i="48"/>
  <c r="I15" i="48"/>
  <c r="E13" i="14"/>
  <c r="O8" i="48"/>
  <c r="O26" i="48" s="1"/>
  <c r="P13" i="14"/>
  <c r="D87" i="14"/>
  <c r="P61" i="14"/>
  <c r="N7" i="48"/>
  <c r="N25" i="48" s="1"/>
  <c r="J16" i="15"/>
  <c r="J20" i="15" s="1"/>
  <c r="K40" i="14" s="1"/>
  <c r="D8" i="48"/>
  <c r="D26" i="48"/>
  <c r="O24" i="14"/>
  <c r="O26" i="14" s="1"/>
  <c r="M24" i="14"/>
  <c r="M26" i="14" s="1"/>
  <c r="D18" i="22"/>
  <c r="E50" i="14" s="1"/>
  <c r="E52" i="14" s="1"/>
  <c r="E61" i="14" s="1"/>
  <c r="J17" i="18"/>
  <c r="J87" i="14" s="1"/>
  <c r="J90" i="14" s="1"/>
  <c r="I87" i="14"/>
  <c r="M87" i="14"/>
  <c r="M17" i="59"/>
  <c r="E20" i="14"/>
  <c r="E22" i="14" s="1"/>
  <c r="E18" i="22"/>
  <c r="F50" i="14" s="1"/>
  <c r="F52" i="14" s="1"/>
  <c r="E9" i="48"/>
  <c r="E27" i="48" s="1"/>
  <c r="E10" i="14"/>
  <c r="D5" i="48"/>
  <c r="R18" i="14"/>
  <c r="Q13" i="48"/>
  <c r="B8" i="48"/>
  <c r="J63" i="14"/>
  <c r="L63" i="14"/>
  <c r="L5" i="48"/>
  <c r="M10" i="14"/>
  <c r="B5" i="48"/>
  <c r="L20" i="15"/>
  <c r="J5" i="48"/>
  <c r="J23" i="48" s="1"/>
  <c r="L23" i="48"/>
  <c r="E40" i="14"/>
  <c r="E46" i="14" s="1"/>
  <c r="H9" i="48"/>
  <c r="M40" i="14"/>
  <c r="H15" i="48"/>
  <c r="H27" i="48"/>
  <c r="H33" i="48" s="1"/>
  <c r="E56" i="14"/>
  <c r="L25" i="48" l="1"/>
  <c r="M9" i="48"/>
  <c r="N20" i="14"/>
  <c r="P16" i="14"/>
  <c r="P27" i="14" s="1"/>
  <c r="M13" i="14"/>
  <c r="L8" i="48"/>
  <c r="L26" i="48" s="1"/>
  <c r="L33" i="48" s="1"/>
  <c r="M18" i="22"/>
  <c r="N50" i="14" s="1"/>
  <c r="D90" i="14"/>
  <c r="D17" i="59"/>
  <c r="O15" i="48"/>
  <c r="O23" i="48"/>
  <c r="O33" i="48" s="1"/>
  <c r="E20" i="18"/>
  <c r="F87" i="14"/>
  <c r="I48" i="18"/>
  <c r="H8" i="18" s="1"/>
  <c r="D48" i="18"/>
  <c r="G48" i="18"/>
  <c r="I8" i="18" s="1"/>
  <c r="F48" i="18"/>
  <c r="E48" i="18"/>
  <c r="E8" i="18" s="1"/>
  <c r="H48" i="18"/>
  <c r="C48" i="18"/>
  <c r="B48" i="18"/>
  <c r="C8" i="18" s="1"/>
  <c r="P63" i="14"/>
  <c r="D18" i="59"/>
  <c r="D10" i="18"/>
  <c r="E77" i="14"/>
  <c r="O9" i="18"/>
  <c r="O88" i="14"/>
  <c r="L20" i="18"/>
  <c r="M19" i="59"/>
  <c r="M20" i="59" s="1"/>
  <c r="B89" i="14"/>
  <c r="B19" i="59" s="1"/>
  <c r="L18" i="59"/>
  <c r="L90" i="14"/>
  <c r="J17" i="59"/>
  <c r="J20" i="59" s="1"/>
  <c r="H18" i="22"/>
  <c r="I50" i="14" s="1"/>
  <c r="I52" i="14" s="1"/>
  <c r="I61" i="14" s="1"/>
  <c r="I63" i="14" s="1"/>
  <c r="J20" i="18"/>
  <c r="M16" i="14"/>
  <c r="M27" i="14" s="1"/>
  <c r="I17" i="59"/>
  <c r="I20" i="59" s="1"/>
  <c r="I90" i="14"/>
  <c r="M10" i="48"/>
  <c r="M28" i="48" s="1"/>
  <c r="N19" i="14"/>
  <c r="N22" i="14" s="1"/>
  <c r="N27" i="14" s="1"/>
  <c r="M58" i="22"/>
  <c r="N49" i="14" s="1"/>
  <c r="D15" i="48"/>
  <c r="D23" i="48"/>
  <c r="D33" i="48" s="1"/>
  <c r="G9" i="48"/>
  <c r="H20" i="14"/>
  <c r="G18" i="22"/>
  <c r="H50" i="14" s="1"/>
  <c r="N4" i="48"/>
  <c r="O11" i="14"/>
  <c r="L22" i="16"/>
  <c r="M43" i="14" s="1"/>
  <c r="M46" i="14" s="1"/>
  <c r="M61" i="14" s="1"/>
  <c r="M63" i="14" s="1"/>
  <c r="H19" i="14"/>
  <c r="G10" i="48"/>
  <c r="G58" i="22"/>
  <c r="H49" i="14" s="1"/>
  <c r="P33" i="48"/>
  <c r="C20" i="14"/>
  <c r="B9" i="48"/>
  <c r="E5" i="16"/>
  <c r="E18" i="16" s="1"/>
  <c r="C8" i="48"/>
  <c r="D13" i="14"/>
  <c r="O17" i="18"/>
  <c r="E16" i="14"/>
  <c r="E27" i="14" s="1"/>
  <c r="E63" i="14" s="1"/>
  <c r="K10" i="14"/>
  <c r="R19" i="14"/>
  <c r="F9" i="16"/>
  <c r="J9" i="16"/>
  <c r="E9" i="16"/>
  <c r="B10" i="18"/>
  <c r="B4" i="48"/>
  <c r="C11" i="14"/>
  <c r="G10" i="59"/>
  <c r="J14" i="16"/>
  <c r="F14" i="16"/>
  <c r="F5" i="16" s="1"/>
  <c r="F18" i="16" s="1"/>
  <c r="E88" i="14"/>
  <c r="D20" i="18"/>
  <c r="O19" i="18"/>
  <c r="F89" i="14"/>
  <c r="O18" i="18"/>
  <c r="K20" i="59"/>
  <c r="E9" i="15"/>
  <c r="E5" i="15" s="1"/>
  <c r="E16" i="15" s="1"/>
  <c r="F9" i="15"/>
  <c r="F5" i="15" s="1"/>
  <c r="F16" i="15" s="1"/>
  <c r="D19" i="59"/>
  <c r="C89" i="14"/>
  <c r="C19" i="59" s="1"/>
  <c r="B33" i="13"/>
  <c r="N12" i="15"/>
  <c r="N5" i="15" s="1"/>
  <c r="N16" i="15" s="1"/>
  <c r="J10" i="16"/>
  <c r="N10" i="16"/>
  <c r="N5" i="16" s="1"/>
  <c r="N18" i="16" s="1"/>
  <c r="N18" i="59"/>
  <c r="N90" i="14"/>
  <c r="L20" i="59"/>
  <c r="P22" i="16"/>
  <c r="Q43" i="14" s="1"/>
  <c r="Q46" i="14" s="1"/>
  <c r="Q61" i="14" s="1"/>
  <c r="Q63" i="14" s="1"/>
  <c r="P8" i="48"/>
  <c r="P26" i="48" s="1"/>
  <c r="N20" i="59"/>
  <c r="B36" i="13"/>
  <c r="F5" i="13" s="1"/>
  <c r="F8" i="13" s="1"/>
  <c r="B32" i="13"/>
  <c r="E5" i="13" s="1"/>
  <c r="E8" i="13" s="1"/>
  <c r="B35" i="13"/>
  <c r="B31" i="13"/>
  <c r="F15" i="16"/>
  <c r="J15" i="16"/>
  <c r="G10" i="18"/>
  <c r="H77" i="14"/>
  <c r="C88" i="14"/>
  <c r="C18" i="59" s="1"/>
  <c r="G18" i="59"/>
  <c r="G20" i="59" s="1"/>
  <c r="G90" i="14"/>
  <c r="J5" i="17"/>
  <c r="J8" i="17" s="1"/>
  <c r="F5" i="17"/>
  <c r="F8" i="17" s="1"/>
  <c r="E5" i="17"/>
  <c r="E8" i="17" s="1"/>
  <c r="K18" i="59"/>
  <c r="K90" i="14"/>
  <c r="K78" i="14"/>
  <c r="N5" i="48" l="1"/>
  <c r="N23" i="48" s="1"/>
  <c r="N20" i="15"/>
  <c r="O40" i="14" s="1"/>
  <c r="O10" i="14"/>
  <c r="G10" i="14"/>
  <c r="F5" i="48"/>
  <c r="F23" i="48" s="1"/>
  <c r="F20" i="15"/>
  <c r="G40" i="14" s="1"/>
  <c r="G13" i="14"/>
  <c r="F22" i="16"/>
  <c r="G43" i="14" s="1"/>
  <c r="F8" i="48"/>
  <c r="F26" i="48" s="1"/>
  <c r="N22" i="16"/>
  <c r="O43" i="14" s="1"/>
  <c r="N8" i="48"/>
  <c r="N26" i="48" s="1"/>
  <c r="O13" i="14"/>
  <c r="F24" i="14"/>
  <c r="E12" i="17"/>
  <c r="F54" i="14" s="1"/>
  <c r="F56" i="14" s="1"/>
  <c r="E7" i="48"/>
  <c r="E12" i="13"/>
  <c r="F41" i="14" s="1"/>
  <c r="F11" i="14"/>
  <c r="E4" i="48"/>
  <c r="R22" i="14"/>
  <c r="D16" i="14"/>
  <c r="D27" i="14" s="1"/>
  <c r="B20" i="6" s="1"/>
  <c r="E10" i="18"/>
  <c r="F76" i="14"/>
  <c r="M76" i="14"/>
  <c r="H10" i="18"/>
  <c r="M27" i="48"/>
  <c r="M33" i="48" s="1"/>
  <c r="M15" i="48"/>
  <c r="L15" i="48"/>
  <c r="G24" i="14"/>
  <c r="G26" i="14" s="1"/>
  <c r="F12" i="17"/>
  <c r="G54" i="14" s="1"/>
  <c r="G56" i="14" s="1"/>
  <c r="F7" i="48"/>
  <c r="F25" i="48" s="1"/>
  <c r="G11" i="14"/>
  <c r="F4" i="48"/>
  <c r="F12" i="13"/>
  <c r="G41" i="14" s="1"/>
  <c r="E18" i="59"/>
  <c r="E20" i="59" s="1"/>
  <c r="E90" i="14"/>
  <c r="P15" i="48"/>
  <c r="C15" i="48"/>
  <c r="H52" i="14"/>
  <c r="H61" i="14" s="1"/>
  <c r="G27" i="48"/>
  <c r="G15" i="48"/>
  <c r="N52" i="14"/>
  <c r="N61" i="14" s="1"/>
  <c r="N63" i="14" s="1"/>
  <c r="E78" i="14"/>
  <c r="Q77" i="14"/>
  <c r="P9" i="59" s="1"/>
  <c r="E9" i="59"/>
  <c r="E10" i="59" s="1"/>
  <c r="D76" i="14"/>
  <c r="C10" i="18"/>
  <c r="F17" i="59"/>
  <c r="F20" i="59" s="1"/>
  <c r="F90" i="14"/>
  <c r="B87" i="14"/>
  <c r="C87" i="14"/>
  <c r="Q87" i="14"/>
  <c r="J12" i="17"/>
  <c r="K54" i="14" s="1"/>
  <c r="K56" i="14" s="1"/>
  <c r="K24" i="14"/>
  <c r="K26" i="14" s="1"/>
  <c r="J7" i="48"/>
  <c r="J25" i="48" s="1"/>
  <c r="H78" i="14"/>
  <c r="H9" i="59"/>
  <c r="H10" i="59" s="1"/>
  <c r="F19" i="59"/>
  <c r="Q89" i="14"/>
  <c r="P19" i="59" s="1"/>
  <c r="J5" i="16"/>
  <c r="J18" i="16" s="1"/>
  <c r="E22" i="16"/>
  <c r="F43" i="14" s="1"/>
  <c r="E8" i="48"/>
  <c r="E26" i="48" s="1"/>
  <c r="F13" i="14"/>
  <c r="Q9" i="48"/>
  <c r="Q10" i="48"/>
  <c r="G28" i="48"/>
  <c r="N22" i="48"/>
  <c r="C77" i="14"/>
  <c r="C9" i="59" s="1"/>
  <c r="I10" i="18"/>
  <c r="I76" i="14"/>
  <c r="D20" i="59"/>
  <c r="C35" i="13"/>
  <c r="J5" i="13"/>
  <c r="J8" i="13" s="1"/>
  <c r="F10" i="14"/>
  <c r="E5" i="48"/>
  <c r="E20" i="15"/>
  <c r="F40" i="14" s="1"/>
  <c r="B15" i="48"/>
  <c r="O20" i="18"/>
  <c r="C22" i="14"/>
  <c r="C27" i="14" s="1"/>
  <c r="B3" i="6" s="1"/>
  <c r="R20" i="14"/>
  <c r="H22" i="14"/>
  <c r="H27" i="14" s="1"/>
  <c r="B88" i="14"/>
  <c r="B18" i="59" s="1"/>
  <c r="B77" i="14"/>
  <c r="B9" i="59" s="1"/>
  <c r="O18" i="59"/>
  <c r="O20" i="59" s="1"/>
  <c r="O90" i="14"/>
  <c r="Q88" i="14"/>
  <c r="P18" i="59" s="1"/>
  <c r="J8" i="18"/>
  <c r="C16" i="14"/>
  <c r="J76" i="14" l="1"/>
  <c r="J10" i="18"/>
  <c r="J4" i="48"/>
  <c r="K11" i="14"/>
  <c r="J12" i="13"/>
  <c r="K41" i="14" s="1"/>
  <c r="Q90" i="14"/>
  <c r="B17" i="6" s="1"/>
  <c r="P17" i="59"/>
  <c r="P20" i="59" s="1"/>
  <c r="M8" i="59"/>
  <c r="M10" i="59" s="1"/>
  <c r="M78" i="14"/>
  <c r="B22" i="6"/>
  <c r="G16" i="14"/>
  <c r="G27" i="14" s="1"/>
  <c r="F46" i="14"/>
  <c r="F61" i="14" s="1"/>
  <c r="C90" i="14"/>
  <c r="C17" i="59"/>
  <c r="C20" i="59" s="1"/>
  <c r="G33" i="48"/>
  <c r="F78" i="14"/>
  <c r="F8" i="59"/>
  <c r="F10" i="59" s="1"/>
  <c r="E25" i="48"/>
  <c r="Q7" i="48"/>
  <c r="E23" i="48"/>
  <c r="Q5" i="48"/>
  <c r="N15" i="48"/>
  <c r="B17" i="59"/>
  <c r="B20" i="59" s="1"/>
  <c r="B90" i="14"/>
  <c r="O8" i="18"/>
  <c r="O10" i="18" s="1"/>
  <c r="H63" i="14"/>
  <c r="E22" i="48"/>
  <c r="E15" i="48"/>
  <c r="G46" i="14"/>
  <c r="G61" i="14" s="1"/>
  <c r="O46" i="14"/>
  <c r="O61" i="14" s="1"/>
  <c r="O63" i="14" s="1"/>
  <c r="O16" i="14"/>
  <c r="O27" i="14" s="1"/>
  <c r="R10" i="14"/>
  <c r="F16" i="14"/>
  <c r="F27" i="14" s="1"/>
  <c r="B76" i="14"/>
  <c r="I8" i="59"/>
  <c r="I10" i="59" s="1"/>
  <c r="I78" i="14"/>
  <c r="N33" i="48"/>
  <c r="K13" i="14"/>
  <c r="R13" i="14" s="1"/>
  <c r="J8" i="48"/>
  <c r="J22" i="16"/>
  <c r="K43" i="14" s="1"/>
  <c r="D78" i="14"/>
  <c r="C76" i="14"/>
  <c r="D8" i="59"/>
  <c r="D10" i="59" s="1"/>
  <c r="Q76" i="14"/>
  <c r="F22" i="48"/>
  <c r="F33" i="48" s="1"/>
  <c r="F15" i="48"/>
  <c r="F26" i="14"/>
  <c r="R24" i="14"/>
  <c r="R26" i="14" s="1"/>
  <c r="B78" i="14" l="1"/>
  <c r="B8" i="59"/>
  <c r="B10" i="59" s="1"/>
  <c r="G63" i="14"/>
  <c r="C22" i="59"/>
  <c r="C29" i="20"/>
  <c r="C16" i="22"/>
  <c r="C10" i="17"/>
  <c r="C12" i="17" s="1"/>
  <c r="D54" i="14" s="1"/>
  <c r="D56" i="14" s="1"/>
  <c r="C17" i="49"/>
  <c r="C18" i="15"/>
  <c r="C20" i="15" s="1"/>
  <c r="D40" i="14" s="1"/>
  <c r="C17" i="19"/>
  <c r="C19" i="19" s="1"/>
  <c r="D39" i="14" s="1"/>
  <c r="C10" i="13"/>
  <c r="C20" i="16"/>
  <c r="C22" i="16" s="1"/>
  <c r="D43" i="14" s="1"/>
  <c r="C56" i="22"/>
  <c r="C58" i="22" s="1"/>
  <c r="D49" i="14" s="1"/>
  <c r="D52" i="14" s="1"/>
  <c r="C8" i="59"/>
  <c r="C10" i="59" s="1"/>
  <c r="C78" i="14"/>
  <c r="J22" i="48"/>
  <c r="J33" i="48" s="1"/>
  <c r="J15" i="48"/>
  <c r="Q4" i="48"/>
  <c r="K46" i="14"/>
  <c r="K61" i="14" s="1"/>
  <c r="K63" i="14" s="1"/>
  <c r="J78" i="14"/>
  <c r="J8" i="59"/>
  <c r="J10" i="59" s="1"/>
  <c r="P8" i="59"/>
  <c r="P10" i="59" s="1"/>
  <c r="Q78" i="14"/>
  <c r="B9" i="6" s="1"/>
  <c r="J26" i="48"/>
  <c r="Q8" i="48"/>
  <c r="E33" i="48"/>
  <c r="F63" i="14"/>
  <c r="K16" i="14"/>
  <c r="K27" i="14" s="1"/>
  <c r="R11" i="14"/>
  <c r="R16" i="14" s="1"/>
  <c r="R27" i="14" s="1"/>
  <c r="C17" i="48" l="1"/>
  <c r="C12" i="13"/>
  <c r="D41" i="14" s="1"/>
  <c r="D46" i="14" s="1"/>
  <c r="D61" i="14" s="1"/>
  <c r="D63" i="14" s="1"/>
  <c r="Q15" i="48"/>
  <c r="B4" i="6"/>
  <c r="B12" i="6" s="1"/>
  <c r="B10" i="17" l="1"/>
  <c r="B12" i="17" s="1"/>
  <c r="C54" i="14" s="1"/>
  <c r="B17" i="19"/>
  <c r="B19" i="19" s="1"/>
  <c r="C39" i="14" s="1"/>
  <c r="B17" i="49"/>
  <c r="B19" i="49" s="1"/>
  <c r="C42" i="14" s="1"/>
  <c r="R42" i="14" s="1"/>
  <c r="B16" i="22"/>
  <c r="B18" i="22" s="1"/>
  <c r="C50" i="14" s="1"/>
  <c r="R50" i="14" s="1"/>
  <c r="B29" i="20"/>
  <c r="B31" i="20" s="1"/>
  <c r="C48" i="14" s="1"/>
  <c r="B10" i="9"/>
  <c r="B12" i="9" s="1"/>
  <c r="B18" i="15"/>
  <c r="B20" i="15" s="1"/>
  <c r="B56" i="22"/>
  <c r="B58" i="22" s="1"/>
  <c r="C49" i="14" s="1"/>
  <c r="R49" i="14" s="1"/>
  <c r="B20" i="16"/>
  <c r="B22" i="16" s="1"/>
  <c r="C43" i="14" s="1"/>
  <c r="R43" i="14" s="1"/>
  <c r="B10" i="13"/>
  <c r="C55" i="14"/>
  <c r="R55" i="14" s="1"/>
  <c r="C12" i="59"/>
  <c r="C27" i="48"/>
  <c r="C31" i="48"/>
  <c r="C30" i="48"/>
  <c r="C29" i="48"/>
  <c r="C25" i="48"/>
  <c r="C24" i="48"/>
  <c r="C28" i="48"/>
  <c r="C32" i="48"/>
  <c r="C22" i="48"/>
  <c r="C23" i="48"/>
  <c r="C26" i="48"/>
  <c r="C40" i="14" l="1"/>
  <c r="R40" i="14" s="1"/>
  <c r="B17" i="48"/>
  <c r="B12" i="13"/>
  <c r="C41" i="14" s="1"/>
  <c r="R41" i="14" s="1"/>
  <c r="C46" i="14"/>
  <c r="R39" i="14"/>
  <c r="C33" i="48"/>
  <c r="R48" i="14"/>
  <c r="R52" i="14" s="1"/>
  <c r="C52" i="14"/>
  <c r="R54" i="14"/>
  <c r="R56" i="14" s="1"/>
  <c r="C56" i="14"/>
  <c r="C61" i="14" l="1"/>
  <c r="C63" i="14" s="1"/>
  <c r="B29" i="48"/>
  <c r="Q29" i="48" s="1"/>
  <c r="B28" i="48"/>
  <c r="Q28" i="48" s="1"/>
  <c r="B32" i="48"/>
  <c r="Q32" i="48" s="1"/>
  <c r="B24" i="48"/>
  <c r="Q24" i="48" s="1"/>
  <c r="B25" i="48"/>
  <c r="Q25" i="48" s="1"/>
  <c r="B31" i="48"/>
  <c r="Q31" i="48" s="1"/>
  <c r="B30" i="48"/>
  <c r="Q30" i="48" s="1"/>
  <c r="B26" i="48"/>
  <c r="Q26" i="48" s="1"/>
  <c r="B23" i="48"/>
  <c r="Q23" i="48" s="1"/>
  <c r="B27" i="48"/>
  <c r="Q27" i="48" s="1"/>
  <c r="B22" i="48"/>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<sst xmlns="http://schemas.openxmlformats.org/spreadsheetml/2006/main" count="2370" uniqueCount="859">
  <si>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</si>
  <si>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</si>
  <si>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</si>
  <si>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</si>
  <si>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</si>
  <si>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</si>
  <si>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</si>
  <si>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</si>
  <si>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</si>
  <si>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</si>
  <si>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</si>
  <si>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</si>
  <si>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</si>
  <si>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</si>
  <si>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</si>
  <si>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</si>
  <si>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</si>
  <si>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</si>
  <si>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</si>
  <si>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</si>
  <si>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</si>
  <si>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</si>
  <si>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</si>
  <si>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</si>
  <si>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</si>
  <si>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</si>
  <si>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</si>
  <si>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</si>
  <si>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</si>
  <si>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</si>
  <si>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</si>
  <si>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</si>
  <si>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</si>
  <si>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</si>
  <si>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</si>
  <si>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</si>
  <si>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</si>
  <si>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</si>
  <si>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</si>
  <si>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</si>
  <si>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</si>
  <si>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</si>
  <si>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</si>
  <si>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</si>
  <si>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</si>
  <si>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</si>
  <si>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</si>
  <si>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</si>
  <si>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</si>
  <si>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</si>
  <si>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</si>
  <si>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</si>
  <si>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</si>
  <si>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</si>
  <si>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</si>
  <si>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</si>
  <si>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</si>
  <si>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</si>
  <si>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</si>
  <si>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</si>
  <si>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</si>
  <si>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</si>
  <si>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</si>
  <si>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</si>
  <si>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</si>
  <si>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</si>
  <si>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</si>
  <si>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</si>
  <si>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</si>
  <si>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</si>
  <si>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</si>
  <si>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</si>
  <si>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</si>
  <si>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</si>
  <si>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</si>
  <si>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</si>
  <si>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</si>
  <si>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</si>
  <si>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</si>
  <si>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</si>
  <si>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</si>
  <si>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</si>
  <si>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</si>
  <si>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</si>
  <si>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</si>
  <si>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</si>
  <si>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</si>
  <si>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</si>
  <si>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</si>
  <si>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</si>
  <si>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</si>
  <si>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</si>
  <si>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</si>
  <si>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</si>
  <si>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</si>
  <si>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</si>
  <si>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</si>
  <si>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</si>
  <si>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</si>
  <si>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</si>
  <si>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</si>
  <si>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</si>
  <si>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</si>
  <si>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</si>
  <si>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</si>
  <si>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</si>
  <si>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</si>
  <si>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</si>
  <si>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</si>
  <si>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</si>
  <si>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</si>
  <si>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</si>
  <si>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</si>
  <si>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</si>
  <si>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</si>
  <si>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</si>
  <si>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</si>
  <si>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</si>
  <si>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</si>
  <si>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</si>
  <si>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</si>
  <si>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</si>
  <si>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</si>
  <si>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</si>
  <si>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</si>
  <si>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</si>
  <si>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</si>
  <si>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</si>
  <si>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</si>
  <si>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</si>
  <si>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</si>
  <si>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</si>
  <si>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</si>
  <si>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</si>
  <si>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</si>
  <si>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</si>
  <si>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</si>
  <si>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</si>
  <si>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</si>
  <si>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</si>
  <si>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</si>
  <si>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</si>
  <si>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</si>
  <si>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</si>
  <si>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</si>
  <si>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</si>
  <si>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</si>
  <si>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</si>
  <si>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</si>
  <si>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</si>
  <si>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</si>
  <si>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</si>
  <si>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</si>
  <si>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</si>
  <si>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</si>
  <si>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</si>
  <si>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</si>
  <si>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</si>
  <si>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</si>
  <si>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</si>
  <si>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</si>
  <si>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</si>
  <si>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</si>
  <si>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</si>
  <si>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</si>
  <si>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</si>
  <si>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</si>
  <si>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</si>
  <si>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</si>
  <si>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</si>
  <si>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</si>
  <si>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</si>
  <si>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</si>
  <si>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</si>
  <si>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</si>
  <si>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</si>
  <si>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</si>
  <si>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</si>
  <si>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</si>
  <si>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</si>
  <si>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</si>
  <si>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</si>
  <si>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</si>
  <si>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</si>
  <si>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</si>
  <si>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</si>
  <si>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</si>
  <si>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</si>
  <si>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</si>
  <si>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</si>
  <si>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</si>
  <si>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</si>
  <si>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</si>
  <si>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</si>
  <si>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</si>
  <si>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</si>
  <si>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</si>
  <si>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</si>
  <si>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</si>
  <si>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</si>
  <si>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</si>
  <si>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</si>
  <si>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</si>
  <si>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</si>
  <si>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</si>
  <si>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</si>
  <si>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</si>
  <si>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</si>
  <si>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</si>
  <si>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</si>
  <si>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</si>
  <si>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</si>
  <si>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</si>
  <si>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</si>
  <si>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</si>
  <si>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</si>
  <si>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</si>
  <si>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</si>
  <si>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</si>
  <si>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</si>
  <si>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</si>
  <si>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</si>
  <si>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</si>
  <si>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</si>
  <si>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</si>
  <si>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</si>
  <si>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</si>
  <si>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</si>
  <si>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</si>
  <si>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</si>
  <si>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</si>
  <si>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</si>
  <si>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</si>
  <si>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</si>
  <si>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</si>
  <si>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</si>
  <si>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</si>
  <si>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</si>
  <si>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</si>
  <si>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</si>
  <si>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</si>
  <si>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</si>
  <si>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</si>
  <si>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</si>
  <si>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</si>
  <si>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</si>
  <si>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</si>
  <si>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</si>
  <si>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</si>
  <si>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</si>
  <si>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</si>
  <si>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</si>
  <si>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</si>
  <si>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</si>
  <si>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</si>
  <si>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</si>
  <si>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</si>
  <si>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</si>
  <si>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</si>
  <si>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</si>
  <si>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</si>
  <si>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</si>
  <si>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</si>
  <si>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</si>
  <si>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</si>
  <si>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</si>
  <si>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</si>
  <si>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</si>
  <si>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</si>
  <si>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</si>
  <si>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</si>
  <si>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</si>
  <si>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</si>
  <si>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</si>
  <si>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</si>
  <si>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</si>
  <si>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</si>
  <si>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</si>
  <si>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</si>
  <si>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</si>
  <si>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</si>
  <si>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</si>
  <si>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</si>
  <si>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</si>
  <si>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</si>
  <si>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</si>
  <si>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</si>
  <si>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</si>
  <si>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</si>
  <si>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</si>
  <si>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</si>
  <si>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</si>
  <si>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</si>
  <si>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</si>
  <si>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</si>
  <si>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</si>
  <si>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</si>
  <si>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</si>
  <si>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</si>
  <si>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</si>
  <si>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</si>
  <si>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</si>
  <si>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</si>
  <si>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</si>
  <si>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</si>
  <si>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</si>
  <si>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</si>
  <si>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</si>
  <si>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</si>
  <si>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</si>
  <si>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</si>
  <si>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</si>
  <si>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</si>
  <si>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</si>
  <si>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</si>
  <si>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</si>
  <si>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</si>
  <si>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</si>
  <si>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</si>
  <si>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</si>
  <si>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</si>
  <si>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</si>
  <si>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</si>
  <si>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</si>
  <si>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</si>
  <si>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</si>
  <si>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</si>
  <si>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</si>
  <si>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</si>
  <si>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</si>
  <si>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</si>
  <si>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</si>
  <si>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</si>
  <si>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</si>
  <si>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</si>
  <si>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</si>
  <si>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</si>
  <si>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</si>
  <si>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</si>
  <si>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</si>
  <si>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</si>
  <si>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</si>
  <si>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</si>
  <si>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</si>
  <si>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</si>
  <si>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</si>
  <si>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</si>
  <si>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</si>
  <si>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</si>
  <si>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</si>
  <si>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</si>
  <si>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</si>
  <si>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</si>
  <si>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</si>
  <si>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</si>
  <si>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</si>
  <si>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</si>
  <si>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</si>
  <si>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</si>
  <si>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</si>
  <si>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</si>
  <si>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</si>
  <si>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</si>
  <si>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</si>
  <si>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</si>
  <si>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</si>
  <si>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</si>
  <si>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</si>
  <si>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</si>
  <si>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</si>
  <si>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</si>
  <si>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</si>
  <si>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</si>
  <si>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</si>
  <si>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</si>
  <si>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</si>
  <si>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</si>
  <si>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</si>
  <si>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</si>
  <si>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</si>
  <si>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</si>
  <si>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</si>
  <si>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</si>
  <si>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</si>
  <si>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</si>
  <si>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</si>
  <si>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</si>
  <si>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</si>
  <si>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</si>
  <si>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</si>
  <si>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</si>
  <si>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</si>
  <si>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</si>
  <si>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</si>
  <si>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</si>
  <si>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</si>
  <si>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</si>
  <si>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</si>
  <si>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</si>
  <si>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</si>
  <si>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</si>
  <si>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</si>
  <si>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</si>
  <si>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</si>
  <si>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</si>
  <si>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</si>
  <si>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</si>
  <si>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</si>
  <si>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</si>
  <si>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</si>
  <si>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</si>
  <si>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</si>
  <si>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</si>
  <si>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</si>
  <si>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</si>
  <si>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</si>
  <si>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</si>
  <si>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</si>
  <si>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</si>
  <si>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</si>
  <si>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</si>
  <si>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</si>
  <si>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</si>
  <si>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</si>
  <si>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</si>
  <si>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</si>
  <si>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</si>
  <si>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</si>
  <si>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</si>
  <si>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</si>
  <si>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</si>
  <si>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</si>
  <si>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</si>
  <si>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</si>
  <si>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</si>
  <si>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</si>
  <si>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</si>
  <si>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</si>
  <si>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</si>
  <si>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</si>
  <si>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</si>
  <si>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</si>
  <si>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</si>
  <si>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</si>
  <si>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</si>
  <si>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</si>
  <si>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</si>
  <si>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</si>
  <si>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</si>
  <si>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</si>
  <si>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</si>
  <si>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</si>
  <si>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</si>
  <si>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</si>
  <si>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</si>
  <si>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</si>
  <si>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</si>
  <si>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</si>
  <si>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</si>
  <si>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</si>
  <si>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</si>
  <si>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</si>
  <si>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</si>
  <si>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</si>
  <si>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</si>
  <si>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</si>
  <si>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</si>
  <si>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</si>
  <si>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</si>
  <si>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</si>
  <si>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</si>
  <si>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</si>
  <si>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</si>
  <si>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</si>
  <si>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</si>
  <si>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</si>
  <si>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</si>
  <si>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</si>
  <si>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</si>
  <si>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</si>
  <si>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</si>
  <si>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</si>
  <si>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</si>
  <si>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</si>
  <si>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</si>
  <si>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</si>
  <si>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</si>
  <si>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</si>
  <si>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</si>
  <si>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</si>
  <si>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</si>
  <si>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</si>
  <si>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</si>
  <si>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</si>
  <si>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</si>
  <si>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</si>
  <si>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</si>
  <si>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</si>
  <si>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</si>
  <si>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</si>
  <si>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</si>
  <si>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</si>
  <si>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</si>
  <si>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</si>
  <si>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</si>
  <si>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</si>
  <si>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</si>
  <si>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</si>
  <si>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</si>
  <si>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</si>
  <si>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</si>
  <si>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</si>
  <si>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</si>
  <si>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</si>
  <si>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</si>
  <si>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</si>
  <si>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</si>
  <si>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</si>
  <si>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</si>
  <si>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</si>
  <si>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</si>
  <si>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</si>
  <si>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</si>
  <si>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</si>
  <si>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</si>
  <si>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</si>
  <si>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</si>
  <si>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</si>
  <si>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</si>
  <si>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</si>
  <si>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</si>
  <si>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</si>
  <si>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</si>
  <si>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</si>
  <si>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</si>
  <si>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</si>
  <si>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</si>
  <si>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</si>
  <si>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</si>
  <si>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</si>
  <si>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</si>
  <si>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</si>
  <si>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</si>
  <si>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</si>
  <si>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</si>
  <si>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</si>
  <si>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</si>
  <si>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</si>
  <si>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</si>
  <si>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</si>
  <si>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</si>
  <si>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</si>
  <si>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</si>
  <si>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</si>
  <si>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</si>
  <si>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</si>
  <si>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</si>
  <si>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</si>
  <si>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</si>
  <si>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</si>
  <si>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</si>
  <si>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</si>
  <si>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</si>
  <si>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</si>
  <si>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</si>
  <si>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</si>
  <si>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</si>
  <si>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</si>
  <si>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</si>
  <si>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</si>
  <si>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</si>
  <si>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</si>
  <si>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</si>
  <si>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</si>
  <si>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</si>
  <si>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</si>
  <si>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</si>
  <si>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</si>
  <si>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</si>
  <si>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</si>
  <si>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</si>
  <si>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</si>
  <si>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</si>
  <si>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</si>
  <si>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</si>
  <si>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</si>
  <si>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</si>
  <si>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</si>
  <si>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</si>
  <si>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</si>
  <si>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</si>
  <si>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</si>
  <si>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</si>
  <si>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</si>
  <si>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</si>
  <si>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</si>
  <si>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</si>
  <si>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</si>
  <si>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</si>
  <si>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</si>
  <si>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</si>
  <si>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</si>
  <si>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</si>
  <si>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</si>
  <si>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</si>
  <si>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</si>
  <si>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</si>
  <si>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</si>
  <si>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</si>
  <si>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</si>
  <si>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</si>
  <si>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</si>
  <si>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</si>
  <si>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</si>
  <si>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</si>
  <si>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</si>
  <si>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</si>
  <si>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</si>
  <si>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</si>
  <si>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</si>
  <si>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</si>
  <si>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</si>
  <si>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</si>
  <si>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</si>
  <si>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</si>
  <si>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</si>
  <si>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</si>
  <si>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</si>
  <si>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</si>
  <si>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</si>
  <si>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</si>
  <si>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</si>
  <si>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</si>
  <si>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</si>
  <si>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</si>
  <si>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</si>
  <si>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</si>
  <si>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</si>
  <si>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</si>
  <si>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</si>
  <si>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</si>
  <si>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</si>
  <si>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</si>
  <si>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</si>
  <si>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</si>
  <si>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</si>
  <si>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</si>
  <si>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</si>
  <si>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</si>
  <si>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</si>
  <si>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</si>
  <si>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</si>
  <si>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</si>
  <si>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</si>
  <si>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</si>
  <si>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</si>
  <si>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</si>
  <si>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</si>
  <si>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</si>
  <si>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</si>
  <si>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</si>
  <si>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</si>
  <si>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</si>
  <si>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</si>
  <si>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</si>
  <si>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</si>
  <si>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</si>
  <si>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</si>
  <si>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</si>
  <si>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</si>
  <si>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</si>
  <si>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</si>
  <si>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</si>
  <si>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</si>
  <si>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</si>
  <si>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</si>
  <si>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</si>
  <si>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</si>
  <si>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</si>
  <si>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</si>
  <si>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</si>
  <si>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</si>
  <si>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</si>
  <si>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</si>
  <si>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</si>
  <si>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</si>
  <si>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</si>
  <si>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</si>
  <si>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</si>
  <si>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</si>
  <si>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</si>
  <si>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</si>
  <si>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</si>
  <si>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</si>
  <si>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</si>
  <si>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</si>
  <si>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</si>
  <si>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</si>
  <si>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</si>
  <si>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</si>
  <si>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</si>
  <si>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</si>
  <si>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</si>
  <si>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</si>
  <si>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</si>
  <si>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</si>
  <si>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</si>
  <si>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</si>
  <si>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</si>
  <si>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</si>
  <si>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</si>
  <si>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</si>
  <si>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</si>
  <si>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</si>
  <si>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</si>
  <si>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</si>
  <si>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</si>
  <si>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</si>
  <si>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</si>
  <si>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</si>
  <si>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</si>
  <si>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</si>
  <si>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</si>
  <si>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</si>
  <si>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</si>
  <si>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</si>
  <si>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</si>
  <si>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</si>
  <si>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</si>
  <si>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</si>
  <si>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</si>
  <si>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</si>
  <si>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</si>
  <si>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</si>
  <si>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</si>
  <si>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</si>
  <si>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</si>
  <si>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</si>
  <si>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</si>
  <si>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</si>
  <si>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</si>
  <si>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</si>
  <si>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</si>
  <si>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</si>
  <si>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</si>
  <si>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</si>
  <si>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</si>
  <si>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</si>
  <si>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</si>
  <si>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</si>
  <si>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</si>
  <si>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</si>
  <si>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</si>
  <si>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</si>
  <si>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</si>
  <si>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</si>
  <si>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</si>
  <si>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</si>
  <si>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</si>
  <si>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</si>
  <si>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</si>
  <si>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</si>
  <si>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</si>
  <si>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</si>
  <si>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</si>
  <si>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</si>
  <si>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</si>
  <si>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</si>
  <si>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</si>
  <si>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</si>
  <si>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</si>
  <si>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</si>
  <si>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</si>
  <si>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</si>
  <si>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</si>
  <si>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</si>
  <si>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</si>
  <si>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</si>
  <si>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</si>
  <si>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</si>
  <si>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</si>
  <si>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</si>
  <si>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</si>
  <si>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</si>
  <si>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</si>
  <si>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</si>
  <si>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</si>
  <si>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</si>
  <si>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</si>
  <si>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</si>
  <si>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</si>
  <si>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</si>
  <si>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</si>
  <si>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</si>
  <si>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</si>
  <si>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</si>
  <si>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</si>
  <si>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</si>
  <si>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</si>
  <si>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</si>
  <si>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</si>
  <si>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</si>
  <si>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</si>
  <si>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</si>
  <si>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</si>
  <si>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</si>
  <si>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</si>
  <si>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</si>
  <si>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</si>
  <si>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</si>
  <si>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</si>
  <si>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</si>
  <si>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</si>
  <si>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</si>
  <si>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</si>
  <si>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</si>
  <si>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</si>
  <si>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</si>
  <si>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</si>
  <si>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</si>
  <si>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</si>
  <si>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</si>
  <si>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</si>
  <si>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</si>
  <si>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</si>
  <si>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</si>
  <si>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</si>
  <si>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</si>
  <si>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</si>
  <si>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</si>
  <si>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</si>
  <si>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</si>
  <si>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</si>
  <si>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</si>
  <si>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</si>
  <si>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</si>
  <si>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</si>
  <si>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</si>
  <si>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</si>
  <si>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</si>
  <si>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</si>
  <si>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</si>
  <si>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</si>
  <si>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</si>
  <si>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</si>
  <si>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</si>
  <si>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</si>
  <si>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</si>
  <si>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</si>
  <si>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</si>
  <si>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</si>
  <si>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</si>
  <si>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72037</t>
  </si>
  <si>
    <t>HAMONT-ACHEL</t>
  </si>
  <si>
    <t>waterkracht</t>
  </si>
  <si>
    <t>vloeibaar gas (MWh)</t>
  </si>
  <si>
    <t>Brandstofcel</t>
  </si>
  <si>
    <t>brandstofcel</t>
  </si>
  <si>
    <t>Inter-energa (via INFRAX)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</si>
</sst>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3C0270DB-F1A7-41D4-838A-860760EFC17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125150.21477877835</c:v>
                </c:pt>
                <c:pt idx="1">
                  <c:v>36748.53107437287</c:v>
                </c:pt>
                <c:pt idx="2">
                  <c:v>827.08976800000005</c:v>
                </c:pt>
                <c:pt idx="3">
                  <c:v>11167.842573136008</c:v>
                </c:pt>
                <c:pt idx="4">
                  <c:v>54396.319333440602</c:v>
                </c:pt>
                <c:pt idx="5">
                  <c:v>49940.534395883638</c:v>
                </c:pt>
                <c:pt idx="6">
                  <c:v>851.92023178063948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125150.21477877835</c:v>
                </c:pt>
                <c:pt idx="1">
                  <c:v>36748.53107437287</c:v>
                </c:pt>
                <c:pt idx="2">
                  <c:v>827.08976800000005</c:v>
                </c:pt>
                <c:pt idx="3">
                  <c:v>11167.842573136008</c:v>
                </c:pt>
                <c:pt idx="4">
                  <c:v>54396.319333440602</c:v>
                </c:pt>
                <c:pt idx="5">
                  <c:v>49940.534395883638</c:v>
                </c:pt>
                <c:pt idx="6">
                  <c:v>851.92023178063948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25140.07877436289</c:v>
                </c:pt>
                <c:pt idx="1">
                  <c:v>7403.0313568390775</c:v>
                </c:pt>
                <c:pt idx="2">
                  <c:v>165.39480156255524</c:v>
                </c:pt>
                <c:pt idx="3">
                  <c:v>2769.9308934823116</c:v>
                </c:pt>
                <c:pt idx="4">
                  <c:v>11153.428504708811</c:v>
                </c:pt>
                <c:pt idx="5">
                  <c:v>12348.960269362376</c:v>
                </c:pt>
                <c:pt idx="6">
                  <c:v>214.44551126958902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25140.07877436289</c:v>
                </c:pt>
                <c:pt idx="1">
                  <c:v>7403.0313568390775</c:v>
                </c:pt>
                <c:pt idx="2">
                  <c:v>165.39480156255524</c:v>
                </c:pt>
                <c:pt idx="3">
                  <c:v>2769.9308934823116</c:v>
                </c:pt>
                <c:pt idx="4">
                  <c:v>11153.428504708811</c:v>
                </c:pt>
                <c:pt idx="5">
                  <c:v>12348.960269362376</c:v>
                </c:pt>
                <c:pt idx="6">
                  <c:v>214.44551126958902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72037</v>
      </c>
      <c r="B6" s="382"/>
      <c r="C6" s="383"/>
    </row>
    <row r="7" spans="1:7" s="380" customFormat="1" ht="15.75" customHeight="1">
      <c r="A7" s="384" t="str">
        <f>txtMunicipality</f>
        <v>HAMONT-ACHEL</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0.19997200782993513</v>
      </c>
      <c r="C17" s="494">
        <f ca="1">'EF ele_warmte'!B22</f>
        <v>0.22444444444444442</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0.19997200782993513</v>
      </c>
      <c r="C29" s="495">
        <f ca="1">'EF ele_warmte'!B22</f>
        <v>0.22444444444444442</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5914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1841.82</v>
      </c>
      <c r="C14" s="324"/>
      <c r="D14" s="324"/>
      <c r="E14" s="324"/>
      <c r="F14" s="324"/>
    </row>
    <row r="15" spans="1:6">
      <c r="A15" s="1265" t="s">
        <v>177</v>
      </c>
      <c r="B15" s="1266">
        <v>25</v>
      </c>
      <c r="C15" s="324"/>
      <c r="D15" s="324"/>
      <c r="E15" s="324"/>
      <c r="F15" s="324"/>
    </row>
    <row r="16" spans="1:6">
      <c r="A16" s="1265" t="s">
        <v>6</v>
      </c>
      <c r="B16" s="1266">
        <v>1144</v>
      </c>
      <c r="C16" s="324"/>
      <c r="D16" s="324"/>
      <c r="E16" s="324"/>
      <c r="F16" s="324"/>
    </row>
    <row r="17" spans="1:6">
      <c r="A17" s="1265" t="s">
        <v>7</v>
      </c>
      <c r="B17" s="1266">
        <v>119</v>
      </c>
      <c r="C17" s="324"/>
      <c r="D17" s="324"/>
      <c r="E17" s="324"/>
      <c r="F17" s="324"/>
    </row>
    <row r="18" spans="1:6">
      <c r="A18" s="1265" t="s">
        <v>8</v>
      </c>
      <c r="B18" s="1266">
        <v>612</v>
      </c>
      <c r="C18" s="324"/>
      <c r="D18" s="324"/>
      <c r="E18" s="324"/>
      <c r="F18" s="324"/>
    </row>
    <row r="19" spans="1:6">
      <c r="A19" s="1265" t="s">
        <v>9</v>
      </c>
      <c r="B19" s="1266">
        <v>599</v>
      </c>
      <c r="C19" s="324"/>
      <c r="D19" s="324"/>
      <c r="E19" s="324"/>
      <c r="F19" s="324"/>
    </row>
    <row r="20" spans="1:6">
      <c r="A20" s="1265" t="s">
        <v>10</v>
      </c>
      <c r="B20" s="1266">
        <v>333</v>
      </c>
      <c r="C20" s="324"/>
      <c r="D20" s="324"/>
      <c r="E20" s="324"/>
      <c r="F20" s="324"/>
    </row>
    <row r="21" spans="1:6">
      <c r="A21" s="1265" t="s">
        <v>11</v>
      </c>
      <c r="B21" s="1266">
        <v>4939</v>
      </c>
      <c r="C21" s="324"/>
      <c r="D21" s="324"/>
      <c r="E21" s="324"/>
      <c r="F21" s="324"/>
    </row>
    <row r="22" spans="1:6">
      <c r="A22" s="1265" t="s">
        <v>12</v>
      </c>
      <c r="B22" s="1266">
        <v>13446</v>
      </c>
      <c r="C22" s="324"/>
      <c r="D22" s="324"/>
      <c r="E22" s="324"/>
      <c r="F22" s="324"/>
    </row>
    <row r="23" spans="1:6">
      <c r="A23" s="1265" t="s">
        <v>13</v>
      </c>
      <c r="B23" s="1266">
        <v>212</v>
      </c>
      <c r="C23" s="324"/>
      <c r="D23" s="324"/>
      <c r="E23" s="324"/>
      <c r="F23" s="324"/>
    </row>
    <row r="24" spans="1:6">
      <c r="A24" s="1265" t="s">
        <v>14</v>
      </c>
      <c r="B24" s="1266">
        <v>8</v>
      </c>
      <c r="C24" s="324"/>
      <c r="D24" s="324"/>
      <c r="E24" s="324"/>
      <c r="F24" s="324"/>
    </row>
    <row r="25" spans="1:6">
      <c r="A25" s="1265" t="s">
        <v>15</v>
      </c>
      <c r="B25" s="1266">
        <v>918</v>
      </c>
      <c r="C25" s="324"/>
      <c r="D25" s="324"/>
      <c r="E25" s="324"/>
      <c r="F25" s="324"/>
    </row>
    <row r="26" spans="1:6">
      <c r="A26" s="1265" t="s">
        <v>16</v>
      </c>
      <c r="B26" s="1266">
        <v>52</v>
      </c>
      <c r="C26" s="324"/>
      <c r="D26" s="324"/>
      <c r="E26" s="324"/>
      <c r="F26" s="324"/>
    </row>
    <row r="27" spans="1:6">
      <c r="A27" s="1265" t="s">
        <v>17</v>
      </c>
      <c r="B27" s="1266">
        <v>6</v>
      </c>
      <c r="C27" s="324"/>
      <c r="D27" s="324"/>
      <c r="E27" s="324"/>
      <c r="F27" s="324"/>
    </row>
    <row r="28" spans="1:6">
      <c r="A28" s="1265" t="s">
        <v>18</v>
      </c>
      <c r="B28" s="1267">
        <v>344090</v>
      </c>
      <c r="C28" s="324"/>
      <c r="D28" s="324"/>
      <c r="E28" s="324"/>
      <c r="F28" s="324"/>
    </row>
    <row r="29" spans="1:6">
      <c r="A29" s="1265" t="s">
        <v>653</v>
      </c>
      <c r="B29" s="1267">
        <v>159</v>
      </c>
      <c r="C29" s="324"/>
      <c r="D29" s="324"/>
      <c r="E29" s="324"/>
      <c r="F29" s="324"/>
    </row>
    <row r="30" spans="1:6">
      <c r="A30" s="1260" t="s">
        <v>654</v>
      </c>
      <c r="B30" s="1268">
        <v>31</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0</v>
      </c>
      <c r="F36" s="1266">
        <v>0</v>
      </c>
    </row>
    <row r="37" spans="1:6">
      <c r="A37" s="1265" t="s">
        <v>24</v>
      </c>
      <c r="B37" s="1265" t="s">
        <v>27</v>
      </c>
      <c r="C37" s="1266">
        <v>0</v>
      </c>
      <c r="D37" s="1266">
        <v>0</v>
      </c>
      <c r="E37" s="1266">
        <v>0</v>
      </c>
      <c r="F37" s="1266">
        <v>0</v>
      </c>
    </row>
    <row r="38" spans="1:6">
      <c r="A38" s="1265" t="s">
        <v>24</v>
      </c>
      <c r="B38" s="1265" t="s">
        <v>28</v>
      </c>
      <c r="C38" s="1266">
        <v>0</v>
      </c>
      <c r="D38" s="1266">
        <v>0</v>
      </c>
      <c r="E38" s="1266">
        <v>1</v>
      </c>
      <c r="F38" s="1266">
        <v>1022.619</v>
      </c>
    </row>
    <row r="39" spans="1:6">
      <c r="A39" s="1265" t="s">
        <v>29</v>
      </c>
      <c r="B39" s="1265" t="s">
        <v>30</v>
      </c>
      <c r="C39" s="1266">
        <v>4220</v>
      </c>
      <c r="D39" s="1266">
        <v>72960861.184000194</v>
      </c>
      <c r="E39" s="1266">
        <v>5855</v>
      </c>
      <c r="F39" s="1266">
        <v>20508031.423999999</v>
      </c>
    </row>
    <row r="40" spans="1:6">
      <c r="A40" s="1265" t="s">
        <v>29</v>
      </c>
      <c r="B40" s="1265" t="s">
        <v>28</v>
      </c>
      <c r="C40" s="1266">
        <v>1</v>
      </c>
      <c r="D40" s="1266">
        <v>21201.927</v>
      </c>
      <c r="E40" s="1266">
        <v>1</v>
      </c>
      <c r="F40" s="1266">
        <v>4858.6499999999996</v>
      </c>
    </row>
    <row r="41" spans="1:6">
      <c r="A41" s="1265" t="s">
        <v>31</v>
      </c>
      <c r="B41" s="1265" t="s">
        <v>32</v>
      </c>
      <c r="C41" s="1266">
        <v>62</v>
      </c>
      <c r="D41" s="1266">
        <v>2250615.09</v>
      </c>
      <c r="E41" s="1266">
        <v>124</v>
      </c>
      <c r="F41" s="1266">
        <v>8354911.6030000001</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22</v>
      </c>
      <c r="D44" s="1266">
        <v>6176419.3559999997</v>
      </c>
      <c r="E44" s="1266">
        <v>37</v>
      </c>
      <c r="F44" s="1266">
        <v>9517115.6789999995</v>
      </c>
    </row>
    <row r="45" spans="1:6">
      <c r="A45" s="1265" t="s">
        <v>31</v>
      </c>
      <c r="B45" s="1265" t="s">
        <v>36</v>
      </c>
      <c r="C45" s="1266">
        <v>4</v>
      </c>
      <c r="D45" s="1266">
        <v>275132.38900000002</v>
      </c>
      <c r="E45" s="1266">
        <v>8</v>
      </c>
      <c r="F45" s="1266">
        <v>143690.91399999999</v>
      </c>
    </row>
    <row r="46" spans="1:6">
      <c r="A46" s="1265" t="s">
        <v>31</v>
      </c>
      <c r="B46" s="1265" t="s">
        <v>37</v>
      </c>
      <c r="C46" s="1266">
        <v>0</v>
      </c>
      <c r="D46" s="1266">
        <v>0</v>
      </c>
      <c r="E46" s="1266">
        <v>0</v>
      </c>
      <c r="F46" s="1266">
        <v>0</v>
      </c>
    </row>
    <row r="47" spans="1:6">
      <c r="A47" s="1265" t="s">
        <v>31</v>
      </c>
      <c r="B47" s="1265" t="s">
        <v>38</v>
      </c>
      <c r="C47" s="1266">
        <v>3</v>
      </c>
      <c r="D47" s="1266">
        <v>81807.444000000003</v>
      </c>
      <c r="E47" s="1266">
        <v>3</v>
      </c>
      <c r="F47" s="1266">
        <v>658307.50300000003</v>
      </c>
    </row>
    <row r="48" spans="1:6">
      <c r="A48" s="1265" t="s">
        <v>31</v>
      </c>
      <c r="B48" s="1265" t="s">
        <v>28</v>
      </c>
      <c r="C48" s="1266">
        <v>2</v>
      </c>
      <c r="D48" s="1266">
        <v>698019.49399999995</v>
      </c>
      <c r="E48" s="1266">
        <v>2</v>
      </c>
      <c r="F48" s="1266">
        <v>312975.38099999999</v>
      </c>
    </row>
    <row r="49" spans="1:6">
      <c r="A49" s="1265" t="s">
        <v>31</v>
      </c>
      <c r="B49" s="1265" t="s">
        <v>39</v>
      </c>
      <c r="C49" s="1266">
        <v>5</v>
      </c>
      <c r="D49" s="1266">
        <v>397132.16100000002</v>
      </c>
      <c r="E49" s="1266">
        <v>8</v>
      </c>
      <c r="F49" s="1266">
        <v>159328.397</v>
      </c>
    </row>
    <row r="50" spans="1:6">
      <c r="A50" s="1265" t="s">
        <v>31</v>
      </c>
      <c r="B50" s="1265" t="s">
        <v>40</v>
      </c>
      <c r="C50" s="1266">
        <v>4</v>
      </c>
      <c r="D50" s="1266">
        <v>10933180.513</v>
      </c>
      <c r="E50" s="1266">
        <v>7</v>
      </c>
      <c r="F50" s="1266">
        <v>9095788.3479999993</v>
      </c>
    </row>
    <row r="51" spans="1:6">
      <c r="A51" s="1265" t="s">
        <v>41</v>
      </c>
      <c r="B51" s="1265" t="s">
        <v>42</v>
      </c>
      <c r="C51" s="1266">
        <v>13</v>
      </c>
      <c r="D51" s="1266">
        <v>2043397.3729999999</v>
      </c>
      <c r="E51" s="1266">
        <v>89</v>
      </c>
      <c r="F51" s="1266">
        <v>1984511.199</v>
      </c>
    </row>
    <row r="52" spans="1:6">
      <c r="A52" s="1265" t="s">
        <v>41</v>
      </c>
      <c r="B52" s="1265" t="s">
        <v>28</v>
      </c>
      <c r="C52" s="1266">
        <v>0</v>
      </c>
      <c r="D52" s="1266">
        <v>0</v>
      </c>
      <c r="E52" s="1266">
        <v>0</v>
      </c>
      <c r="F52" s="1266">
        <v>0</v>
      </c>
    </row>
    <row r="53" spans="1:6">
      <c r="A53" s="1265" t="s">
        <v>43</v>
      </c>
      <c r="B53" s="1265" t="s">
        <v>44</v>
      </c>
      <c r="C53" s="1266">
        <v>40</v>
      </c>
      <c r="D53" s="1266">
        <v>1480109.9169999999</v>
      </c>
      <c r="E53" s="1266">
        <v>114</v>
      </c>
      <c r="F53" s="1266">
        <v>517143.527</v>
      </c>
    </row>
    <row r="54" spans="1:6">
      <c r="A54" s="1265" t="s">
        <v>45</v>
      </c>
      <c r="B54" s="1265" t="s">
        <v>46</v>
      </c>
      <c r="C54" s="1266">
        <v>0</v>
      </c>
      <c r="D54" s="1266">
        <v>0</v>
      </c>
      <c r="E54" s="1266">
        <v>3</v>
      </c>
      <c r="F54" s="1266">
        <v>827089.76800000004</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55</v>
      </c>
      <c r="D57" s="1266">
        <v>4493392.4340000004</v>
      </c>
      <c r="E57" s="1266">
        <v>136</v>
      </c>
      <c r="F57" s="1266">
        <v>2423516.247</v>
      </c>
    </row>
    <row r="58" spans="1:6">
      <c r="A58" s="1265" t="s">
        <v>48</v>
      </c>
      <c r="B58" s="1265" t="s">
        <v>50</v>
      </c>
      <c r="C58" s="1266">
        <v>23</v>
      </c>
      <c r="D58" s="1266">
        <v>2137251.253</v>
      </c>
      <c r="E58" s="1266">
        <v>32</v>
      </c>
      <c r="F58" s="1266">
        <v>634357.902</v>
      </c>
    </row>
    <row r="59" spans="1:6">
      <c r="A59" s="1265" t="s">
        <v>48</v>
      </c>
      <c r="B59" s="1265" t="s">
        <v>51</v>
      </c>
      <c r="C59" s="1266">
        <v>92</v>
      </c>
      <c r="D59" s="1266">
        <v>2783562.25</v>
      </c>
      <c r="E59" s="1266">
        <v>160</v>
      </c>
      <c r="F59" s="1266">
        <v>4858881.16</v>
      </c>
    </row>
    <row r="60" spans="1:6">
      <c r="A60" s="1265" t="s">
        <v>48</v>
      </c>
      <c r="B60" s="1265" t="s">
        <v>52</v>
      </c>
      <c r="C60" s="1266">
        <v>48</v>
      </c>
      <c r="D60" s="1266">
        <v>2353657.8149999999</v>
      </c>
      <c r="E60" s="1266">
        <v>67</v>
      </c>
      <c r="F60" s="1266">
        <v>1660101.916</v>
      </c>
    </row>
    <row r="61" spans="1:6">
      <c r="A61" s="1265" t="s">
        <v>48</v>
      </c>
      <c r="B61" s="1265" t="s">
        <v>53</v>
      </c>
      <c r="C61" s="1266">
        <v>125</v>
      </c>
      <c r="D61" s="1266">
        <v>6168883.7549999999</v>
      </c>
      <c r="E61" s="1266">
        <v>199</v>
      </c>
      <c r="F61" s="1266">
        <v>5185194.4349999996</v>
      </c>
    </row>
    <row r="62" spans="1:6">
      <c r="A62" s="1265" t="s">
        <v>48</v>
      </c>
      <c r="B62" s="1265" t="s">
        <v>54</v>
      </c>
      <c r="C62" s="1266">
        <v>8</v>
      </c>
      <c r="D62" s="1266">
        <v>1167194.0859999999</v>
      </c>
      <c r="E62" s="1266">
        <v>12</v>
      </c>
      <c r="F62" s="1266">
        <v>195988.272</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1</v>
      </c>
      <c r="D65" s="1266">
        <v>11035.321</v>
      </c>
      <c r="E65" s="1266">
        <v>1</v>
      </c>
      <c r="F65" s="1266">
        <v>179.94200000000001</v>
      </c>
    </row>
    <row r="66" spans="1:6">
      <c r="A66" s="1265" t="s">
        <v>55</v>
      </c>
      <c r="B66" s="1265" t="s">
        <v>57</v>
      </c>
      <c r="C66" s="1266">
        <v>0</v>
      </c>
      <c r="D66" s="1266">
        <v>0</v>
      </c>
      <c r="E66" s="1266">
        <v>4</v>
      </c>
      <c r="F66" s="1266">
        <v>19677.334999999999</v>
      </c>
    </row>
    <row r="67" spans="1:6">
      <c r="A67" s="1265" t="s">
        <v>55</v>
      </c>
      <c r="B67" s="1265" t="s">
        <v>58</v>
      </c>
      <c r="C67" s="1266">
        <v>0</v>
      </c>
      <c r="D67" s="1266">
        <v>0</v>
      </c>
      <c r="E67" s="1266">
        <v>0</v>
      </c>
      <c r="F67" s="1266">
        <v>0</v>
      </c>
    </row>
    <row r="68" spans="1:6">
      <c r="A68" s="1260" t="s">
        <v>55</v>
      </c>
      <c r="B68" s="1260" t="s">
        <v>59</v>
      </c>
      <c r="C68" s="1268">
        <v>3</v>
      </c>
      <c r="D68" s="1268">
        <v>162734.42600000001</v>
      </c>
      <c r="E68" s="1268">
        <v>6</v>
      </c>
      <c r="F68" s="1268">
        <v>108544.90399999999</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39128889</v>
      </c>
      <c r="E73" s="443"/>
      <c r="F73" s="324"/>
    </row>
    <row r="74" spans="1:6">
      <c r="A74" s="1265" t="s">
        <v>63</v>
      </c>
      <c r="B74" s="1265" t="s">
        <v>607</v>
      </c>
      <c r="C74" s="1278" t="s">
        <v>609</v>
      </c>
      <c r="D74" s="1266">
        <v>3269339.2758495258</v>
      </c>
      <c r="E74" s="443"/>
      <c r="F74" s="324"/>
    </row>
    <row r="75" spans="1:6">
      <c r="A75" s="1265" t="s">
        <v>64</v>
      </c>
      <c r="B75" s="1265" t="s">
        <v>606</v>
      </c>
      <c r="C75" s="1278" t="s">
        <v>610</v>
      </c>
      <c r="D75" s="1266">
        <v>15344245</v>
      </c>
      <c r="E75" s="443"/>
      <c r="F75" s="324"/>
    </row>
    <row r="76" spans="1:6">
      <c r="A76" s="1265" t="s">
        <v>64</v>
      </c>
      <c r="B76" s="1265" t="s">
        <v>607</v>
      </c>
      <c r="C76" s="1278" t="s">
        <v>611</v>
      </c>
      <c r="D76" s="1266">
        <v>647661.27584952605</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236469.44830094799</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5947.4400482650326</v>
      </c>
      <c r="C91" s="324"/>
      <c r="D91" s="324"/>
      <c r="E91" s="324"/>
      <c r="F91" s="324"/>
    </row>
    <row r="92" spans="1:6">
      <c r="A92" s="1260" t="s">
        <v>68</v>
      </c>
      <c r="B92" s="1261">
        <v>1012.2630496869407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1851</v>
      </c>
      <c r="C97" s="324"/>
      <c r="D97" s="324"/>
      <c r="E97" s="324"/>
      <c r="F97" s="324"/>
    </row>
    <row r="98" spans="1:6">
      <c r="A98" s="1265" t="s">
        <v>71</v>
      </c>
      <c r="B98" s="1266">
        <v>3</v>
      </c>
      <c r="C98" s="324"/>
      <c r="D98" s="324"/>
      <c r="E98" s="324"/>
      <c r="F98" s="324"/>
    </row>
    <row r="99" spans="1:6">
      <c r="A99" s="1265" t="s">
        <v>72</v>
      </c>
      <c r="B99" s="1266">
        <v>56</v>
      </c>
      <c r="C99" s="324"/>
      <c r="D99" s="324"/>
      <c r="E99" s="324"/>
      <c r="F99" s="324"/>
    </row>
    <row r="100" spans="1:6">
      <c r="A100" s="1265" t="s">
        <v>73</v>
      </c>
      <c r="B100" s="1266">
        <v>342</v>
      </c>
      <c r="C100" s="324"/>
      <c r="D100" s="324"/>
      <c r="E100" s="324"/>
      <c r="F100" s="324"/>
    </row>
    <row r="101" spans="1:6">
      <c r="A101" s="1265" t="s">
        <v>74</v>
      </c>
      <c r="B101" s="1266">
        <v>76</v>
      </c>
      <c r="C101" s="324"/>
      <c r="D101" s="324"/>
      <c r="E101" s="324"/>
      <c r="F101" s="324"/>
    </row>
    <row r="102" spans="1:6">
      <c r="A102" s="1265" t="s">
        <v>75</v>
      </c>
      <c r="B102" s="1266">
        <v>61</v>
      </c>
      <c r="C102" s="324"/>
      <c r="D102" s="324"/>
      <c r="E102" s="324"/>
      <c r="F102" s="324"/>
    </row>
    <row r="103" spans="1:6">
      <c r="A103" s="1265" t="s">
        <v>76</v>
      </c>
      <c r="B103" s="1266">
        <v>64</v>
      </c>
      <c r="C103" s="324"/>
      <c r="D103" s="324"/>
      <c r="E103" s="324"/>
      <c r="F103" s="324"/>
    </row>
    <row r="104" spans="1:6">
      <c r="A104" s="1265" t="s">
        <v>77</v>
      </c>
      <c r="B104" s="1266">
        <v>2617</v>
      </c>
      <c r="C104" s="324"/>
      <c r="D104" s="324"/>
      <c r="E104" s="324"/>
      <c r="F104" s="324"/>
    </row>
    <row r="105" spans="1:6">
      <c r="A105" s="1260" t="s">
        <v>78</v>
      </c>
      <c r="B105" s="1268">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1</v>
      </c>
      <c r="C121" s="1266">
        <v>0</v>
      </c>
      <c r="D121" s="324"/>
      <c r="E121" s="324"/>
      <c r="F121" s="324"/>
    </row>
    <row r="122" spans="1:6">
      <c r="A122" s="1265" t="s">
        <v>86</v>
      </c>
      <c r="B122" s="1266">
        <v>0</v>
      </c>
      <c r="C122" s="1266">
        <v>0</v>
      </c>
      <c r="D122" s="324"/>
      <c r="E122" s="324"/>
      <c r="F122" s="324"/>
    </row>
    <row r="123" spans="1:6">
      <c r="A123" s="1265" t="s">
        <v>87</v>
      </c>
      <c r="B123" s="1266">
        <v>28</v>
      </c>
      <c r="C123" s="1266">
        <v>12</v>
      </c>
      <c r="D123" s="324"/>
      <c r="E123" s="324"/>
      <c r="F123" s="324"/>
    </row>
    <row r="124" spans="1:6">
      <c r="A124" s="1265" t="s">
        <v>88</v>
      </c>
      <c r="B124" s="1266">
        <v>1</v>
      </c>
      <c r="C124" s="1266">
        <v>0</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106</v>
      </c>
      <c r="C129" s="324"/>
      <c r="D129" s="324"/>
      <c r="E129" s="324"/>
      <c r="F129" s="324"/>
    </row>
    <row r="130" spans="1:6">
      <c r="A130" s="1265" t="s">
        <v>284</v>
      </c>
      <c r="B130" s="1266">
        <v>0</v>
      </c>
      <c r="C130" s="324"/>
      <c r="D130" s="324"/>
      <c r="E130" s="324"/>
      <c r="F130" s="324"/>
    </row>
    <row r="131" spans="1:6">
      <c r="A131" s="1265" t="s">
        <v>285</v>
      </c>
      <c r="B131" s="1266">
        <v>1</v>
      </c>
      <c r="C131" s="324"/>
      <c r="D131" s="324"/>
      <c r="E131" s="324"/>
      <c r="F131" s="324"/>
    </row>
    <row r="132" spans="1:6">
      <c r="A132" s="1260" t="s">
        <v>286</v>
      </c>
      <c r="B132" s="1261">
        <v>29</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73143.697906601534</v>
      </c>
      <c r="C3" s="43" t="s">
        <v>163</v>
      </c>
      <c r="D3" s="43"/>
      <c r="E3" s="153"/>
      <c r="F3" s="43"/>
      <c r="G3" s="43"/>
      <c r="H3" s="43"/>
      <c r="I3" s="43"/>
      <c r="J3" s="43"/>
      <c r="K3" s="96"/>
    </row>
    <row r="4" spans="1:11">
      <c r="A4" s="350" t="s">
        <v>164</v>
      </c>
      <c r="B4" s="49">
        <f>IF(ISERROR('SEAP template'!B78+'SEAP template'!C78),0,'SEAP template'!B78+'SEAP template'!C78)</f>
        <v>6968.2030979519732</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1.9077777777777776</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0.19997200782993513</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2.7327627627627624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12.175675675675675</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0.22444444444444442</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827.08976800000005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827.08976800000005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0.19997200782993513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165.39480156255524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20512.890073999999</v>
      </c>
      <c r="C5" s="17">
        <f>IF(ISERROR('Eigen informatie GS &amp; warmtenet'!B59),0,'Eigen informatie GS &amp; warmtenet'!B59)</f>
        <v>0</v>
      </c>
      <c r="D5" s="30">
        <f>(SUM(HH_hh_gas_kWh,HH_rest_gas_kWh)/1000)*0.903</f>
        <v>65902.802989233183</v>
      </c>
      <c r="E5" s="17">
        <f>B32*B41</f>
        <v>1280.5636337735889</v>
      </c>
      <c r="F5" s="17">
        <f>B36*B45</f>
        <v>23197.582912957852</v>
      </c>
      <c r="G5" s="18"/>
      <c r="H5" s="17"/>
      <c r="I5" s="17"/>
      <c r="J5" s="17">
        <f>B35*B44+C35*C44</f>
        <v>146.73628677734951</v>
      </c>
      <c r="K5" s="17"/>
      <c r="L5" s="17"/>
      <c r="M5" s="17"/>
      <c r="N5" s="17">
        <f>B34*B43+C34*C43</f>
        <v>7317.1221240379318</v>
      </c>
      <c r="O5" s="17">
        <f>B52*B53*B54</f>
        <v>234.10706988766975</v>
      </c>
      <c r="P5" s="17">
        <f>B60*B61*B62/1000-B60*B61*B62/1000/B63</f>
        <v>610.96963984573142</v>
      </c>
    </row>
    <row r="6" spans="1:16">
      <c r="A6" s="16" t="s">
        <v>572</v>
      </c>
      <c r="B6" s="740">
        <f>kWh_PV_kleiner_dan_10kW</f>
        <v>5947.4400482650326</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26460.330122265033</v>
      </c>
      <c r="C8" s="21">
        <f>C5</f>
        <v>0</v>
      </c>
      <c r="D8" s="21">
        <f>D5</f>
        <v>65902.802989233183</v>
      </c>
      <c r="E8" s="21">
        <f>E5</f>
        <v>1280.5636337735889</v>
      </c>
      <c r="F8" s="21">
        <f>F5</f>
        <v>23197.582912957852</v>
      </c>
      <c r="G8" s="21"/>
      <c r="H8" s="21"/>
      <c r="I8" s="21"/>
      <c r="J8" s="21">
        <f>J5</f>
        <v>146.73628677734951</v>
      </c>
      <c r="K8" s="21"/>
      <c r="L8" s="21">
        <f>L5</f>
        <v>0</v>
      </c>
      <c r="M8" s="21">
        <f>M5</f>
        <v>0</v>
      </c>
      <c r="N8" s="21">
        <f>N5</f>
        <v>7317.1221240379318</v>
      </c>
      <c r="O8" s="21">
        <f>O5</f>
        <v>234.10706988766975</v>
      </c>
      <c r="P8" s="21">
        <f>P5</f>
        <v>610.96963984573142</v>
      </c>
    </row>
    <row r="9" spans="1:16">
      <c r="B9" s="19"/>
      <c r="C9" s="19"/>
      <c r="D9" s="253"/>
      <c r="E9" s="19"/>
      <c r="F9" s="19"/>
      <c r="G9" s="19"/>
      <c r="H9" s="19"/>
      <c r="I9" s="19"/>
      <c r="J9" s="19"/>
      <c r="K9" s="19"/>
      <c r="L9" s="19"/>
      <c r="M9" s="19"/>
      <c r="N9" s="19"/>
      <c r="O9" s="19"/>
      <c r="P9" s="19"/>
    </row>
    <row r="10" spans="1:16">
      <c r="A10" s="24" t="s">
        <v>207</v>
      </c>
      <c r="B10" s="25">
        <f ca="1">'EF ele_warmte'!B12</f>
        <v>0.19997200782993513</v>
      </c>
      <c r="C10" s="25">
        <f ca="1">'EF ele_warmte'!B22</f>
        <v>0.22444444444444442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5291.3253423922515</v>
      </c>
      <c r="C12" s="23">
        <f ca="1">C10*C8</f>
        <v>0</v>
      </c>
      <c r="D12" s="23">
        <f>D8*D10</f>
        <v>13312.366203825104</v>
      </c>
      <c r="E12" s="23">
        <f>E10*E8</f>
        <v>290.68794486660471</v>
      </c>
      <c r="F12" s="23">
        <f>F10*F8</f>
        <v>6193.7546377597473</v>
      </c>
      <c r="G12" s="23"/>
      <c r="H12" s="23"/>
      <c r="I12" s="23"/>
      <c r="J12" s="23">
        <f>J10*J8</f>
        <v>51.944645519181719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5914</v>
      </c>
      <c r="C26" s="36"/>
      <c r="D26" s="224"/>
    </row>
    <row r="27" spans="1:5" s="15" customFormat="1">
      <c r="A27" s="226" t="s">
        <v>826</v>
      </c>
      <c r="B27" s="37">
        <f>SUM(HH_hh_gas_aantal,HH_rest_gas_aantal)</f>
        <v>4221</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4009.95</v>
      </c>
      <c r="C31" s="34" t="s">
        <v>104</v>
      </c>
      <c r="D31" s="170"/>
    </row>
    <row r="32" spans="1:5">
      <c r="A32" s="167" t="s">
        <v>72</v>
      </c>
      <c r="B32" s="33">
        <f>IF((B21*($B$26-($B$27-0.05*$B$27)-$B$60))&lt;0,0,(B21*($B$26-($B$27-0.05*$B$27)-$B$60)))</f>
        <v>29.393956531831083</v>
      </c>
      <c r="C32" s="34" t="s">
        <v>104</v>
      </c>
      <c r="D32" s="170"/>
    </row>
    <row r="33" spans="1:6">
      <c r="A33" s="167" t="s">
        <v>73</v>
      </c>
      <c r="B33" s="33">
        <f>IF((B22*($B$26-($B$27-0.05*$B$27)-$B$60))&lt;0,0,B22*($B$26-($B$27-0.05*$B$27)-$B$60))</f>
        <v>477.29963870706018</v>
      </c>
      <c r="C33" s="34" t="s">
        <v>104</v>
      </c>
      <c r="D33" s="170"/>
    </row>
    <row r="34" spans="1:6">
      <c r="A34" s="167" t="s">
        <v>74</v>
      </c>
      <c r="B34" s="33">
        <f>IF((B24*($B$26-($B$27-0.05*$B$27)-$B$60))&lt;0,0,B24*($B$26-($B$27-0.05*$B$27)-$B$60))</f>
        <v>208.70191194838026</v>
      </c>
      <c r="C34" s="33">
        <f>B26*C24</f>
        <v>993.55096763113033</v>
      </c>
      <c r="D34" s="229"/>
    </row>
    <row r="35" spans="1:6">
      <c r="A35" s="167" t="s">
        <v>76</v>
      </c>
      <c r="B35" s="33">
        <f>IF((B19*($B$26-($B$27-0.05*$B$27)-$B$60))&lt;0,0,B19*($B$26-($B$27-0.05*$B$27)-$B$60))</f>
        <v>12.777482827276494</v>
      </c>
      <c r="C35" s="33">
        <f>B35/2</f>
        <v>6.3887414136382468</v>
      </c>
      <c r="D35" s="229"/>
    </row>
    <row r="36" spans="1:6">
      <c r="A36" s="167" t="s">
        <v>77</v>
      </c>
      <c r="B36" s="33">
        <f>IF((B18*($B$26-($B$27-0.05*$B$27)-$B$60))&lt;0,0,B18*($B$26-($B$27-0.05*$B$27)-$B$60))</f>
        <v>1117.8770099854517</v>
      </c>
      <c r="C36" s="34" t="s">
        <v>104</v>
      </c>
      <c r="D36" s="170"/>
    </row>
    <row r="37" spans="1:6">
      <c r="A37" s="167" t="s">
        <v>78</v>
      </c>
      <c r="B37" s="33">
        <f>B60</f>
        <v>58</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118</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58</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14958.039931999998</v>
      </c>
      <c r="C5" s="17">
        <f>IF(ISERROR('Eigen informatie GS &amp; warmtenet'!B60),0,'Eigen informatie GS &amp; warmtenet'!B60)</f>
        <v>0</v>
      </c>
      <c r="D5" s="30">
        <f>SUM(D6:D12)</f>
        <v>17250.859258478999</v>
      </c>
      <c r="E5" s="17">
        <f>SUM(E6:E12)</f>
        <v>71.4951079215909</v>
      </c>
      <c r="F5" s="17">
        <f>SUM(F6:F12)</f>
        <v>3412.503585162382</v>
      </c>
      <c r="G5" s="18"/>
      <c r="H5" s="17"/>
      <c r="I5" s="17"/>
      <c r="J5" s="17">
        <f>SUM(J6:J12)</f>
        <v>2.451186045204682E-2</v>
      </c>
      <c r="K5" s="17"/>
      <c r="L5" s="17"/>
      <c r="M5" s="17"/>
      <c r="N5" s="17">
        <f>SUM(N6:N12)</f>
        <v>952.82769963375722</v>
      </c>
      <c r="O5" s="17">
        <f>B38*B39*B40</f>
        <v>0</v>
      </c>
      <c r="P5" s="17">
        <f>B46*B47*B48/1000-B46*B47*B48/1000/B49</f>
        <v>105.07827661299004</v>
      </c>
      <c r="R5" s="32"/>
    </row>
    <row r="6" spans="1:18">
      <c r="A6" s="32" t="s">
        <v>53</v>
      </c>
      <c r="B6" s="37">
        <f>B26</f>
        <v>5185.1944349999994</v>
      </c>
      <c r="C6" s="33"/>
      <c r="D6" s="37">
        <f>IF(ISERROR(TER_kantoor_gas_kWh/1000),0,TER_kantoor_gas_kWh/1000)*0.903</f>
        <v>5570.5020307650002</v>
      </c>
      <c r="E6" s="33">
        <f>$C$26*'E Balans VL '!I12/100/3.6*1000000</f>
        <v>1.2353957811727825</v>
      </c>
      <c r="F6" s="33">
        <f>$C$26*('E Balans VL '!L12+'E Balans VL '!N12)/100/3.6*1000000</f>
        <v>506.31961375307577</v>
      </c>
      <c r="G6" s="34"/>
      <c r="H6" s="33"/>
      <c r="I6" s="33"/>
      <c r="J6" s="33">
        <f>$C$26*('E Balans VL '!D12+'E Balans VL '!E12)/100/3.6*1000000</f>
        <v>0</v>
      </c>
      <c r="K6" s="33"/>
      <c r="L6" s="33"/>
      <c r="M6" s="33"/>
      <c r="N6" s="33">
        <f>$C$26*'E Balans VL '!Y12/100/3.6*1000000</f>
        <v>6.933193285274216</v>
      </c>
      <c r="O6" s="33"/>
      <c r="P6" s="33"/>
      <c r="R6" s="32"/>
    </row>
    <row r="7" spans="1:18">
      <c r="A7" s="32" t="s">
        <v>52</v>
      </c>
      <c r="B7" s="37">
        <f t="shared" ref="B7:B12" si="0">B27</f>
        <v>1660.1019160000001</v>
      </c>
      <c r="C7" s="33"/>
      <c r="D7" s="37">
        <f>IF(ISERROR(TER_horeca_gas_kWh/1000),0,TER_horeca_gas_kWh/1000)*0.903</f>
        <v>2125.3530069450003</v>
      </c>
      <c r="E7" s="33">
        <f>$C$27*'E Balans VL '!I9/100/3.6*1000000</f>
        <v>0</v>
      </c>
      <c r="F7" s="33">
        <f>$C$27*('E Balans VL '!L9+'E Balans VL '!N9)/100/3.6*1000000</f>
        <v>135.26826260094452</v>
      </c>
      <c r="G7" s="34"/>
      <c r="H7" s="33"/>
      <c r="I7" s="33"/>
      <c r="J7" s="33">
        <f>$C$27*('E Balans VL '!D9+'E Balans VL '!E9)/100/3.6*1000000</f>
        <v>0</v>
      </c>
      <c r="K7" s="33"/>
      <c r="L7" s="33"/>
      <c r="M7" s="33"/>
      <c r="N7" s="33">
        <f>$C$27*'E Balans VL '!Y9/100/3.6*1000000</f>
        <v>11.965064103474841</v>
      </c>
      <c r="O7" s="33"/>
      <c r="P7" s="33"/>
      <c r="R7" s="32"/>
    </row>
    <row r="8" spans="1:18">
      <c r="A8" s="6" t="s">
        <v>51</v>
      </c>
      <c r="B8" s="37">
        <f t="shared" si="0"/>
        <v>4858.8811599999999</v>
      </c>
      <c r="C8" s="33"/>
      <c r="D8" s="37">
        <f>IF(ISERROR(TER_handel_gas_kWh/1000),0,TER_handel_gas_kWh/1000)*0.903</f>
        <v>2513.55671175</v>
      </c>
      <c r="E8" s="33">
        <f>$C$28*'E Balans VL '!I13/100/3.6*1000000</f>
        <v>38.840023373533327</v>
      </c>
      <c r="F8" s="33">
        <f>$C$28*('E Balans VL '!L13+'E Balans VL '!N13)/100/3.6*1000000</f>
        <v>482.69963867842955</v>
      </c>
      <c r="G8" s="34"/>
      <c r="H8" s="33"/>
      <c r="I8" s="33"/>
      <c r="J8" s="33">
        <f>$C$28*('E Balans VL '!D13+'E Balans VL '!E13)/100/3.6*1000000</f>
        <v>0</v>
      </c>
      <c r="K8" s="33"/>
      <c r="L8" s="33"/>
      <c r="M8" s="33"/>
      <c r="N8" s="33">
        <f>$C$28*'E Balans VL '!Y13/100/3.6*1000000</f>
        <v>1.8150813331181281</v>
      </c>
      <c r="O8" s="33"/>
      <c r="P8" s="33"/>
      <c r="R8" s="32"/>
    </row>
    <row r="9" spans="1:18">
      <c r="A9" s="32" t="s">
        <v>50</v>
      </c>
      <c r="B9" s="37">
        <f t="shared" si="0"/>
        <v>634.35790199999997</v>
      </c>
      <c r="C9" s="33"/>
      <c r="D9" s="37">
        <f>IF(ISERROR(TER_gezond_gas_kWh/1000),0,TER_gezond_gas_kWh/1000)*0.903</f>
        <v>1929.937881459</v>
      </c>
      <c r="E9" s="33">
        <f>$C$29*'E Balans VL '!I10/100/3.6*1000000</f>
        <v>0</v>
      </c>
      <c r="F9" s="33">
        <f>$C$29*('E Balans VL '!L10+'E Balans VL '!N10)/100/3.6*1000000</f>
        <v>57.832060071240846</v>
      </c>
      <c r="G9" s="34"/>
      <c r="H9" s="33"/>
      <c r="I9" s="33"/>
      <c r="J9" s="33">
        <f>$C$29*('E Balans VL '!D10+'E Balans VL '!E10)/100/3.6*1000000</f>
        <v>0</v>
      </c>
      <c r="K9" s="33"/>
      <c r="L9" s="33"/>
      <c r="M9" s="33"/>
      <c r="N9" s="33">
        <f>$C$29*'E Balans VL '!Y10/100/3.6*1000000</f>
        <v>4.6365877774147961</v>
      </c>
      <c r="O9" s="33"/>
      <c r="P9" s="33"/>
      <c r="R9" s="32"/>
    </row>
    <row r="10" spans="1:18">
      <c r="A10" s="32" t="s">
        <v>49</v>
      </c>
      <c r="B10" s="37">
        <f t="shared" si="0"/>
        <v>2423.516247</v>
      </c>
      <c r="C10" s="33"/>
      <c r="D10" s="37">
        <f>IF(ISERROR(TER_ander_gas_kWh/1000),0,TER_ander_gas_kWh/1000)*0.903</f>
        <v>4057.5333679020005</v>
      </c>
      <c r="E10" s="33">
        <f>$C$30*'E Balans VL '!I14/100/3.6*1000000</f>
        <v>31.419688766884786</v>
      </c>
      <c r="F10" s="33">
        <f>$C$30*('E Balans VL '!L14+'E Balans VL '!N14)/100/3.6*1000000</f>
        <v>2222.7046666408214</v>
      </c>
      <c r="G10" s="34"/>
      <c r="H10" s="33"/>
      <c r="I10" s="33"/>
      <c r="J10" s="33">
        <f>$C$30*('E Balans VL '!D14+'E Balans VL '!E14)/100/3.6*1000000</f>
        <v>2.451186045204682E-2</v>
      </c>
      <c r="K10" s="33"/>
      <c r="L10" s="33"/>
      <c r="M10" s="33"/>
      <c r="N10" s="33">
        <f>$C$30*'E Balans VL '!Y14/100/3.6*1000000</f>
        <v>926.86055764257094</v>
      </c>
      <c r="O10" s="33"/>
      <c r="P10" s="33"/>
      <c r="R10" s="32"/>
    </row>
    <row r="11" spans="1:18">
      <c r="A11" s="32" t="s">
        <v>54</v>
      </c>
      <c r="B11" s="37">
        <f t="shared" si="0"/>
        <v>195.98827199999999</v>
      </c>
      <c r="C11" s="33"/>
      <c r="D11" s="37">
        <f>IF(ISERROR(TER_onderwijs_gas_kWh/1000),0,TER_onderwijs_gas_kWh/1000)*0.903</f>
        <v>1053.9762596579999</v>
      </c>
      <c r="E11" s="33">
        <f>$C$31*'E Balans VL '!I11/100/3.6*1000000</f>
        <v>0</v>
      </c>
      <c r="F11" s="33">
        <f>$C$31*('E Balans VL '!L11+'E Balans VL '!N11)/100/3.6*1000000</f>
        <v>7.6793434178696511</v>
      </c>
      <c r="G11" s="34"/>
      <c r="H11" s="33"/>
      <c r="I11" s="33"/>
      <c r="J11" s="33">
        <f>$C$31*('E Balans VL '!D11+'E Balans VL '!E11)/100/3.6*1000000</f>
        <v>0</v>
      </c>
      <c r="K11" s="33"/>
      <c r="L11" s="33"/>
      <c r="M11" s="33"/>
      <c r="N11" s="33">
        <f>$C$31*'E Balans VL '!Y11/100/3.6*1000000</f>
        <v>0.61721549190430358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8.5</v>
      </c>
      <c r="C13" s="242">
        <f ca="1">'lokale energieproductie'!O38+'lokale energieproductie'!O31</f>
        <v>12.175675675675675</v>
      </c>
      <c r="D13" s="302">
        <f ca="1">('lokale energieproductie'!P31+'lokale energieproductie'!P38)*(-1)</f>
        <v>-22.972972972972972</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14966.539931999998</v>
      </c>
      <c r="C16" s="21">
        <f t="shared" ca="1" si="1"/>
        <v>12.175675675675675</v>
      </c>
      <c r="D16" s="21">
        <f t="shared" ca="1" si="1"/>
        <v>17227.886285506025</v>
      </c>
      <c r="E16" s="21">
        <f t="shared" si="1"/>
        <v>71.4951079215909</v>
      </c>
      <c r="F16" s="21">
        <f t="shared" ca="1" si="1"/>
        <v>3412.503585162382</v>
      </c>
      <c r="G16" s="21">
        <f t="shared" si="1"/>
        <v>0</v>
      </c>
      <c r="H16" s="21">
        <f t="shared" si="1"/>
        <v>0</v>
      </c>
      <c r="I16" s="21">
        <f t="shared" si="1"/>
        <v>0</v>
      </c>
      <c r="J16" s="21">
        <f t="shared" si="1"/>
        <v>2.451186045204682E-2</v>
      </c>
      <c r="K16" s="21">
        <f t="shared" si="1"/>
        <v>0</v>
      </c>
      <c r="L16" s="21">
        <f t="shared" ca="1" si="1"/>
        <v>0</v>
      </c>
      <c r="M16" s="21">
        <f t="shared" si="1"/>
        <v>0</v>
      </c>
      <c r="N16" s="21">
        <f t="shared" ca="1" si="1"/>
        <v>952.82769963375722</v>
      </c>
      <c r="O16" s="21">
        <f>O5</f>
        <v>0</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0.19997200782993513</v>
      </c>
      <c r="C18" s="25">
        <f ca="1">'EF ele_warmte'!B22</f>
        <v>0.22444444444444442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2992.8890404689405</v>
      </c>
      <c r="C20" s="23">
        <f t="shared" ref="C20:P20" ca="1" si="2">C16*C18</f>
        <v>2.7327627627627624</v>
      </c>
      <c r="D20" s="23">
        <f t="shared" ca="1" si="2"/>
        <v>3480.0330296722173</v>
      </c>
      <c r="E20" s="23">
        <f t="shared" si="2"/>
        <v>16.229389498201137</v>
      </c>
      <c r="F20" s="23">
        <f t="shared" ca="1" si="2"/>
        <v>911.13845723835607</v>
      </c>
      <c r="G20" s="23">
        <f t="shared" si="2"/>
        <v>0</v>
      </c>
      <c r="H20" s="23">
        <f t="shared" si="2"/>
        <v>0</v>
      </c>
      <c r="I20" s="23">
        <f t="shared" si="2"/>
        <v>0</v>
      </c>
      <c r="J20" s="23">
        <f t="shared" si="2"/>
        <v>8.677198600024574E-3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5185.1944349999994</v>
      </c>
      <c r="C26" s="39">
        <f>IF(ISERROR(B26*3.6/1000000/'E Balans VL '!Z12*100),0,B26*3.6/1000000/'E Balans VL '!Z12*100)</f>
        <v>0.14881544601205154</v>
      </c>
      <c r="D26" s="232" t="s">
        <v>802</v>
      </c>
      <c r="F26" s="6"/>
    </row>
    <row r="27" spans="1:18" ht="30">
      <c r="A27" s="227" t="s">
        <v>52</v>
      </c>
      <c r="B27" s="33">
        <f>IF(ISERROR(TER_horeca_ele_kWh/1000),0,TER_horeca_ele_kWh/1000)</f>
        <v>1660.1019160000001</v>
      </c>
      <c r="C27" s="39">
        <f>IF(ISERROR(B27*3.6/1000000/'E Balans VL '!Z9*100),0,B27*3.6/1000000/'E Balans VL '!Z9*100)</f>
        <v>0.12161965410127157</v>
      </c>
      <c r="D27" s="232" t="s">
        <v>802</v>
      </c>
      <c r="F27" s="6"/>
    </row>
    <row r="28" spans="1:18" ht="30">
      <c r="A28" s="167" t="s">
        <v>51</v>
      </c>
      <c r="B28" s="33">
        <f>IF(ISERROR(TER_handel_ele_kWh/1000),0,TER_handel_ele_kWh/1000)</f>
        <v>4858.8811599999999</v>
      </c>
      <c r="C28" s="39">
        <f>IF(ISERROR(B28*3.6/1000000/'E Balans VL '!Z13*100),0,B28*3.6/1000000/'E Balans VL '!Z13*100)</f>
        <v>0.15014352607380926</v>
      </c>
      <c r="D28" s="232" t="s">
        <v>802</v>
      </c>
      <c r="F28" s="6"/>
    </row>
    <row r="29" spans="1:18" ht="30">
      <c r="A29" s="227" t="s">
        <v>50</v>
      </c>
      <c r="B29" s="33">
        <f>IF(ISERROR(TER_gezond_ele_kWh/1000),0,TER_gezond_ele_kWh/1000)</f>
        <v>634.35790199999997</v>
      </c>
      <c r="C29" s="39">
        <f>IF(ISERROR(B29*3.6/1000000/'E Balans VL '!Z10*100),0,B29*3.6/1000000/'E Balans VL '!Z10*100)</f>
        <v>6.2170975034192499E-2</v>
      </c>
      <c r="D29" s="232" t="s">
        <v>802</v>
      </c>
      <c r="F29" s="6"/>
    </row>
    <row r="30" spans="1:18" ht="30">
      <c r="A30" s="227" t="s">
        <v>49</v>
      </c>
      <c r="B30" s="33">
        <f>IF(ISERROR(TER_ander_ele_kWh/1000),0,TER_ander_ele_kWh/1000)</f>
        <v>2423.516247</v>
      </c>
      <c r="C30" s="39">
        <f>IF(ISERROR(B30*3.6/1000000/'E Balans VL '!Z14*100),0,B30*3.6/1000000/'E Balans VL '!Z14*100)</f>
        <v>0.10038987215855351</v>
      </c>
      <c r="D30" s="232" t="s">
        <v>802</v>
      </c>
      <c r="F30" s="6"/>
    </row>
    <row r="31" spans="1:18" ht="30">
      <c r="A31" s="227" t="s">
        <v>54</v>
      </c>
      <c r="B31" s="33">
        <f>IF(ISERROR(TER_onderwijs_ele_kWh/1000),0,TER_onderwijs_ele_kWh/1000)</f>
        <v>195.98827199999999</v>
      </c>
      <c r="C31" s="39">
        <f>IF(ISERROR(B31*3.6/1000000/'E Balans VL '!Z11*100),0,B31*3.6/1000000/'E Balans VL '!Z11*100)</f>
        <v>6.0221237428625195E-2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2</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28242.117824999998</v>
      </c>
      <c r="C5" s="17">
        <f>IF(ISERROR('Eigen informatie GS &amp; warmtenet'!B61),0,'Eigen informatie GS &amp; warmtenet'!B61)</f>
        <v>0</v>
      </c>
      <c r="D5" s="30">
        <f>SUM(D6:D15)</f>
        <v>18793.512721641</v>
      </c>
      <c r="E5" s="17">
        <f>SUM(E6:E15)</f>
        <v>118.94327230796527</v>
      </c>
      <c r="F5" s="17">
        <f>SUM(F6:F15)</f>
        <v>6281.9406129704712</v>
      </c>
      <c r="G5" s="18"/>
      <c r="H5" s="17"/>
      <c r="I5" s="17"/>
      <c r="J5" s="17">
        <f>SUM(J6:J15)</f>
        <v>14.767405721626293</v>
      </c>
      <c r="K5" s="17"/>
      <c r="L5" s="17"/>
      <c r="M5" s="17"/>
      <c r="N5" s="17">
        <f>SUM(N6:N15)</f>
        <v>945.03749579953603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9517.1156789999986</v>
      </c>
      <c r="C8" s="33"/>
      <c r="D8" s="37">
        <f>IF( ISERROR(IND_metaal_Gas_kWH/1000),0,IND_metaal_Gas_kWH/1000)*0.903</f>
        <v>5577.3066784679995</v>
      </c>
      <c r="E8" s="33">
        <f>C30*'E Balans VL '!I18/100/3.6*1000000</f>
        <v>51.879281831531223</v>
      </c>
      <c r="F8" s="33">
        <f>C30*'E Balans VL '!L18/100/3.6*1000000+C30*'E Balans VL '!N18/100/3.6*1000000</f>
        <v>612.90297667060634</v>
      </c>
      <c r="G8" s="34"/>
      <c r="H8" s="33"/>
      <c r="I8" s="33"/>
      <c r="J8" s="40">
        <f>C30*'E Balans VL '!D18/100/3.6*1000000+C30*'E Balans VL '!E18/100/3.6*1000000</f>
        <v>7.7956786237203923</v>
      </c>
      <c r="K8" s="33"/>
      <c r="L8" s="33"/>
      <c r="M8" s="33"/>
      <c r="N8" s="33">
        <f>C30*'E Balans VL '!Y18/100/3.6*1000000</f>
        <v>204.08911078917896</v>
      </c>
      <c r="O8" s="33"/>
      <c r="P8" s="33"/>
      <c r="R8" s="32"/>
    </row>
    <row r="9" spans="1:18">
      <c r="A9" s="6" t="s">
        <v>32</v>
      </c>
      <c r="B9" s="37">
        <f t="shared" si="0"/>
        <v>8354.9116030000005</v>
      </c>
      <c r="C9" s="33"/>
      <c r="D9" s="37">
        <f>IF( ISERROR(IND_andere_gas_kWh/1000),0,IND_andere_gas_kWh/1000)*0.903</f>
        <v>2032.3054262699998</v>
      </c>
      <c r="E9" s="33">
        <f>C31*'E Balans VL '!I19/100/3.6*1000000</f>
        <v>26.971077500572299</v>
      </c>
      <c r="F9" s="33">
        <f>C31*'E Balans VL '!L19/100/3.6*1000000+C31*'E Balans VL '!N19/100/3.6*1000000</f>
        <v>5402.3514290690318</v>
      </c>
      <c r="G9" s="34"/>
      <c r="H9" s="33"/>
      <c r="I9" s="33"/>
      <c r="J9" s="40">
        <f>C31*'E Balans VL '!D19/100/3.6*1000000+C31*'E Balans VL '!E19/100/3.6*1000000</f>
        <v>0</v>
      </c>
      <c r="K9" s="33"/>
      <c r="L9" s="33"/>
      <c r="M9" s="33"/>
      <c r="N9" s="33">
        <f>C31*'E Balans VL '!Y19/100/3.6*1000000</f>
        <v>339.24477933884094</v>
      </c>
      <c r="O9" s="33"/>
      <c r="P9" s="33"/>
      <c r="R9" s="32"/>
    </row>
    <row r="10" spans="1:18">
      <c r="A10" s="6" t="s">
        <v>40</v>
      </c>
      <c r="B10" s="37">
        <f t="shared" si="0"/>
        <v>9095.788348</v>
      </c>
      <c r="C10" s="33"/>
      <c r="D10" s="37">
        <f>IF( ISERROR(IND_voed_gas_kWh/1000),0,IND_voed_gas_kWh/1000)*0.903</f>
        <v>9872.6620032390019</v>
      </c>
      <c r="E10" s="33">
        <f>C32*'E Balans VL '!I20/100/3.6*1000000</f>
        <v>19.177774676712954</v>
      </c>
      <c r="F10" s="33">
        <f>C32*'E Balans VL '!L20/100/3.6*1000000+C32*'E Balans VL '!N20/100/3.6*1000000</f>
        <v>193.42154155039327</v>
      </c>
      <c r="G10" s="34"/>
      <c r="H10" s="33"/>
      <c r="I10" s="33"/>
      <c r="J10" s="40">
        <f>C32*'E Balans VL '!D20/100/3.6*1000000+C32*'E Balans VL '!E20/100/3.6*1000000</f>
        <v>0</v>
      </c>
      <c r="K10" s="33"/>
      <c r="L10" s="33"/>
      <c r="M10" s="33"/>
      <c r="N10" s="33">
        <f>C32*'E Balans VL '!Y20/100/3.6*1000000</f>
        <v>361.80524326235525</v>
      </c>
      <c r="O10" s="33"/>
      <c r="P10" s="33"/>
      <c r="R10" s="32"/>
    </row>
    <row r="11" spans="1:18">
      <c r="A11" s="6" t="s">
        <v>39</v>
      </c>
      <c r="B11" s="37">
        <f t="shared" si="0"/>
        <v>159.328397</v>
      </c>
      <c r="C11" s="33"/>
      <c r="D11" s="37">
        <f>IF( ISERROR(IND_textiel_gas_kWh/1000),0,IND_textiel_gas_kWh/1000)*0.903</f>
        <v>358.61034138299999</v>
      </c>
      <c r="E11" s="33">
        <f>C33*'E Balans VL '!I21/100/3.6*1000000</f>
        <v>0.13690610205485002</v>
      </c>
      <c r="F11" s="33">
        <f>C33*'E Balans VL '!L21/100/3.6*1000000+C33*'E Balans VL '!N21/100/3.6*1000000</f>
        <v>3.340485207203634</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143.69091399999999</v>
      </c>
      <c r="C12" s="33"/>
      <c r="D12" s="37">
        <f>IF( ISERROR(IND_min_gas_kWh/1000),0,IND_min_gas_kWh/1000)*0.903</f>
        <v>248.44454726700005</v>
      </c>
      <c r="E12" s="33">
        <f>C34*'E Balans VL '!I22/100/3.6*1000000</f>
        <v>2.3515102690216652</v>
      </c>
      <c r="F12" s="33">
        <f>C34*'E Balans VL '!L22/100/3.6*1000000+C34*'E Balans VL '!N22/100/3.6*1000000</f>
        <v>21.932166131599292</v>
      </c>
      <c r="G12" s="34"/>
      <c r="H12" s="33"/>
      <c r="I12" s="33"/>
      <c r="J12" s="40">
        <f>C34*'E Balans VL '!D22/100/3.6*1000000+C34*'E Balans VL '!E22/100/3.6*1000000</f>
        <v>5.1422043272788844</v>
      </c>
      <c r="K12" s="33"/>
      <c r="L12" s="33"/>
      <c r="M12" s="33"/>
      <c r="N12" s="33">
        <f>C34*'E Balans VL '!Y22/100/3.6*1000000</f>
        <v>78.745670548342432</v>
      </c>
      <c r="O12" s="33"/>
      <c r="P12" s="33"/>
      <c r="R12" s="32"/>
    </row>
    <row r="13" spans="1:18">
      <c r="A13" s="6" t="s">
        <v>38</v>
      </c>
      <c r="B13" s="37">
        <f t="shared" si="0"/>
        <v>658.307503</v>
      </c>
      <c r="C13" s="33"/>
      <c r="D13" s="37">
        <f>IF( ISERROR(IND_papier_gas_kWh/1000),0,IND_papier_gas_kWh/1000)*0.903</f>
        <v>73.872121931999999</v>
      </c>
      <c r="E13" s="33">
        <f>C35*'E Balans VL '!I23/100/3.6*1000000</f>
        <v>0</v>
      </c>
      <c r="F13" s="33">
        <f>C35*'E Balans VL '!L23/100/3.6*1000000+C35*'E Balans VL '!N23/100/3.6*1000000</f>
        <v>8.8182365449979011E-2</v>
      </c>
      <c r="G13" s="34"/>
      <c r="H13" s="33"/>
      <c r="I13" s="33"/>
      <c r="J13" s="40">
        <f>C35*'E Balans VL '!D23/100/3.6*1000000+C35*'E Balans VL '!E23/100/3.6*1000000</f>
        <v>0.1302173661448672</v>
      </c>
      <c r="K13" s="33"/>
      <c r="L13" s="33"/>
      <c r="M13" s="33"/>
      <c r="N13" s="33">
        <f>C35*'E Balans VL '!Y23/100/3.6*1000000</f>
        <v>-48.740884445531698</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312.97538099999997</v>
      </c>
      <c r="C15" s="33"/>
      <c r="D15" s="37">
        <f>IF( ISERROR(IND_rest_gas_kWh/1000),0,IND_rest_gas_kWh/1000)*0.903</f>
        <v>630.31160308199992</v>
      </c>
      <c r="E15" s="33">
        <f>C37*'E Balans VL '!I15/100/3.6*1000000</f>
        <v>18.426721928072286</v>
      </c>
      <c r="F15" s="33">
        <f>C37*'E Balans VL '!L15/100/3.6*1000000+C37*'E Balans VL '!N15/100/3.6*1000000</f>
        <v>47.90383197618717</v>
      </c>
      <c r="G15" s="34"/>
      <c r="H15" s="33"/>
      <c r="I15" s="33"/>
      <c r="J15" s="40">
        <f>C37*'E Balans VL '!D15/100/3.6*1000000+C37*'E Balans VL '!E15/100/3.6*1000000</f>
        <v>1.6993054044821472</v>
      </c>
      <c r="K15" s="33"/>
      <c r="L15" s="33"/>
      <c r="M15" s="33"/>
      <c r="N15" s="33">
        <f>C37*'E Balans VL '!Y15/100/3.6*1000000</f>
        <v>9.8935763063501714</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28242.117824999998</v>
      </c>
      <c r="C18" s="21">
        <f>C5+C16</f>
        <v>0</v>
      </c>
      <c r="D18" s="21">
        <f>MAX((D5+D16),0)</f>
        <v>18793.512721641</v>
      </c>
      <c r="E18" s="21">
        <f>MAX((E5+E16),0)</f>
        <v>118.94327230796527</v>
      </c>
      <c r="F18" s="21">
        <f>MAX((F5+F16),0)</f>
        <v>6281.9406129704712</v>
      </c>
      <c r="G18" s="21"/>
      <c r="H18" s="21"/>
      <c r="I18" s="21"/>
      <c r="J18" s="21">
        <f>MAX((J5+J16),0)</f>
        <v>14.767405721626293</v>
      </c>
      <c r="K18" s="21"/>
      <c r="L18" s="21">
        <f>MAX((L5+L16),0)</f>
        <v>0</v>
      </c>
      <c r="M18" s="21"/>
      <c r="N18" s="21">
        <f>MAX((N5+N16),0)</f>
        <v>945.03749579953603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0.19997200782993513</v>
      </c>
      <c r="C20" s="25">
        <f ca="1">'EF ele_warmte'!B22</f>
        <v>0.22444444444444442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5647.6330068348498</v>
      </c>
      <c r="C22" s="23">
        <f ca="1">C18*C20</f>
        <v>0</v>
      </c>
      <c r="D22" s="23">
        <f>D18*D20</f>
        <v>3796.2895697714821</v>
      </c>
      <c r="E22" s="23">
        <f>E18*E20</f>
        <v>27.000122813908117</v>
      </c>
      <c r="F22" s="23">
        <f>F18*F20</f>
        <v>1677.278143663116</v>
      </c>
      <c r="G22" s="23"/>
      <c r="H22" s="23"/>
      <c r="I22" s="23"/>
      <c r="J22" s="23">
        <f>J18*J20</f>
        <v>5.2276616254557071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9517.1156789999986</v>
      </c>
      <c r="C30" s="39">
        <f>IF(ISERROR(B30*3.6/1000000/'E Balans VL '!Z18*100),0,B30*3.6/1000000/'E Balans VL '!Z18*100)</f>
        <v>0.57309460987121708</v>
      </c>
      <c r="D30" s="232" t="s">
        <v>802</v>
      </c>
    </row>
    <row r="31" spans="1:18" ht="30">
      <c r="A31" s="6" t="s">
        <v>32</v>
      </c>
      <c r="B31" s="37">
        <f>IF( ISERROR(IND_ander_ele_kWh/1000),0,IND_ander_ele_kWh/1000)</f>
        <v>8354.9116030000005</v>
      </c>
      <c r="C31" s="39">
        <f>IF(ISERROR(B31*3.6/1000000/'E Balans VL '!Z19*100),0,B31*3.6/1000000/'E Balans VL '!Z19*100)</f>
        <v>0.34039639536375965</v>
      </c>
      <c r="D31" s="232" t="s">
        <v>802</v>
      </c>
    </row>
    <row r="32" spans="1:18" ht="30">
      <c r="A32" s="167" t="s">
        <v>40</v>
      </c>
      <c r="B32" s="37">
        <f>IF( ISERROR(IND_voed_ele_kWh/1000),0,IND_voed_ele_kWh/1000)</f>
        <v>9095.788348</v>
      </c>
      <c r="C32" s="39">
        <f>IF(ISERROR(B32*3.6/1000000/'E Balans VL '!Z20*100),0,B32*3.6/1000000/'E Balans VL '!Z20*100)</f>
        <v>0.26299584532815878</v>
      </c>
      <c r="D32" s="232" t="s">
        <v>802</v>
      </c>
    </row>
    <row r="33" spans="1:5" ht="30">
      <c r="A33" s="167" t="s">
        <v>39</v>
      </c>
      <c r="B33" s="37">
        <f>IF( ISERROR(IND_textiel_ele_kWh/1000),0,IND_textiel_ele_kWh/1000)</f>
        <v>159.328397</v>
      </c>
      <c r="C33" s="39">
        <f>IF(ISERROR(B33*3.6/1000000/'E Balans VL '!Z21*100),0,B33*3.6/1000000/'E Balans VL '!Z21*100)</f>
        <v>2.6202124795186601E-2</v>
      </c>
      <c r="D33" s="232" t="s">
        <v>802</v>
      </c>
    </row>
    <row r="34" spans="1:5" ht="30">
      <c r="A34" s="167" t="s">
        <v>36</v>
      </c>
      <c r="B34" s="37">
        <f>IF( ISERROR(IND_min_ele_kWh/1000),0,IND_min_ele_kWh/1000)</f>
        <v>143.69091399999999</v>
      </c>
      <c r="C34" s="39">
        <f>IF(ISERROR(B34*3.6/1000000/'E Balans VL '!Z22*100),0,B34*3.6/1000000/'E Balans VL '!Z22*100)</f>
        <v>6.135468506629977E-2</v>
      </c>
      <c r="D34" s="232" t="s">
        <v>802</v>
      </c>
    </row>
    <row r="35" spans="1:5" ht="30">
      <c r="A35" s="167" t="s">
        <v>38</v>
      </c>
      <c r="B35" s="37">
        <f>IF( ISERROR(IND_papier_ele_kWh/1000),0,IND_papier_ele_kWh/1000)</f>
        <v>658.307503</v>
      </c>
      <c r="C35" s="39">
        <f>IF(ISERROR(B35*3.6/1000000/'E Balans VL '!Z22*100),0,B35*3.6/1000000/'E Balans VL '!Z22*100)</f>
        <v>0.28109118662400034</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312.97538099999997</v>
      </c>
      <c r="C37" s="39">
        <f>IF(ISERROR(B37*3.6/1000000/'E Balans VL '!Z15*100),0,B37*3.6/1000000/'E Balans VL '!Z15*100)</f>
        <v>2.5697649323148295E-3</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1984.511199</v>
      </c>
      <c r="C5" s="17">
        <f>'Eigen informatie GS &amp; warmtenet'!B62</f>
        <v>0</v>
      </c>
      <c r="D5" s="30">
        <f>IF(ISERROR(SUM(LB_lb_gas_kWh,LB_rest_gas_kWh)/1000),0,SUM(LB_lb_gas_kWh,LB_rest_gas_kWh)/1000)*0.903</f>
        <v>1845.1878278190002</v>
      </c>
      <c r="E5" s="17">
        <f>B17*'E Balans VL '!I25/3.6*1000000/100</f>
        <v>70.704153647698661</v>
      </c>
      <c r="F5" s="17">
        <f>B17*('E Balans VL '!L25/3.6*1000000+'E Balans VL '!N25/3.6*1000000)/100</f>
        <v>6762.8405131622021</v>
      </c>
      <c r="G5" s="18"/>
      <c r="H5" s="17"/>
      <c r="I5" s="17"/>
      <c r="J5" s="17">
        <f>('E Balans VL '!D25+'E Balans VL '!E25)/3.6*1000000*landbouw!B17/100</f>
        <v>504.59887950710674</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1984.511199</v>
      </c>
      <c r="C8" s="21">
        <f>C5+C6</f>
        <v>0</v>
      </c>
      <c r="D8" s="21">
        <f>MAX((D5+D6),0)</f>
        <v>1845.1878278190002</v>
      </c>
      <c r="E8" s="21">
        <f>MAX((E5+E6),0)</f>
        <v>70.704153647698661</v>
      </c>
      <c r="F8" s="21">
        <f>MAX((F5+F6),0)</f>
        <v>6762.8405131622021</v>
      </c>
      <c r="G8" s="21"/>
      <c r="H8" s="21"/>
      <c r="I8" s="21"/>
      <c r="J8" s="21">
        <f>MAX((J5+J6),0)</f>
        <v>504.59887950710674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0.19997200782993513</v>
      </c>
      <c r="C10" s="31">
        <f ca="1">'EF ele_warmte'!B22</f>
        <v>0.22444444444444442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396.84668902502193</v>
      </c>
      <c r="C12" s="23">
        <f ca="1">C8*C10</f>
        <v>0</v>
      </c>
      <c r="D12" s="23">
        <f>D8*D10</f>
        <v>372.72794121943804</v>
      </c>
      <c r="E12" s="23">
        <f>E8*E10</f>
        <v>16.049842878027597</v>
      </c>
      <c r="F12" s="23">
        <f>F8*F10</f>
        <v>1805.678417014308</v>
      </c>
      <c r="G12" s="23"/>
      <c r="H12" s="23"/>
      <c r="I12" s="23"/>
      <c r="J12" s="23">
        <f>J8*J10</f>
        <v>178.62800334551576</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0.27480978143318124</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254.32271521766418</v>
      </c>
      <c r="C26" s="242">
        <f>B26*'GWP N2O_CH4'!B5</f>
        <v>5340.7770195709481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136.54571553620653</v>
      </c>
      <c r="C27" s="242">
        <f>B27*'GWP N2O_CH4'!B5</f>
        <v>2867.4600262603371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3.5142409732286701</v>
      </c>
      <c r="C28" s="242">
        <f>B28*'GWP N2O_CH4'!B4</f>
        <v>1089.4147017008877</v>
      </c>
      <c r="D28" s="50"/>
    </row>
    <row r="29" spans="1:4">
      <c r="A29" s="41" t="s">
        <v>266</v>
      </c>
      <c r="B29" s="242">
        <f>B34*'ha_N2O bodem landbouw'!B4</f>
        <v>12.011802043217196</v>
      </c>
      <c r="C29" s="242">
        <f>B29*'GWP N2O_CH4'!B4</f>
        <v>3723.658633397331</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2.7288664456621959E-3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4.7983567303159504E-4</v>
      </c>
      <c r="C5" s="430" t="s">
        <v>204</v>
      </c>
      <c r="D5" s="415">
        <f>SUM(D6:D11)</f>
        <v>7.6639273672446449E-4</v>
      </c>
      <c r="E5" s="415">
        <f>SUM(E6:E11)</f>
        <v>2.9498366600650647E-4</v>
      </c>
      <c r="F5" s="428" t="s">
        <v>204</v>
      </c>
      <c r="G5" s="415">
        <f>SUM(G6:G11)</f>
        <v>0.12746499253082258</v>
      </c>
      <c r="H5" s="415">
        <f>SUM(H6:H11)</f>
        <v>4.0583845927745194E-2</v>
      </c>
      <c r="I5" s="430" t="s">
        <v>204</v>
      </c>
      <c r="J5" s="430" t="s">
        <v>204</v>
      </c>
      <c r="K5" s="430" t="s">
        <v>204</v>
      </c>
      <c r="L5" s="430" t="s">
        <v>204</v>
      </c>
      <c r="M5" s="415">
        <f>SUM(M6:M11)</f>
        <v>1.0195873290850749E-2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3.1626461743140881E-4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4.5917453534654375E-4</v>
      </c>
      <c r="E6" s="845">
        <f>vkm_GW_PW*SUMIFS(TableVerdeelsleutelVkm[LPG],TableVerdeelsleutelVkm[Voertuigtype],"Lichte voertuigen")*SUMIFS(TableECFTransport[EnergieConsumptieFactor (PJ per km)],TableECFTransport[Index],CONCATENATE($A6,"_LPG_LPG"))</f>
        <v>1.7998272685831247E-4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5.535995876109126E-2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2.4439857503705795E-2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4.911264121943806E-3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7.9171052707746163E-7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3.1531339070477872E-2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2.6605746284746922E-7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1.8104785333452084E-3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1.6262250596685317E-4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3.0721820137792068E-4</v>
      </c>
      <c r="E8" s="418">
        <f>vkm_NGW_PW*SUMIFS(TableVerdeelsleutelVkm[LPG],TableVerdeelsleutelVkm[Voertuigtype],"Lichte voertuigen")*SUMIFS(TableECFTransport[EnergieConsumptieFactor (PJ per km)],TableECFTransport[Index],CONCATENATE($A8,"_LPG_LPG"))</f>
        <v>1.15000939148194E-4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3.2529763235498402E-2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1.6143658748603077E-2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3.0122613919732191E-3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1.5683910625557534E-7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8.0439314637550541E-3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6.3617973474290873E-8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4.6186924358851541E-4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133.28768695322086</v>
      </c>
      <c r="C14" s="21"/>
      <c r="D14" s="21">
        <f t="shared" ref="D14:M14" si="0">((D5)*10^9/3600)+D12</f>
        <v>212.88687131235125</v>
      </c>
      <c r="E14" s="21">
        <f t="shared" si="0"/>
        <v>81.939907224029582</v>
      </c>
      <c r="F14" s="21"/>
      <c r="G14" s="21">
        <f t="shared" si="0"/>
        <v>35406.942369672935</v>
      </c>
      <c r="H14" s="21">
        <f t="shared" si="0"/>
        <v>11273.290535484775</v>
      </c>
      <c r="I14" s="21"/>
      <c r="J14" s="21"/>
      <c r="K14" s="21"/>
      <c r="L14" s="21"/>
      <c r="M14" s="21">
        <f t="shared" si="0"/>
        <v>2832.1870252363192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0.19997200782993513</v>
      </c>
      <c r="C16" s="56">
        <f ca="1">'EF ele_warmte'!B22</f>
        <v>0.22444444444444442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26.653806379043424</v>
      </c>
      <c r="C18" s="23"/>
      <c r="D18" s="23">
        <f t="shared" ref="D18:M18" si="1">D14*D16</f>
        <v>43.003148005094957</v>
      </c>
      <c r="E18" s="23">
        <f t="shared" si="1"/>
        <v>18.600358939854715</v>
      </c>
      <c r="F18" s="23"/>
      <c r="G18" s="23">
        <f t="shared" si="1"/>
        <v>9453.6536127026739</v>
      </c>
      <c r="H18" s="23">
        <f t="shared" si="1"/>
        <v>2807.0493433357092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4.5640246979841896E-5</v>
      </c>
      <c r="C50" s="313">
        <f t="shared" ref="C50:P50" si="2">SUM(C51:C52)</f>
        <v>0</v>
      </c>
      <c r="D50" s="313">
        <f t="shared" si="2"/>
        <v>0</v>
      </c>
      <c r="E50" s="313">
        <f t="shared" si="2"/>
        <v>0</v>
      </c>
      <c r="F50" s="313">
        <f t="shared" si="2"/>
        <v>0</v>
      </c>
      <c r="G50" s="313">
        <f t="shared" si="2"/>
        <v>2.8572174859329861E-3</v>
      </c>
      <c r="H50" s="313">
        <f t="shared" si="2"/>
        <v>0</v>
      </c>
      <c r="I50" s="313">
        <f t="shared" si="2"/>
        <v>0</v>
      </c>
      <c r="J50" s="313">
        <f t="shared" si="2"/>
        <v>0</v>
      </c>
      <c r="K50" s="313">
        <f t="shared" si="2"/>
        <v>0</v>
      </c>
      <c r="L50" s="313">
        <f t="shared" si="2"/>
        <v>0</v>
      </c>
      <c r="M50" s="313">
        <f t="shared" si="2"/>
        <v>1.64055101497474E-4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4.5640246979841896E-5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2.8572174859329861E-3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1.64055101497474E-4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12.677846383289415</v>
      </c>
      <c r="C54" s="21">
        <f t="shared" ref="C54:P54" si="3">(C50)*10^9/3600</f>
        <v>0</v>
      </c>
      <c r="D54" s="21">
        <f t="shared" si="3"/>
        <v>0</v>
      </c>
      <c r="E54" s="21">
        <f t="shared" si="3"/>
        <v>0</v>
      </c>
      <c r="F54" s="21">
        <f t="shared" si="3"/>
        <v>0</v>
      </c>
      <c r="G54" s="21">
        <f t="shared" si="3"/>
        <v>793.67152387027397</v>
      </c>
      <c r="H54" s="21">
        <f t="shared" si="3"/>
        <v>0</v>
      </c>
      <c r="I54" s="21">
        <f t="shared" si="3"/>
        <v>0</v>
      </c>
      <c r="J54" s="21">
        <f t="shared" si="3"/>
        <v>0</v>
      </c>
      <c r="K54" s="21">
        <f t="shared" si="3"/>
        <v>0</v>
      </c>
      <c r="L54" s="21">
        <f t="shared" si="3"/>
        <v>0</v>
      </c>
      <c r="M54" s="21">
        <f t="shared" si="3"/>
        <v>45.570861527076111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0.19997200782993513</v>
      </c>
      <c r="C56" s="56">
        <f ca="1">'EF ele_warmte'!B22</f>
        <v>0.22444444444444442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2.5352143962258658</v>
      </c>
      <c r="C58" s="23">
        <f t="shared" ref="C58:P58" ca="1" si="4">C54*C56</f>
        <v>0</v>
      </c>
      <c r="D58" s="23">
        <f t="shared" si="4"/>
        <v>0</v>
      </c>
      <c r="E58" s="23">
        <f t="shared" si="4"/>
        <v>0</v>
      </c>
      <c r="F58" s="23">
        <f t="shared" si="4"/>
        <v>0</v>
      </c>
      <c r="G58" s="23">
        <f t="shared" si="4"/>
        <v>211.91029687336317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6959.7030979519732</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8.5</v>
      </c>
      <c r="C8" s="541">
        <f>B48</f>
        <v>9.4444444444444429</v>
      </c>
      <c r="D8" s="542"/>
      <c r="E8" s="542">
        <f>E48</f>
        <v>0</v>
      </c>
      <c r="F8" s="543"/>
      <c r="G8" s="544"/>
      <c r="H8" s="542">
        <f>I48</f>
        <v>0</v>
      </c>
      <c r="I8" s="542">
        <f>G48+F48</f>
        <v>0</v>
      </c>
      <c r="J8" s="542">
        <f>H48+D48+C48</f>
        <v>0</v>
      </c>
      <c r="K8" s="542"/>
      <c r="L8" s="542"/>
      <c r="M8" s="542"/>
      <c r="N8" s="545"/>
      <c r="O8" s="546">
        <f>C8*$C$12+D8*$D$12+E8*$E$12+F8*$F$12+G8*$G$12+H8*$H$12+I8*$I$12+J8*$J$12</f>
        <v>1.9077777777777776</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6968.2030979519732</v>
      </c>
      <c r="C10" s="556">
        <f t="shared" ref="C10:L10" si="0">SUM(C8:C9)</f>
        <v>9.4444444444444429</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1.9077777777777776</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12.175675675675675</v>
      </c>
      <c r="C17" s="572">
        <f>B49</f>
        <v>13.528528528528525</v>
      </c>
      <c r="D17" s="573"/>
      <c r="E17" s="573">
        <f>E49</f>
        <v>0</v>
      </c>
      <c r="F17" s="574"/>
      <c r="G17" s="575"/>
      <c r="H17" s="572">
        <f>I49</f>
        <v>0</v>
      </c>
      <c r="I17" s="573">
        <f>G49+F49</f>
        <v>0</v>
      </c>
      <c r="J17" s="573">
        <f>H49+D49+C49</f>
        <v>0</v>
      </c>
      <c r="K17" s="573"/>
      <c r="L17" s="573"/>
      <c r="M17" s="573"/>
      <c r="N17" s="918"/>
      <c r="O17" s="576">
        <f>C17*$C$22+E17*$E$22+H17*$H$22+I17*$I$22+J17*$J$22+D17*$D$22+F17*$F$22+G17*$G$22+K17*$K$22+L17*$L$22</f>
        <v>2.7327627627627624</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12.175675675675675</v>
      </c>
      <c r="C20" s="555">
        <f>SUM(C17:C19)</f>
        <v>13.528528528528525</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2.7327627627627624</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v>72037</v>
      </c>
      <c r="C28" s="747">
        <v>3930</v>
      </c>
      <c r="D28" s="633"/>
      <c r="E28" s="632"/>
      <c r="F28" s="632"/>
      <c r="G28" s="632" t="s">
        <v>856</v>
      </c>
      <c r="H28" s="632" t="s">
        <v>857</v>
      </c>
      <c r="I28" s="632"/>
      <c r="J28" s="746"/>
      <c r="K28" s="746"/>
      <c r="L28" s="632" t="s">
        <v>858</v>
      </c>
      <c r="M28" s="632">
        <v>1.7</v>
      </c>
      <c r="N28" s="632">
        <v>8.5</v>
      </c>
      <c r="O28" s="632">
        <v>12.175675675675675</v>
      </c>
      <c r="P28" s="632">
        <v>22.972972972972972</v>
      </c>
      <c r="Q28" s="632">
        <v>0</v>
      </c>
      <c r="R28" s="632">
        <v>0</v>
      </c>
      <c r="S28" s="632">
        <v>0</v>
      </c>
      <c r="T28" s="632">
        <v>0</v>
      </c>
      <c r="U28" s="632">
        <v>0</v>
      </c>
      <c r="V28" s="632">
        <v>0</v>
      </c>
      <c r="W28" s="632">
        <v>0</v>
      </c>
      <c r="X28" s="632"/>
      <c r="Y28" s="632">
        <v>1100</v>
      </c>
      <c r="Z28" s="632" t="s">
        <v>154</v>
      </c>
      <c r="AA28" s="634" t="s">
        <v>149</v>
      </c>
    </row>
    <row r="29" spans="1:27" s="566" customFormat="1" hidden="1">
      <c r="A29" s="588" t="s">
        <v>269</v>
      </c>
      <c r="B29" s="589"/>
      <c r="C29" s="589"/>
      <c r="D29" s="589"/>
      <c r="E29" s="589"/>
      <c r="F29" s="589"/>
      <c r="G29" s="589"/>
      <c r="H29" s="589"/>
      <c r="I29" s="589"/>
      <c r="J29" s="589"/>
      <c r="K29" s="589"/>
      <c r="L29" s="590"/>
      <c r="M29" s="590">
        <f>SUM(M28:M28)</f>
        <v>1.7</v>
      </c>
      <c r="N29" s="590">
        <f>SUM(N28:N28)</f>
        <v>8.5</v>
      </c>
      <c r="O29" s="590">
        <f>SUM(O28:O28)</f>
        <v>12.175675675675675</v>
      </c>
      <c r="P29" s="590">
        <f>SUM(P28:P28)</f>
        <v>22.972972972972972</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1.7</v>
      </c>
      <c r="N31" s="590">
        <f ca="1">SUMIF($AA$28:AE28,"tertiair",N28:N28)</f>
        <v>8.5</v>
      </c>
      <c r="O31" s="590">
        <f ca="1">SUMIF($AA$28:AF28,"tertiair",O28:O28)</f>
        <v>12.175675675675675</v>
      </c>
      <c r="P31" s="590">
        <f ca="1">SUMIF($AA$28:AG28,"tertiair",P28:P28)</f>
        <v>22.972972972972972</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0.5888888888888888</v>
      </c>
      <c r="C45" s="615">
        <f>IF(ISERROR(N29/(O29+N29)),0,N29/(N29+O29))</f>
        <v>0.41111111111111109</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9.4444444444444429</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13.528528528528525</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15793.629699999998</v>
      </c>
      <c r="D10" s="643">
        <f ca="1">tertiair!C16</f>
        <v>12.175675675675675</v>
      </c>
      <c r="E10" s="643">
        <f ca="1">tertiair!D16</f>
        <v>17227.886285506025</v>
      </c>
      <c r="F10" s="643">
        <f>tertiair!E16</f>
        <v>71.4951079215909</v>
      </c>
      <c r="G10" s="643">
        <f ca="1">tertiair!F16</f>
        <v>3412.503585162382</v>
      </c>
      <c r="H10" s="643">
        <f>tertiair!G16</f>
        <v>0</v>
      </c>
      <c r="I10" s="643">
        <f>tertiair!H16</f>
        <v>0</v>
      </c>
      <c r="J10" s="643">
        <f>tertiair!I16</f>
        <v>0</v>
      </c>
      <c r="K10" s="643">
        <f>tertiair!J16</f>
        <v>2.451186045204682E-2</v>
      </c>
      <c r="L10" s="643">
        <f>tertiair!K16</f>
        <v>0</v>
      </c>
      <c r="M10" s="643">
        <f ca="1">tertiair!L16</f>
        <v>0</v>
      </c>
      <c r="N10" s="643">
        <f>tertiair!M16</f>
        <v>0</v>
      </c>
      <c r="O10" s="643">
        <f ca="1">tertiair!N16</f>
        <v>952.82769963375722</v>
      </c>
      <c r="P10" s="643">
        <f>tertiair!O16</f>
        <v>0</v>
      </c>
      <c r="Q10" s="644">
        <f>tertiair!P16</f>
        <v>105.07827661299004</v>
      </c>
      <c r="R10" s="646">
        <f ca="1">SUM(C10:Q10)</f>
        <v>37575.620842372875</v>
      </c>
      <c r="S10" s="67"/>
    </row>
    <row r="11" spans="1:19" s="441" customFormat="1">
      <c r="A11" s="763" t="s">
        <v>214</v>
      </c>
      <c r="B11" s="768"/>
      <c r="C11" s="643">
        <f>huishoudens!B8</f>
        <v>26460.330122265033</v>
      </c>
      <c r="D11" s="643">
        <f>huishoudens!C8</f>
        <v>0</v>
      </c>
      <c r="E11" s="643">
        <f>huishoudens!D8</f>
        <v>65902.802989233183</v>
      </c>
      <c r="F11" s="643">
        <f>huishoudens!E8</f>
        <v>1280.5636337735889</v>
      </c>
      <c r="G11" s="643">
        <f>huishoudens!F8</f>
        <v>23197.582912957852</v>
      </c>
      <c r="H11" s="643">
        <f>huishoudens!G8</f>
        <v>0</v>
      </c>
      <c r="I11" s="643">
        <f>huishoudens!H8</f>
        <v>0</v>
      </c>
      <c r="J11" s="643">
        <f>huishoudens!I8</f>
        <v>0</v>
      </c>
      <c r="K11" s="643">
        <f>huishoudens!J8</f>
        <v>146.73628677734951</v>
      </c>
      <c r="L11" s="643">
        <f>huishoudens!K8</f>
        <v>0</v>
      </c>
      <c r="M11" s="643">
        <f>huishoudens!L8</f>
        <v>0</v>
      </c>
      <c r="N11" s="643">
        <f>huishoudens!M8</f>
        <v>0</v>
      </c>
      <c r="O11" s="643">
        <f>huishoudens!N8</f>
        <v>7317.1221240379318</v>
      </c>
      <c r="P11" s="643">
        <f>huishoudens!O8</f>
        <v>234.10706988766975</v>
      </c>
      <c r="Q11" s="644">
        <f>huishoudens!P8</f>
        <v>610.96963984573142</v>
      </c>
      <c r="R11" s="646">
        <f>SUM(C11:Q11)</f>
        <v>125150.21477877835</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28242.117824999998</v>
      </c>
      <c r="D13" s="643">
        <f>industrie!C18</f>
        <v>0</v>
      </c>
      <c r="E13" s="643">
        <f>industrie!D18</f>
        <v>18793.512721641</v>
      </c>
      <c r="F13" s="643">
        <f>industrie!E18</f>
        <v>118.94327230796527</v>
      </c>
      <c r="G13" s="643">
        <f>industrie!F18</f>
        <v>6281.9406129704712</v>
      </c>
      <c r="H13" s="643">
        <f>industrie!G18</f>
        <v>0</v>
      </c>
      <c r="I13" s="643">
        <f>industrie!H18</f>
        <v>0</v>
      </c>
      <c r="J13" s="643">
        <f>industrie!I18</f>
        <v>0</v>
      </c>
      <c r="K13" s="643">
        <f>industrie!J18</f>
        <v>14.767405721626293</v>
      </c>
      <c r="L13" s="643">
        <f>industrie!K18</f>
        <v>0</v>
      </c>
      <c r="M13" s="643">
        <f>industrie!L18</f>
        <v>0</v>
      </c>
      <c r="N13" s="643">
        <f>industrie!M18</f>
        <v>0</v>
      </c>
      <c r="O13" s="643">
        <f>industrie!N18</f>
        <v>945.03749579953603</v>
      </c>
      <c r="P13" s="643">
        <f>industrie!O18</f>
        <v>0</v>
      </c>
      <c r="Q13" s="644">
        <f>industrie!P18</f>
        <v>0</v>
      </c>
      <c r="R13" s="646">
        <f>SUM(C13:Q13)</f>
        <v>54396.319333440602</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70496.077647265032</v>
      </c>
      <c r="D16" s="679">
        <f t="shared" ref="D16:R16" ca="1" si="0">SUM(D9:D15)</f>
        <v>12.175675675675675</v>
      </c>
      <c r="E16" s="679">
        <f t="shared" ca="1" si="0"/>
        <v>101924.20199638022</v>
      </c>
      <c r="F16" s="679">
        <f t="shared" si="0"/>
        <v>1471.0020140031452</v>
      </c>
      <c r="G16" s="679">
        <f t="shared" ca="1" si="0"/>
        <v>32892.027111090705</v>
      </c>
      <c r="H16" s="679">
        <f t="shared" si="0"/>
        <v>0</v>
      </c>
      <c r="I16" s="679">
        <f t="shared" si="0"/>
        <v>0</v>
      </c>
      <c r="J16" s="679">
        <f t="shared" si="0"/>
        <v>0</v>
      </c>
      <c r="K16" s="679">
        <f t="shared" si="0"/>
        <v>161.52820435942783</v>
      </c>
      <c r="L16" s="679">
        <f t="shared" si="0"/>
        <v>0</v>
      </c>
      <c r="M16" s="679">
        <f t="shared" ca="1" si="0"/>
        <v>0</v>
      </c>
      <c r="N16" s="679">
        <f t="shared" si="0"/>
        <v>0</v>
      </c>
      <c r="O16" s="679">
        <f t="shared" ca="1" si="0"/>
        <v>9214.9873194712254</v>
      </c>
      <c r="P16" s="679">
        <f t="shared" si="0"/>
        <v>234.10706988766975</v>
      </c>
      <c r="Q16" s="679">
        <f t="shared" si="0"/>
        <v>716.04791645872149</v>
      </c>
      <c r="R16" s="679">
        <f t="shared" ca="1" si="0"/>
        <v>217122.15495459182</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12.677846383289415</v>
      </c>
      <c r="D19" s="643">
        <f>transport!C54</f>
        <v>0</v>
      </c>
      <c r="E19" s="643">
        <f>transport!D54</f>
        <v>0</v>
      </c>
      <c r="F19" s="643">
        <f>transport!E54</f>
        <v>0</v>
      </c>
      <c r="G19" s="643">
        <f>transport!F54</f>
        <v>0</v>
      </c>
      <c r="H19" s="643">
        <f>transport!G54</f>
        <v>793.67152387027397</v>
      </c>
      <c r="I19" s="643">
        <f>transport!H54</f>
        <v>0</v>
      </c>
      <c r="J19" s="643">
        <f>transport!I54</f>
        <v>0</v>
      </c>
      <c r="K19" s="643">
        <f>transport!J54</f>
        <v>0</v>
      </c>
      <c r="L19" s="643">
        <f>transport!K54</f>
        <v>0</v>
      </c>
      <c r="M19" s="643">
        <f>transport!L54</f>
        <v>0</v>
      </c>
      <c r="N19" s="643">
        <f>transport!M54</f>
        <v>45.570861527076111</v>
      </c>
      <c r="O19" s="643">
        <f>transport!N54</f>
        <v>0</v>
      </c>
      <c r="P19" s="643">
        <f>transport!O54</f>
        <v>0</v>
      </c>
      <c r="Q19" s="644">
        <f>transport!P54</f>
        <v>0</v>
      </c>
      <c r="R19" s="646">
        <f>SUM(C19:Q19)</f>
        <v>851.92023178063948</v>
      </c>
      <c r="S19" s="67"/>
    </row>
    <row r="20" spans="1:19" s="441" customFormat="1">
      <c r="A20" s="763" t="s">
        <v>296</v>
      </c>
      <c r="B20" s="768"/>
      <c r="C20" s="643">
        <f>transport!B14</f>
        <v>133.28768695322086</v>
      </c>
      <c r="D20" s="643">
        <f>transport!C14</f>
        <v>0</v>
      </c>
      <c r="E20" s="643">
        <f>transport!D14</f>
        <v>212.88687131235125</v>
      </c>
      <c r="F20" s="643">
        <f>transport!E14</f>
        <v>81.939907224029582</v>
      </c>
      <c r="G20" s="643">
        <f>transport!F14</f>
        <v>0</v>
      </c>
      <c r="H20" s="643">
        <f>transport!G14</f>
        <v>35406.942369672935</v>
      </c>
      <c r="I20" s="643">
        <f>transport!H14</f>
        <v>11273.290535484775</v>
      </c>
      <c r="J20" s="643">
        <f>transport!I14</f>
        <v>0</v>
      </c>
      <c r="K20" s="643">
        <f>transport!J14</f>
        <v>0</v>
      </c>
      <c r="L20" s="643">
        <f>transport!K14</f>
        <v>0</v>
      </c>
      <c r="M20" s="643">
        <f>transport!L14</f>
        <v>0</v>
      </c>
      <c r="N20" s="643">
        <f>transport!M14</f>
        <v>2832.1870252363192</v>
      </c>
      <c r="O20" s="643">
        <f>transport!N14</f>
        <v>0</v>
      </c>
      <c r="P20" s="643">
        <f>transport!O14</f>
        <v>0</v>
      </c>
      <c r="Q20" s="644">
        <f>transport!P14</f>
        <v>0</v>
      </c>
      <c r="R20" s="646">
        <f>SUM(C20:Q20)</f>
        <v>49940.534395883638</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145.96553333651028</v>
      </c>
      <c r="D22" s="766">
        <f t="shared" ref="D22:R22" si="1">SUM(D18:D21)</f>
        <v>0</v>
      </c>
      <c r="E22" s="766">
        <f t="shared" si="1"/>
        <v>212.88687131235125</v>
      </c>
      <c r="F22" s="766">
        <f t="shared" si="1"/>
        <v>81.939907224029582</v>
      </c>
      <c r="G22" s="766">
        <f t="shared" si="1"/>
        <v>0</v>
      </c>
      <c r="H22" s="766">
        <f t="shared" si="1"/>
        <v>36200.61389354321</v>
      </c>
      <c r="I22" s="766">
        <f t="shared" si="1"/>
        <v>11273.290535484775</v>
      </c>
      <c r="J22" s="766">
        <f t="shared" si="1"/>
        <v>0</v>
      </c>
      <c r="K22" s="766">
        <f t="shared" si="1"/>
        <v>0</v>
      </c>
      <c r="L22" s="766">
        <f t="shared" si="1"/>
        <v>0</v>
      </c>
      <c r="M22" s="766">
        <f t="shared" si="1"/>
        <v>0</v>
      </c>
      <c r="N22" s="766">
        <f t="shared" si="1"/>
        <v>2877.7578867633952</v>
      </c>
      <c r="O22" s="766">
        <f t="shared" si="1"/>
        <v>0</v>
      </c>
      <c r="P22" s="766">
        <f t="shared" si="1"/>
        <v>0</v>
      </c>
      <c r="Q22" s="766">
        <f t="shared" si="1"/>
        <v>0</v>
      </c>
      <c r="R22" s="766">
        <f t="shared" si="1"/>
        <v>50792.45462766428</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1984.511199</v>
      </c>
      <c r="D24" s="643">
        <f>+landbouw!C8</f>
        <v>0</v>
      </c>
      <c r="E24" s="643">
        <f>+landbouw!D8</f>
        <v>1845.1878278190002</v>
      </c>
      <c r="F24" s="643">
        <f>+landbouw!E8</f>
        <v>70.704153647698661</v>
      </c>
      <c r="G24" s="643">
        <f>+landbouw!F8</f>
        <v>6762.8405131622021</v>
      </c>
      <c r="H24" s="643">
        <f>+landbouw!G8</f>
        <v>0</v>
      </c>
      <c r="I24" s="643">
        <f>+landbouw!H8</f>
        <v>0</v>
      </c>
      <c r="J24" s="643">
        <f>+landbouw!I8</f>
        <v>0</v>
      </c>
      <c r="K24" s="643">
        <f>+landbouw!J8</f>
        <v>504.59887950710674</v>
      </c>
      <c r="L24" s="643">
        <f>+landbouw!K8</f>
        <v>0</v>
      </c>
      <c r="M24" s="643">
        <f>+landbouw!L8</f>
        <v>0</v>
      </c>
      <c r="N24" s="643">
        <f>+landbouw!M8</f>
        <v>0</v>
      </c>
      <c r="O24" s="643">
        <f>+landbouw!N8</f>
        <v>0</v>
      </c>
      <c r="P24" s="643">
        <f>+landbouw!O8</f>
        <v>0</v>
      </c>
      <c r="Q24" s="644">
        <f>+landbouw!P8</f>
        <v>0</v>
      </c>
      <c r="R24" s="646">
        <f>SUM(C24:Q24)</f>
        <v>11167.842573136008</v>
      </c>
      <c r="S24" s="67"/>
    </row>
    <row r="25" spans="1:19" s="441" customFormat="1" ht="15" thickBot="1">
      <c r="A25" s="785" t="s">
        <v>665</v>
      </c>
      <c r="B25" s="895"/>
      <c r="C25" s="896">
        <f>IF(Onbekend_ele_kWh="---",0,Onbekend_ele_kWh)/1000+IF(REST_rest_ele_kWh="---",0,REST_rest_ele_kWh)/1000</f>
        <v>517.14352699999995</v>
      </c>
      <c r="D25" s="896"/>
      <c r="E25" s="896">
        <f>IF(onbekend_gas_kWh="---",0,onbekend_gas_kWh)/1000+IF(REST_rest_gas_kWh="---",0,REST_rest_gas_kWh)/1000</f>
        <v>1480.109917</v>
      </c>
      <c r="F25" s="896"/>
      <c r="G25" s="896"/>
      <c r="H25" s="896"/>
      <c r="I25" s="896"/>
      <c r="J25" s="896"/>
      <c r="K25" s="896"/>
      <c r="L25" s="896"/>
      <c r="M25" s="896"/>
      <c r="N25" s="896"/>
      <c r="O25" s="896"/>
      <c r="P25" s="896"/>
      <c r="Q25" s="897"/>
      <c r="R25" s="646">
        <f>SUM(C25:Q25)</f>
        <v>1997.2534439999999</v>
      </c>
      <c r="S25" s="67"/>
    </row>
    <row r="26" spans="1:19" s="441" customFormat="1" ht="15.75" thickBot="1">
      <c r="A26" s="651" t="s">
        <v>666</v>
      </c>
      <c r="B26" s="771"/>
      <c r="C26" s="766">
        <f>SUM(C24:C25)</f>
        <v>2501.6547259999998</v>
      </c>
      <c r="D26" s="766">
        <f t="shared" ref="D26:R26" si="2">SUM(D24:D25)</f>
        <v>0</v>
      </c>
      <c r="E26" s="766">
        <f t="shared" si="2"/>
        <v>3325.2977448190004</v>
      </c>
      <c r="F26" s="766">
        <f t="shared" si="2"/>
        <v>70.704153647698661</v>
      </c>
      <c r="G26" s="766">
        <f t="shared" si="2"/>
        <v>6762.8405131622021</v>
      </c>
      <c r="H26" s="766">
        <f t="shared" si="2"/>
        <v>0</v>
      </c>
      <c r="I26" s="766">
        <f t="shared" si="2"/>
        <v>0</v>
      </c>
      <c r="J26" s="766">
        <f t="shared" si="2"/>
        <v>0</v>
      </c>
      <c r="K26" s="766">
        <f t="shared" si="2"/>
        <v>504.59887950710674</v>
      </c>
      <c r="L26" s="766">
        <f t="shared" si="2"/>
        <v>0</v>
      </c>
      <c r="M26" s="766">
        <f t="shared" si="2"/>
        <v>0</v>
      </c>
      <c r="N26" s="766">
        <f t="shared" si="2"/>
        <v>0</v>
      </c>
      <c r="O26" s="766">
        <f t="shared" si="2"/>
        <v>0</v>
      </c>
      <c r="P26" s="766">
        <f t="shared" si="2"/>
        <v>0</v>
      </c>
      <c r="Q26" s="766">
        <f t="shared" si="2"/>
        <v>0</v>
      </c>
      <c r="R26" s="766">
        <f t="shared" si="2"/>
        <v>13165.096017136008</v>
      </c>
      <c r="S26" s="67"/>
    </row>
    <row r="27" spans="1:19" s="441" customFormat="1" ht="17.25" thickTop="1" thickBot="1">
      <c r="A27" s="652" t="s">
        <v>109</v>
      </c>
      <c r="B27" s="758"/>
      <c r="C27" s="653">
        <f ca="1">C22+C16+C26</f>
        <v>73143.697906601534</v>
      </c>
      <c r="D27" s="653">
        <f t="shared" ref="D27:R27" ca="1" si="3">D22+D16+D26</f>
        <v>12.175675675675675</v>
      </c>
      <c r="E27" s="653">
        <f t="shared" ca="1" si="3"/>
        <v>105462.38661251157</v>
      </c>
      <c r="F27" s="653">
        <f t="shared" si="3"/>
        <v>1623.6460748748734</v>
      </c>
      <c r="G27" s="653">
        <f t="shared" ca="1" si="3"/>
        <v>39654.867624252904</v>
      </c>
      <c r="H27" s="653">
        <f t="shared" si="3"/>
        <v>36200.61389354321</v>
      </c>
      <c r="I27" s="653">
        <f t="shared" si="3"/>
        <v>11273.290535484775</v>
      </c>
      <c r="J27" s="653">
        <f t="shared" si="3"/>
        <v>0</v>
      </c>
      <c r="K27" s="653">
        <f t="shared" si="3"/>
        <v>666.12708386653458</v>
      </c>
      <c r="L27" s="653">
        <f t="shared" si="3"/>
        <v>0</v>
      </c>
      <c r="M27" s="653">
        <f t="shared" ca="1" si="3"/>
        <v>0</v>
      </c>
      <c r="N27" s="653">
        <f t="shared" si="3"/>
        <v>2877.7578867633952</v>
      </c>
      <c r="O27" s="653">
        <f t="shared" ca="1" si="3"/>
        <v>9214.9873194712254</v>
      </c>
      <c r="P27" s="653">
        <f t="shared" si="3"/>
        <v>234.10706988766975</v>
      </c>
      <c r="Q27" s="653">
        <f t="shared" si="3"/>
        <v>716.04791645872149</v>
      </c>
      <c r="R27" s="653">
        <f t="shared" ca="1" si="3"/>
        <v>281079.70559939212</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3158.2838420314956</v>
      </c>
      <c r="D40" s="643">
        <f ca="1">tertiair!C20</f>
        <v>2.7327627627627624</v>
      </c>
      <c r="E40" s="643">
        <f ca="1">tertiair!D20</f>
        <v>3480.0330296722173</v>
      </c>
      <c r="F40" s="643">
        <f>tertiair!E20</f>
        <v>16.229389498201137</v>
      </c>
      <c r="G40" s="643">
        <f ca="1">tertiair!F20</f>
        <v>911.13845723835607</v>
      </c>
      <c r="H40" s="643">
        <f>tertiair!G20</f>
        <v>0</v>
      </c>
      <c r="I40" s="643">
        <f>tertiair!H20</f>
        <v>0</v>
      </c>
      <c r="J40" s="643">
        <f>tertiair!I20</f>
        <v>0</v>
      </c>
      <c r="K40" s="643">
        <f>tertiair!J20</f>
        <v>8.677198600024574E-3</v>
      </c>
      <c r="L40" s="643">
        <f>tertiair!K20</f>
        <v>0</v>
      </c>
      <c r="M40" s="643">
        <f ca="1">tertiair!L20</f>
        <v>0</v>
      </c>
      <c r="N40" s="643">
        <f>tertiair!M20</f>
        <v>0</v>
      </c>
      <c r="O40" s="643">
        <f ca="1">tertiair!N20</f>
        <v>0</v>
      </c>
      <c r="P40" s="643">
        <f>tertiair!O20</f>
        <v>0</v>
      </c>
      <c r="Q40" s="726">
        <f>tertiair!P20</f>
        <v>0</v>
      </c>
      <c r="R40" s="804">
        <f t="shared" ca="1" si="4"/>
        <v>7568.4261584016322</v>
      </c>
    </row>
    <row r="41" spans="1:18">
      <c r="A41" s="776" t="s">
        <v>214</v>
      </c>
      <c r="B41" s="783"/>
      <c r="C41" s="643">
        <f ca="1">huishoudens!B12</f>
        <v>5291.3253423922515</v>
      </c>
      <c r="D41" s="643">
        <f ca="1">huishoudens!C12</f>
        <v>0</v>
      </c>
      <c r="E41" s="643">
        <f>huishoudens!D12</f>
        <v>13312.366203825104</v>
      </c>
      <c r="F41" s="643">
        <f>huishoudens!E12</f>
        <v>290.68794486660471</v>
      </c>
      <c r="G41" s="643">
        <f>huishoudens!F12</f>
        <v>6193.7546377597473</v>
      </c>
      <c r="H41" s="643">
        <f>huishoudens!G12</f>
        <v>0</v>
      </c>
      <c r="I41" s="643">
        <f>huishoudens!H12</f>
        <v>0</v>
      </c>
      <c r="J41" s="643">
        <f>huishoudens!I12</f>
        <v>0</v>
      </c>
      <c r="K41" s="643">
        <f>huishoudens!J12</f>
        <v>51.944645519181719</v>
      </c>
      <c r="L41" s="643">
        <f>huishoudens!K12</f>
        <v>0</v>
      </c>
      <c r="M41" s="643">
        <f>huishoudens!L12</f>
        <v>0</v>
      </c>
      <c r="N41" s="643">
        <f>huishoudens!M12</f>
        <v>0</v>
      </c>
      <c r="O41" s="643">
        <f>huishoudens!N12</f>
        <v>0</v>
      </c>
      <c r="P41" s="643">
        <f>huishoudens!O12</f>
        <v>0</v>
      </c>
      <c r="Q41" s="726">
        <f>huishoudens!P12</f>
        <v>0</v>
      </c>
      <c r="R41" s="804">
        <f t="shared" ca="1" si="4"/>
        <v>25140.07877436289</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5647.6330068348498</v>
      </c>
      <c r="D43" s="643">
        <f ca="1">industrie!C22</f>
        <v>0</v>
      </c>
      <c r="E43" s="643">
        <f>industrie!D22</f>
        <v>3796.2895697714821</v>
      </c>
      <c r="F43" s="643">
        <f>industrie!E22</f>
        <v>27.000122813908117</v>
      </c>
      <c r="G43" s="643">
        <f>industrie!F22</f>
        <v>1677.278143663116</v>
      </c>
      <c r="H43" s="643">
        <f>industrie!G22</f>
        <v>0</v>
      </c>
      <c r="I43" s="643">
        <f>industrie!H22</f>
        <v>0</v>
      </c>
      <c r="J43" s="643">
        <f>industrie!I22</f>
        <v>0</v>
      </c>
      <c r="K43" s="643">
        <f>industrie!J22</f>
        <v>5.2276616254557071</v>
      </c>
      <c r="L43" s="643">
        <f>industrie!K22</f>
        <v>0</v>
      </c>
      <c r="M43" s="643">
        <f>industrie!L22</f>
        <v>0</v>
      </c>
      <c r="N43" s="643">
        <f>industrie!M22</f>
        <v>0</v>
      </c>
      <c r="O43" s="643">
        <f>industrie!N22</f>
        <v>0</v>
      </c>
      <c r="P43" s="643">
        <f>industrie!O22</f>
        <v>0</v>
      </c>
      <c r="Q43" s="726">
        <f>industrie!P22</f>
        <v>0</v>
      </c>
      <c r="R43" s="803">
        <f t="shared" ca="1" si="4"/>
        <v>11153.428504708811</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14097.242191258596</v>
      </c>
      <c r="D46" s="679">
        <f t="shared" ref="D46:Q46" ca="1" si="5">SUM(D39:D45)</f>
        <v>2.7327627627627624</v>
      </c>
      <c r="E46" s="679">
        <f t="shared" ca="1" si="5"/>
        <v>20588.688803268804</v>
      </c>
      <c r="F46" s="679">
        <f t="shared" si="5"/>
        <v>333.91745717871396</v>
      </c>
      <c r="G46" s="679">
        <f t="shared" ca="1" si="5"/>
        <v>8782.1712386612198</v>
      </c>
      <c r="H46" s="679">
        <f t="shared" si="5"/>
        <v>0</v>
      </c>
      <c r="I46" s="679">
        <f t="shared" si="5"/>
        <v>0</v>
      </c>
      <c r="J46" s="679">
        <f t="shared" si="5"/>
        <v>0</v>
      </c>
      <c r="K46" s="679">
        <f t="shared" si="5"/>
        <v>57.180984343237455</v>
      </c>
      <c r="L46" s="679">
        <f t="shared" si="5"/>
        <v>0</v>
      </c>
      <c r="M46" s="679">
        <f t="shared" ca="1" si="5"/>
        <v>0</v>
      </c>
      <c r="N46" s="679">
        <f t="shared" si="5"/>
        <v>0</v>
      </c>
      <c r="O46" s="679">
        <f t="shared" ca="1" si="5"/>
        <v>0</v>
      </c>
      <c r="P46" s="679">
        <f t="shared" si="5"/>
        <v>0</v>
      </c>
      <c r="Q46" s="679">
        <f t="shared" si="5"/>
        <v>0</v>
      </c>
      <c r="R46" s="679">
        <f ca="1">SUM(R39:R45)</f>
        <v>43861.93343747333</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2.5352143962258658</v>
      </c>
      <c r="D49" s="643">
        <f ca="1">transport!C58</f>
        <v>0</v>
      </c>
      <c r="E49" s="643">
        <f>transport!D58</f>
        <v>0</v>
      </c>
      <c r="F49" s="643">
        <f>transport!E58</f>
        <v>0</v>
      </c>
      <c r="G49" s="643">
        <f>transport!F58</f>
        <v>0</v>
      </c>
      <c r="H49" s="643">
        <f>transport!G58</f>
        <v>211.91029687336317</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214.44551126958902</v>
      </c>
    </row>
    <row r="50" spans="1:18">
      <c r="A50" s="779" t="s">
        <v>296</v>
      </c>
      <c r="B50" s="789"/>
      <c r="C50" s="649">
        <f ca="1">transport!B18</f>
        <v>26.653806379043424</v>
      </c>
      <c r="D50" s="649">
        <f>transport!C18</f>
        <v>0</v>
      </c>
      <c r="E50" s="649">
        <f>transport!D18</f>
        <v>43.003148005094957</v>
      </c>
      <c r="F50" s="649">
        <f>transport!E18</f>
        <v>18.600358939854715</v>
      </c>
      <c r="G50" s="649">
        <f>transport!F18</f>
        <v>0</v>
      </c>
      <c r="H50" s="649">
        <f>transport!G18</f>
        <v>9453.6536127026739</v>
      </c>
      <c r="I50" s="649">
        <f>transport!H18</f>
        <v>2807.0493433357092</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12348.960269362376</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29.189020775269288</v>
      </c>
      <c r="D52" s="679">
        <f t="shared" ref="D52:Q52" ca="1" si="6">SUM(D48:D51)</f>
        <v>0</v>
      </c>
      <c r="E52" s="679">
        <f t="shared" si="6"/>
        <v>43.003148005094957</v>
      </c>
      <c r="F52" s="679">
        <f t="shared" si="6"/>
        <v>18.600358939854715</v>
      </c>
      <c r="G52" s="679">
        <f t="shared" si="6"/>
        <v>0</v>
      </c>
      <c r="H52" s="679">
        <f t="shared" si="6"/>
        <v>9665.5639095760362</v>
      </c>
      <c r="I52" s="679">
        <f t="shared" si="6"/>
        <v>2807.0493433357092</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12563.405780631965</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396.84668902502193</v>
      </c>
      <c r="D54" s="649">
        <f ca="1">+landbouw!C12</f>
        <v>0</v>
      </c>
      <c r="E54" s="649">
        <f>+landbouw!D12</f>
        <v>372.72794121943804</v>
      </c>
      <c r="F54" s="649">
        <f>+landbouw!E12</f>
        <v>16.049842878027597</v>
      </c>
      <c r="G54" s="649">
        <f>+landbouw!F12</f>
        <v>1805.678417014308</v>
      </c>
      <c r="H54" s="649">
        <f>+landbouw!G12</f>
        <v>0</v>
      </c>
      <c r="I54" s="649">
        <f>+landbouw!H12</f>
        <v>0</v>
      </c>
      <c r="J54" s="649">
        <f>+landbouw!I12</f>
        <v>0</v>
      </c>
      <c r="K54" s="649">
        <f>+landbouw!J12</f>
        <v>178.62800334551576</v>
      </c>
      <c r="L54" s="649">
        <f>+landbouw!K12</f>
        <v>0</v>
      </c>
      <c r="M54" s="649">
        <f>+landbouw!L12</f>
        <v>0</v>
      </c>
      <c r="N54" s="649">
        <f>+landbouw!M12</f>
        <v>0</v>
      </c>
      <c r="O54" s="649">
        <f>+landbouw!N12</f>
        <v>0</v>
      </c>
      <c r="P54" s="649">
        <f>+landbouw!O12</f>
        <v>0</v>
      </c>
      <c r="Q54" s="650">
        <f>+landbouw!P12</f>
        <v>0</v>
      </c>
      <c r="R54" s="678">
        <f ca="1">SUM(C54:Q54)</f>
        <v>2769.9308934823116</v>
      </c>
    </row>
    <row r="55" spans="1:18" ht="15" thickBot="1">
      <c r="A55" s="779" t="s">
        <v>665</v>
      </c>
      <c r="B55" s="789"/>
      <c r="C55" s="649">
        <f ca="1">C25*'EF ele_warmte'!B12</f>
        <v>103.41422943044425</v>
      </c>
      <c r="D55" s="649"/>
      <c r="E55" s="649">
        <f>E25*EF_CO2_aardgas</f>
        <v>298.982203234</v>
      </c>
      <c r="F55" s="649"/>
      <c r="G55" s="649"/>
      <c r="H55" s="649"/>
      <c r="I55" s="649"/>
      <c r="J55" s="649"/>
      <c r="K55" s="649"/>
      <c r="L55" s="649"/>
      <c r="M55" s="649"/>
      <c r="N55" s="649"/>
      <c r="O55" s="649"/>
      <c r="P55" s="649"/>
      <c r="Q55" s="650"/>
      <c r="R55" s="678">
        <f ca="1">SUM(C55:Q55)</f>
        <v>402.39643266444426</v>
      </c>
    </row>
    <row r="56" spans="1:18" ht="15.75" thickBot="1">
      <c r="A56" s="777" t="s">
        <v>666</v>
      </c>
      <c r="B56" s="790"/>
      <c r="C56" s="679">
        <f ca="1">SUM(C54:C55)</f>
        <v>500.2609184554662</v>
      </c>
      <c r="D56" s="679">
        <f t="shared" ref="D56:Q56" ca="1" si="7">SUM(D54:D55)</f>
        <v>0</v>
      </c>
      <c r="E56" s="679">
        <f t="shared" si="7"/>
        <v>671.71014445343803</v>
      </c>
      <c r="F56" s="679">
        <f t="shared" si="7"/>
        <v>16.049842878027597</v>
      </c>
      <c r="G56" s="679">
        <f t="shared" si="7"/>
        <v>1805.678417014308</v>
      </c>
      <c r="H56" s="679">
        <f t="shared" si="7"/>
        <v>0</v>
      </c>
      <c r="I56" s="679">
        <f t="shared" si="7"/>
        <v>0</v>
      </c>
      <c r="J56" s="679">
        <f t="shared" si="7"/>
        <v>0</v>
      </c>
      <c r="K56" s="679">
        <f t="shared" si="7"/>
        <v>178.62800334551576</v>
      </c>
      <c r="L56" s="679">
        <f t="shared" si="7"/>
        <v>0</v>
      </c>
      <c r="M56" s="679">
        <f t="shared" si="7"/>
        <v>0</v>
      </c>
      <c r="N56" s="679">
        <f t="shared" si="7"/>
        <v>0</v>
      </c>
      <c r="O56" s="679">
        <f t="shared" si="7"/>
        <v>0</v>
      </c>
      <c r="P56" s="679">
        <f t="shared" si="7"/>
        <v>0</v>
      </c>
      <c r="Q56" s="680">
        <f t="shared" si="7"/>
        <v>0</v>
      </c>
      <c r="R56" s="681">
        <f ca="1">SUM(R54:R55)</f>
        <v>3172.3273261467557</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14626.692130489331</v>
      </c>
      <c r="D61" s="687">
        <f t="shared" ref="D61:Q61" ca="1" si="8">D46+D52+D56</f>
        <v>2.7327627627627624</v>
      </c>
      <c r="E61" s="687">
        <f t="shared" ca="1" si="8"/>
        <v>21303.402095727339</v>
      </c>
      <c r="F61" s="687">
        <f t="shared" si="8"/>
        <v>368.56765899659632</v>
      </c>
      <c r="G61" s="687">
        <f t="shared" ca="1" si="8"/>
        <v>10587.849655675527</v>
      </c>
      <c r="H61" s="687">
        <f t="shared" si="8"/>
        <v>9665.5639095760362</v>
      </c>
      <c r="I61" s="687">
        <f t="shared" si="8"/>
        <v>2807.0493433357092</v>
      </c>
      <c r="J61" s="687">
        <f t="shared" si="8"/>
        <v>0</v>
      </c>
      <c r="K61" s="687">
        <f t="shared" si="8"/>
        <v>235.80898768875323</v>
      </c>
      <c r="L61" s="687">
        <f t="shared" si="8"/>
        <v>0</v>
      </c>
      <c r="M61" s="687">
        <f t="shared" ca="1" si="8"/>
        <v>0</v>
      </c>
      <c r="N61" s="687">
        <f t="shared" si="8"/>
        <v>0</v>
      </c>
      <c r="O61" s="687">
        <f t="shared" ca="1" si="8"/>
        <v>0</v>
      </c>
      <c r="P61" s="687">
        <f t="shared" si="8"/>
        <v>0</v>
      </c>
      <c r="Q61" s="687">
        <f t="shared" si="8"/>
        <v>0</v>
      </c>
      <c r="R61" s="687">
        <f ca="1">R46+R52+R56</f>
        <v>59597.666544252046</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0.19997200782993513</v>
      </c>
      <c r="D63" s="733">
        <f t="shared" ca="1" si="9"/>
        <v>0.22444444444444442</v>
      </c>
      <c r="E63" s="921">
        <f t="shared" ca="1" si="9"/>
        <v>0.20200000000000001</v>
      </c>
      <c r="F63" s="733">
        <f t="shared" si="9"/>
        <v>0.22700000000000004</v>
      </c>
      <c r="G63" s="733">
        <f t="shared" ca="1" si="9"/>
        <v>0.26700000000000007</v>
      </c>
      <c r="H63" s="733">
        <f t="shared" si="9"/>
        <v>0.26699999999999996</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6959.7030979519732</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8.5</v>
      </c>
      <c r="D76" s="904">
        <f>'lokale energieproductie'!C8</f>
        <v>9.4444444444444429</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1.9077777777777776</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6959.7030979519732</v>
      </c>
      <c r="C78" s="705">
        <f>SUM(C72:C77)</f>
        <v>8.5</v>
      </c>
      <c r="D78" s="706">
        <f t="shared" ref="D78:H78" si="10">SUM(D76:D77)</f>
        <v>9.4444444444444429</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1.9077777777777776</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12.175675675675675</v>
      </c>
      <c r="D87" s="729">
        <f>'lokale energieproductie'!C17</f>
        <v>13.528528528528525</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2.7327627627627624</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12.175675675675675</v>
      </c>
      <c r="D90" s="705">
        <f t="shared" ref="D90:H90" si="12">SUM(D87:D89)</f>
        <v>13.528528528528525</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2.7327627627627624</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26460.330122265033</v>
      </c>
      <c r="C4" s="445">
        <f>huishoudens!C8</f>
        <v>0</v>
      </c>
      <c r="D4" s="445">
        <f>huishoudens!D8</f>
        <v>65902.802989233183</v>
      </c>
      <c r="E4" s="445">
        <f>huishoudens!E8</f>
        <v>1280.5636337735889</v>
      </c>
      <c r="F4" s="445">
        <f>huishoudens!F8</f>
        <v>23197.582912957852</v>
      </c>
      <c r="G4" s="445">
        <f>huishoudens!G8</f>
        <v>0</v>
      </c>
      <c r="H4" s="445">
        <f>huishoudens!H8</f>
        <v>0</v>
      </c>
      <c r="I4" s="445">
        <f>huishoudens!I8</f>
        <v>0</v>
      </c>
      <c r="J4" s="445">
        <f>huishoudens!J8</f>
        <v>146.73628677734951</v>
      </c>
      <c r="K4" s="445">
        <f>huishoudens!K8</f>
        <v>0</v>
      </c>
      <c r="L4" s="445">
        <f>huishoudens!L8</f>
        <v>0</v>
      </c>
      <c r="M4" s="445">
        <f>huishoudens!M8</f>
        <v>0</v>
      </c>
      <c r="N4" s="445">
        <f>huishoudens!N8</f>
        <v>7317.1221240379318</v>
      </c>
      <c r="O4" s="445">
        <f>huishoudens!O8</f>
        <v>234.10706988766975</v>
      </c>
      <c r="P4" s="446">
        <f>huishoudens!P8</f>
        <v>610.96963984573142</v>
      </c>
      <c r="Q4" s="447">
        <f>SUM(B4:P4)</f>
        <v>125150.21477877835</v>
      </c>
    </row>
    <row r="5" spans="1:17">
      <c r="A5" s="444" t="s">
        <v>149</v>
      </c>
      <c r="B5" s="445">
        <f ca="1">tertiair!B16</f>
        <v>14966.539931999998</v>
      </c>
      <c r="C5" s="445">
        <f ca="1">tertiair!C16</f>
        <v>12.175675675675675</v>
      </c>
      <c r="D5" s="445">
        <f ca="1">tertiair!D16</f>
        <v>17227.886285506025</v>
      </c>
      <c r="E5" s="445">
        <f>tertiair!E16</f>
        <v>71.4951079215909</v>
      </c>
      <c r="F5" s="445">
        <f ca="1">tertiair!F16</f>
        <v>3412.503585162382</v>
      </c>
      <c r="G5" s="445">
        <f>tertiair!G16</f>
        <v>0</v>
      </c>
      <c r="H5" s="445">
        <f>tertiair!H16</f>
        <v>0</v>
      </c>
      <c r="I5" s="445">
        <f>tertiair!I16</f>
        <v>0</v>
      </c>
      <c r="J5" s="445">
        <f>tertiair!J16</f>
        <v>2.451186045204682E-2</v>
      </c>
      <c r="K5" s="445">
        <f>tertiair!K16</f>
        <v>0</v>
      </c>
      <c r="L5" s="445">
        <f ca="1">tertiair!L16</f>
        <v>0</v>
      </c>
      <c r="M5" s="445">
        <f>tertiair!M16</f>
        <v>0</v>
      </c>
      <c r="N5" s="445">
        <f ca="1">tertiair!N16</f>
        <v>952.82769963375722</v>
      </c>
      <c r="O5" s="445">
        <f>tertiair!O16</f>
        <v>0</v>
      </c>
      <c r="P5" s="446">
        <f>tertiair!P16</f>
        <v>105.07827661299004</v>
      </c>
      <c r="Q5" s="444">
        <f t="shared" ref="Q5:Q14" ca="1" si="0">SUM(B5:P5)</f>
        <v>36748.53107437287</v>
      </c>
    </row>
    <row r="6" spans="1:17">
      <c r="A6" s="444" t="s">
        <v>187</v>
      </c>
      <c r="B6" s="445">
        <f>'openbare verlichting'!B8</f>
        <v>827.08976800000005</v>
      </c>
      <c r="C6" s="445"/>
      <c r="D6" s="445"/>
      <c r="E6" s="445"/>
      <c r="F6" s="445"/>
      <c r="G6" s="445"/>
      <c r="H6" s="445"/>
      <c r="I6" s="445"/>
      <c r="J6" s="445"/>
      <c r="K6" s="445"/>
      <c r="L6" s="445"/>
      <c r="M6" s="445"/>
      <c r="N6" s="445"/>
      <c r="O6" s="445"/>
      <c r="P6" s="446"/>
      <c r="Q6" s="444">
        <f t="shared" si="0"/>
        <v>827.08976800000005</v>
      </c>
    </row>
    <row r="7" spans="1:17">
      <c r="A7" s="444" t="s">
        <v>105</v>
      </c>
      <c r="B7" s="445">
        <f>landbouw!B8</f>
        <v>1984.511199</v>
      </c>
      <c r="C7" s="445">
        <f>landbouw!C8</f>
        <v>0</v>
      </c>
      <c r="D7" s="445">
        <f>landbouw!D8</f>
        <v>1845.1878278190002</v>
      </c>
      <c r="E7" s="445">
        <f>landbouw!E8</f>
        <v>70.704153647698661</v>
      </c>
      <c r="F7" s="445">
        <f>landbouw!F8</f>
        <v>6762.8405131622021</v>
      </c>
      <c r="G7" s="445">
        <f>landbouw!G8</f>
        <v>0</v>
      </c>
      <c r="H7" s="445">
        <f>landbouw!H8</f>
        <v>0</v>
      </c>
      <c r="I7" s="445">
        <f>landbouw!I8</f>
        <v>0</v>
      </c>
      <c r="J7" s="445">
        <f>landbouw!J8</f>
        <v>504.59887950710674</v>
      </c>
      <c r="K7" s="445">
        <f>landbouw!K8</f>
        <v>0</v>
      </c>
      <c r="L7" s="445">
        <f>landbouw!L8</f>
        <v>0</v>
      </c>
      <c r="M7" s="445">
        <f>landbouw!M8</f>
        <v>0</v>
      </c>
      <c r="N7" s="445">
        <f>landbouw!N8</f>
        <v>0</v>
      </c>
      <c r="O7" s="445">
        <f>landbouw!O8</f>
        <v>0</v>
      </c>
      <c r="P7" s="446">
        <f>landbouw!P8</f>
        <v>0</v>
      </c>
      <c r="Q7" s="444">
        <f t="shared" si="0"/>
        <v>11167.842573136008</v>
      </c>
    </row>
    <row r="8" spans="1:17">
      <c r="A8" s="444" t="s">
        <v>586</v>
      </c>
      <c r="B8" s="445">
        <f>industrie!B18</f>
        <v>28242.117824999998</v>
      </c>
      <c r="C8" s="445">
        <f>industrie!C18</f>
        <v>0</v>
      </c>
      <c r="D8" s="445">
        <f>industrie!D18</f>
        <v>18793.512721641</v>
      </c>
      <c r="E8" s="445">
        <f>industrie!E18</f>
        <v>118.94327230796527</v>
      </c>
      <c r="F8" s="445">
        <f>industrie!F18</f>
        <v>6281.9406129704712</v>
      </c>
      <c r="G8" s="445">
        <f>industrie!G18</f>
        <v>0</v>
      </c>
      <c r="H8" s="445">
        <f>industrie!H18</f>
        <v>0</v>
      </c>
      <c r="I8" s="445">
        <f>industrie!I18</f>
        <v>0</v>
      </c>
      <c r="J8" s="445">
        <f>industrie!J18</f>
        <v>14.767405721626293</v>
      </c>
      <c r="K8" s="445">
        <f>industrie!K18</f>
        <v>0</v>
      </c>
      <c r="L8" s="445">
        <f>industrie!L18</f>
        <v>0</v>
      </c>
      <c r="M8" s="445">
        <f>industrie!M18</f>
        <v>0</v>
      </c>
      <c r="N8" s="445">
        <f>industrie!N18</f>
        <v>945.03749579953603</v>
      </c>
      <c r="O8" s="445">
        <f>industrie!O18</f>
        <v>0</v>
      </c>
      <c r="P8" s="446">
        <f>industrie!P18</f>
        <v>0</v>
      </c>
      <c r="Q8" s="444">
        <f t="shared" si="0"/>
        <v>54396.319333440602</v>
      </c>
    </row>
    <row r="9" spans="1:17" s="450" customFormat="1">
      <c r="A9" s="448" t="s">
        <v>535</v>
      </c>
      <c r="B9" s="449">
        <f>transport!B14</f>
        <v>133.28768695322086</v>
      </c>
      <c r="C9" s="449">
        <f>transport!C14</f>
        <v>0</v>
      </c>
      <c r="D9" s="449">
        <f>transport!D14</f>
        <v>212.88687131235125</v>
      </c>
      <c r="E9" s="449">
        <f>transport!E14</f>
        <v>81.939907224029582</v>
      </c>
      <c r="F9" s="449">
        <f>transport!F14</f>
        <v>0</v>
      </c>
      <c r="G9" s="449">
        <f>transport!G14</f>
        <v>35406.942369672935</v>
      </c>
      <c r="H9" s="449">
        <f>transport!H14</f>
        <v>11273.290535484775</v>
      </c>
      <c r="I9" s="449">
        <f>transport!I14</f>
        <v>0</v>
      </c>
      <c r="J9" s="449">
        <f>transport!J14</f>
        <v>0</v>
      </c>
      <c r="K9" s="449">
        <f>transport!K14</f>
        <v>0</v>
      </c>
      <c r="L9" s="449">
        <f>transport!L14</f>
        <v>0</v>
      </c>
      <c r="M9" s="449">
        <f>transport!M14</f>
        <v>2832.1870252363192</v>
      </c>
      <c r="N9" s="449">
        <f>transport!N14</f>
        <v>0</v>
      </c>
      <c r="O9" s="449">
        <f>transport!O14</f>
        <v>0</v>
      </c>
      <c r="P9" s="449">
        <f>transport!P14</f>
        <v>0</v>
      </c>
      <c r="Q9" s="448">
        <f>SUM(B9:P9)</f>
        <v>49940.534395883638</v>
      </c>
    </row>
    <row r="10" spans="1:17">
      <c r="A10" s="444" t="s">
        <v>525</v>
      </c>
      <c r="B10" s="445">
        <f>transport!B54</f>
        <v>12.677846383289415</v>
      </c>
      <c r="C10" s="445">
        <f>transport!C54</f>
        <v>0</v>
      </c>
      <c r="D10" s="445">
        <f>transport!D54</f>
        <v>0</v>
      </c>
      <c r="E10" s="445">
        <f>transport!E54</f>
        <v>0</v>
      </c>
      <c r="F10" s="445">
        <f>transport!F54</f>
        <v>0</v>
      </c>
      <c r="G10" s="445">
        <f>transport!G54</f>
        <v>793.67152387027397</v>
      </c>
      <c r="H10" s="445">
        <f>transport!H54</f>
        <v>0</v>
      </c>
      <c r="I10" s="445">
        <f>transport!I54</f>
        <v>0</v>
      </c>
      <c r="J10" s="445">
        <f>transport!J54</f>
        <v>0</v>
      </c>
      <c r="K10" s="445">
        <f>transport!K54</f>
        <v>0</v>
      </c>
      <c r="L10" s="445">
        <f>transport!L54</f>
        <v>0</v>
      </c>
      <c r="M10" s="445">
        <f>transport!M54</f>
        <v>45.570861527076111</v>
      </c>
      <c r="N10" s="445">
        <f>transport!N54</f>
        <v>0</v>
      </c>
      <c r="O10" s="445">
        <f>transport!O54</f>
        <v>0</v>
      </c>
      <c r="P10" s="446">
        <f>transport!P54</f>
        <v>0</v>
      </c>
      <c r="Q10" s="444">
        <f t="shared" si="0"/>
        <v>851.92023178063948</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517.14352699999995</v>
      </c>
      <c r="C14" s="452"/>
      <c r="D14" s="452">
        <f>'SEAP template'!E25</f>
        <v>1480.109917</v>
      </c>
      <c r="E14" s="452"/>
      <c r="F14" s="452"/>
      <c r="G14" s="452"/>
      <c r="H14" s="452"/>
      <c r="I14" s="452"/>
      <c r="J14" s="452"/>
      <c r="K14" s="452"/>
      <c r="L14" s="452"/>
      <c r="M14" s="452"/>
      <c r="N14" s="452"/>
      <c r="O14" s="452"/>
      <c r="P14" s="453"/>
      <c r="Q14" s="444">
        <f t="shared" si="0"/>
        <v>1997.2534439999999</v>
      </c>
    </row>
    <row r="15" spans="1:17" s="456" customFormat="1">
      <c r="A15" s="454" t="s">
        <v>529</v>
      </c>
      <c r="B15" s="455">
        <f ca="1">SUM(B4:B14)</f>
        <v>73143.697906601534</v>
      </c>
      <c r="C15" s="455">
        <f t="shared" ref="C15:Q15" ca="1" si="1">SUM(C4:C14)</f>
        <v>12.175675675675675</v>
      </c>
      <c r="D15" s="455">
        <f t="shared" ca="1" si="1"/>
        <v>105462.38661251156</v>
      </c>
      <c r="E15" s="455">
        <f t="shared" si="1"/>
        <v>1623.6460748748734</v>
      </c>
      <c r="F15" s="455">
        <f t="shared" ca="1" si="1"/>
        <v>39654.867624252911</v>
      </c>
      <c r="G15" s="455">
        <f t="shared" si="1"/>
        <v>36200.61389354321</v>
      </c>
      <c r="H15" s="455">
        <f t="shared" si="1"/>
        <v>11273.290535484775</v>
      </c>
      <c r="I15" s="455">
        <f t="shared" si="1"/>
        <v>0</v>
      </c>
      <c r="J15" s="455">
        <f t="shared" si="1"/>
        <v>666.12708386653458</v>
      </c>
      <c r="K15" s="455">
        <f t="shared" si="1"/>
        <v>0</v>
      </c>
      <c r="L15" s="455">
        <f t="shared" ca="1" si="1"/>
        <v>0</v>
      </c>
      <c r="M15" s="455">
        <f t="shared" si="1"/>
        <v>2877.7578867633952</v>
      </c>
      <c r="N15" s="455">
        <f t="shared" ca="1" si="1"/>
        <v>9214.9873194712254</v>
      </c>
      <c r="O15" s="455">
        <f t="shared" si="1"/>
        <v>234.10706988766975</v>
      </c>
      <c r="P15" s="455">
        <f t="shared" si="1"/>
        <v>716.04791645872149</v>
      </c>
      <c r="Q15" s="455">
        <f t="shared" ca="1" si="1"/>
        <v>281079.70559939207</v>
      </c>
    </row>
    <row r="17" spans="1:17">
      <c r="A17" s="457" t="s">
        <v>530</v>
      </c>
      <c r="B17" s="738">
        <f ca="1">huishoudens!B10</f>
        <v>0.19997200782993513</v>
      </c>
      <c r="C17" s="738">
        <f ca="1">huishoudens!C10</f>
        <v>0.22444444444444442</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5291.3253423922515</v>
      </c>
      <c r="C22" s="445">
        <f t="shared" ref="C22:C32" ca="1" si="3">C4*$C$17</f>
        <v>0</v>
      </c>
      <c r="D22" s="445">
        <f t="shared" ref="D22:D32" si="4">D4*$D$17</f>
        <v>13312.366203825104</v>
      </c>
      <c r="E22" s="445">
        <f t="shared" ref="E22:E32" si="5">E4*$E$17</f>
        <v>290.68794486660471</v>
      </c>
      <c r="F22" s="445">
        <f t="shared" ref="F22:F32" si="6">F4*$F$17</f>
        <v>6193.7546377597473</v>
      </c>
      <c r="G22" s="445">
        <f t="shared" ref="G22:G32" si="7">G4*$G$17</f>
        <v>0</v>
      </c>
      <c r="H22" s="445">
        <f t="shared" ref="H22:H32" si="8">H4*$H$17</f>
        <v>0</v>
      </c>
      <c r="I22" s="445">
        <f t="shared" ref="I22:I32" si="9">I4*$I$17</f>
        <v>0</v>
      </c>
      <c r="J22" s="445">
        <f t="shared" ref="J22:J32" si="10">J4*$J$17</f>
        <v>51.944645519181719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25140.07877436289</v>
      </c>
    </row>
    <row r="23" spans="1:17">
      <c r="A23" s="444" t="s">
        <v>149</v>
      </c>
      <c r="B23" s="445">
        <f t="shared" ca="1" si="2"/>
        <v>2992.8890404689405</v>
      </c>
      <c r="C23" s="445">
        <f t="shared" ca="1" si="3"/>
        <v>2.7327627627627624</v>
      </c>
      <c r="D23" s="445">
        <f t="shared" ca="1" si="4"/>
        <v>3480.0330296722173</v>
      </c>
      <c r="E23" s="445">
        <f t="shared" si="5"/>
        <v>16.229389498201137</v>
      </c>
      <c r="F23" s="445">
        <f t="shared" ca="1" si="6"/>
        <v>911.13845723835607</v>
      </c>
      <c r="G23" s="445">
        <f t="shared" si="7"/>
        <v>0</v>
      </c>
      <c r="H23" s="445">
        <f t="shared" si="8"/>
        <v>0</v>
      </c>
      <c r="I23" s="445">
        <f t="shared" si="9"/>
        <v>0</v>
      </c>
      <c r="J23" s="445">
        <f t="shared" si="10"/>
        <v>8.677198600024574E-3</v>
      </c>
      <c r="K23" s="445">
        <f t="shared" si="11"/>
        <v>0</v>
      </c>
      <c r="L23" s="445">
        <f t="shared" ca="1" si="12"/>
        <v>0</v>
      </c>
      <c r="M23" s="445">
        <f t="shared" si="13"/>
        <v>0</v>
      </c>
      <c r="N23" s="445">
        <f t="shared" ca="1" si="14"/>
        <v>0</v>
      </c>
      <c r="O23" s="445">
        <f t="shared" si="15"/>
        <v>0</v>
      </c>
      <c r="P23" s="446">
        <f t="shared" si="16"/>
        <v>0</v>
      </c>
      <c r="Q23" s="444">
        <f t="shared" ref="Q23:Q31" ca="1" si="17">SUM(B23:P23)</f>
        <v>7403.0313568390775</v>
      </c>
    </row>
    <row r="24" spans="1:17">
      <c r="A24" s="444" t="s">
        <v>187</v>
      </c>
      <c r="B24" s="445">
        <f t="shared" ca="1" si="2"/>
        <v>165.39480156255524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165.39480156255524</v>
      </c>
    </row>
    <row r="25" spans="1:17">
      <c r="A25" s="444" t="s">
        <v>105</v>
      </c>
      <c r="B25" s="445">
        <f t="shared" ca="1" si="2"/>
        <v>396.84668902502193</v>
      </c>
      <c r="C25" s="445">
        <f t="shared" ca="1" si="3"/>
        <v>0</v>
      </c>
      <c r="D25" s="445">
        <f t="shared" si="4"/>
        <v>372.72794121943804</v>
      </c>
      <c r="E25" s="445">
        <f t="shared" si="5"/>
        <v>16.049842878027597</v>
      </c>
      <c r="F25" s="445">
        <f t="shared" si="6"/>
        <v>1805.678417014308</v>
      </c>
      <c r="G25" s="445">
        <f t="shared" si="7"/>
        <v>0</v>
      </c>
      <c r="H25" s="445">
        <f t="shared" si="8"/>
        <v>0</v>
      </c>
      <c r="I25" s="445">
        <f t="shared" si="9"/>
        <v>0</v>
      </c>
      <c r="J25" s="445">
        <f t="shared" si="10"/>
        <v>178.62800334551576</v>
      </c>
      <c r="K25" s="445">
        <f t="shared" si="11"/>
        <v>0</v>
      </c>
      <c r="L25" s="445">
        <f t="shared" si="12"/>
        <v>0</v>
      </c>
      <c r="M25" s="445">
        <f t="shared" si="13"/>
        <v>0</v>
      </c>
      <c r="N25" s="445">
        <f t="shared" si="14"/>
        <v>0</v>
      </c>
      <c r="O25" s="445">
        <f t="shared" si="15"/>
        <v>0</v>
      </c>
      <c r="P25" s="446">
        <f t="shared" si="16"/>
        <v>0</v>
      </c>
      <c r="Q25" s="444">
        <f t="shared" ca="1" si="17"/>
        <v>2769.9308934823116</v>
      </c>
    </row>
    <row r="26" spans="1:17">
      <c r="A26" s="444" t="s">
        <v>586</v>
      </c>
      <c r="B26" s="445">
        <f t="shared" ca="1" si="2"/>
        <v>5647.6330068348498</v>
      </c>
      <c r="C26" s="445">
        <f t="shared" ca="1" si="3"/>
        <v>0</v>
      </c>
      <c r="D26" s="445">
        <f t="shared" si="4"/>
        <v>3796.2895697714821</v>
      </c>
      <c r="E26" s="445">
        <f t="shared" si="5"/>
        <v>27.000122813908117</v>
      </c>
      <c r="F26" s="445">
        <f t="shared" si="6"/>
        <v>1677.278143663116</v>
      </c>
      <c r="G26" s="445">
        <f t="shared" si="7"/>
        <v>0</v>
      </c>
      <c r="H26" s="445">
        <f t="shared" si="8"/>
        <v>0</v>
      </c>
      <c r="I26" s="445">
        <f t="shared" si="9"/>
        <v>0</v>
      </c>
      <c r="J26" s="445">
        <f t="shared" si="10"/>
        <v>5.2276616254557071</v>
      </c>
      <c r="K26" s="445">
        <f t="shared" si="11"/>
        <v>0</v>
      </c>
      <c r="L26" s="445">
        <f t="shared" si="12"/>
        <v>0</v>
      </c>
      <c r="M26" s="445">
        <f t="shared" si="13"/>
        <v>0</v>
      </c>
      <c r="N26" s="445">
        <f t="shared" si="14"/>
        <v>0</v>
      </c>
      <c r="O26" s="445">
        <f t="shared" si="15"/>
        <v>0</v>
      </c>
      <c r="P26" s="446">
        <f t="shared" si="16"/>
        <v>0</v>
      </c>
      <c r="Q26" s="444">
        <f t="shared" ca="1" si="17"/>
        <v>11153.428504708811</v>
      </c>
    </row>
    <row r="27" spans="1:17" s="450" customFormat="1">
      <c r="A27" s="448" t="s">
        <v>535</v>
      </c>
      <c r="B27" s="732">
        <f t="shared" ca="1" si="2"/>
        <v>26.653806379043424</v>
      </c>
      <c r="C27" s="449">
        <f t="shared" ca="1" si="3"/>
        <v>0</v>
      </c>
      <c r="D27" s="449">
        <f t="shared" si="4"/>
        <v>43.003148005094957</v>
      </c>
      <c r="E27" s="449">
        <f t="shared" si="5"/>
        <v>18.600358939854715</v>
      </c>
      <c r="F27" s="449">
        <f t="shared" si="6"/>
        <v>0</v>
      </c>
      <c r="G27" s="449">
        <f t="shared" si="7"/>
        <v>9453.6536127026739</v>
      </c>
      <c r="H27" s="449">
        <f t="shared" si="8"/>
        <v>2807.0493433357092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12348.960269362376</v>
      </c>
    </row>
    <row r="28" spans="1:17" ht="16.5" customHeight="1">
      <c r="A28" s="444" t="s">
        <v>525</v>
      </c>
      <c r="B28" s="445">
        <f t="shared" ca="1" si="2"/>
        <v>2.5352143962258658</v>
      </c>
      <c r="C28" s="445">
        <f t="shared" ca="1" si="3"/>
        <v>0</v>
      </c>
      <c r="D28" s="445">
        <f t="shared" si="4"/>
        <v>0</v>
      </c>
      <c r="E28" s="445">
        <f t="shared" si="5"/>
        <v>0</v>
      </c>
      <c r="F28" s="445">
        <f t="shared" si="6"/>
        <v>0</v>
      </c>
      <c r="G28" s="445">
        <f t="shared" si="7"/>
        <v>211.91029687336317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214.44551126958902</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103.41422943044425</v>
      </c>
      <c r="C32" s="445">
        <f t="shared" ca="1" si="3"/>
        <v>0</v>
      </c>
      <c r="D32" s="445">
        <f t="shared" si="4"/>
        <v>298.982203234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402.39643266444426</v>
      </c>
    </row>
    <row r="33" spans="1:17" s="456" customFormat="1">
      <c r="A33" s="454" t="s">
        <v>529</v>
      </c>
      <c r="B33" s="455">
        <f ca="1">SUM(B22:B32)</f>
        <v>14626.692130489333</v>
      </c>
      <c r="C33" s="455">
        <f t="shared" ref="C33:Q33" ca="1" si="19">SUM(C22:C32)</f>
        <v>2.7327627627627624</v>
      </c>
      <c r="D33" s="455">
        <f t="shared" ca="1" si="19"/>
        <v>21303.402095727339</v>
      </c>
      <c r="E33" s="455">
        <f t="shared" si="19"/>
        <v>368.56765899659626</v>
      </c>
      <c r="F33" s="455">
        <f t="shared" ca="1" si="19"/>
        <v>10587.849655675527</v>
      </c>
      <c r="G33" s="455">
        <f t="shared" si="19"/>
        <v>9665.5639095760362</v>
      </c>
      <c r="H33" s="455">
        <f t="shared" si="19"/>
        <v>2807.0493433357092</v>
      </c>
      <c r="I33" s="455">
        <f t="shared" si="19"/>
        <v>0</v>
      </c>
      <c r="J33" s="455">
        <f t="shared" si="19"/>
        <v>235.80898768875323</v>
      </c>
      <c r="K33" s="455">
        <f t="shared" si="19"/>
        <v>0</v>
      </c>
      <c r="L33" s="455">
        <f t="shared" ca="1" si="19"/>
        <v>0</v>
      </c>
      <c r="M33" s="455">
        <f t="shared" si="19"/>
        <v>0</v>
      </c>
      <c r="N33" s="455">
        <f t="shared" ca="1" si="19"/>
        <v>0</v>
      </c>
      <c r="O33" s="455">
        <f t="shared" si="19"/>
        <v>0</v>
      </c>
      <c r="P33" s="455">
        <f t="shared" si="19"/>
        <v>0</v>
      </c>
      <c r="Q33" s="455">
        <f t="shared" ca="1" si="19"/>
        <v>59597.666544252046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6959.7030979519732</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8.5</v>
      </c>
      <c r="D8" s="972">
        <f>'SEAP template'!D76</f>
        <v>9.4444444444444429</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1.9077777777777776</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6959.7030979519732</v>
      </c>
      <c r="C10" s="974">
        <f>SUM(C4:C9)</f>
        <v>8.5</v>
      </c>
      <c r="D10" s="974">
        <f t="shared" ref="D10:H10" si="0">SUM(D8:D9)</f>
        <v>9.4444444444444429</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1.9077777777777776</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0.19997200782993513</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12.175675675675675</v>
      </c>
      <c r="D17" s="973">
        <f>'SEAP template'!D87</f>
        <v>13.528528528528525</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2.7327627627627624</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12.175675675675675</v>
      </c>
      <c r="D20" s="974">
        <f t="shared" ref="D20:H20" si="2">SUM(D17:D19)</f>
        <v>13.528528528528525</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2.7327627627627624</v>
      </c>
    </row>
    <row r="21" spans="1:16">
      <c r="B21" s="842"/>
    </row>
    <row r="22" spans="1:16">
      <c r="A22" s="457" t="s">
        <v>723</v>
      </c>
      <c r="B22" s="738" t="s">
        <v>721</v>
      </c>
      <c r="C22" s="738">
        <f ca="1">'EF ele_warmte'!B22</f>
        <v>0.22444444444444442</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0.19997200782993513</v>
      </c>
      <c r="C17" s="494">
        <f ca="1">'EF ele_warmte'!B22</f>
        <v>0.22444444444444442</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2022-08-09T08:16:50Z</dcterms:modified>
</cp:coreProperties>
</file>