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8CF85EED-9C6C-4E54-86C8-879BEEADDAC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L78" i="14" s="1"/>
  <c r="K76" i="14"/>
  <c r="K8" i="59" s="1"/>
  <c r="K10" i="59" s="1"/>
  <c r="B75" i="14"/>
  <c r="B7" i="59"/>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F6" i="17" s="1"/>
  <c r="F8" i="17" s="1"/>
  <c r="R39" i="18"/>
  <c r="Q39" i="18"/>
  <c r="P39" i="18"/>
  <c r="O39" i="18"/>
  <c r="C6" i="17" s="1"/>
  <c r="C8" i="17" s="1"/>
  <c r="N39" i="18"/>
  <c r="M39" i="18"/>
  <c r="W38" i="18"/>
  <c r="V38" i="18"/>
  <c r="U38" i="18"/>
  <c r="T38" i="18"/>
  <c r="S38" i="18"/>
  <c r="R38" i="18"/>
  <c r="Q38" i="18"/>
  <c r="P38" i="18"/>
  <c r="O38" i="18"/>
  <c r="C13" i="15" s="1"/>
  <c r="C16" i="15" s="1"/>
  <c r="N38" i="18"/>
  <c r="M38" i="18"/>
  <c r="W37" i="18"/>
  <c r="V37" i="18"/>
  <c r="U37" i="18"/>
  <c r="T37" i="18"/>
  <c r="S37" i="18"/>
  <c r="R37" i="18"/>
  <c r="Q37" i="18"/>
  <c r="P37" i="18"/>
  <c r="O37" i="18"/>
  <c r="N37" i="18"/>
  <c r="M37" i="18"/>
  <c r="W36" i="18"/>
  <c r="H9" i="18"/>
  <c r="M77" i="14"/>
  <c r="M9" i="59"/>
  <c r="V36" i="18"/>
  <c r="U36" i="18"/>
  <c r="T36" i="18"/>
  <c r="S36" i="18"/>
  <c r="E9" i="18" s="1"/>
  <c r="R36" i="18"/>
  <c r="Q36" i="18"/>
  <c r="P36" i="18"/>
  <c r="O36" i="18"/>
  <c r="N36" i="18"/>
  <c r="B9" i="18" s="1"/>
  <c r="M36" i="18"/>
  <c r="W32" i="18"/>
  <c r="V32" i="18"/>
  <c r="U32" i="18"/>
  <c r="T32" i="18"/>
  <c r="L6" i="17"/>
  <c r="L5" i="17"/>
  <c r="S32" i="18"/>
  <c r="R32" i="18"/>
  <c r="Q32" i="18"/>
  <c r="P32" i="18"/>
  <c r="O32" i="18"/>
  <c r="N32" i="18"/>
  <c r="M32" i="18"/>
  <c r="W31" i="18"/>
  <c r="V31" i="18"/>
  <c r="U31" i="18"/>
  <c r="T31" i="18"/>
  <c r="S31" i="18"/>
  <c r="R31" i="18"/>
  <c r="Q31" i="18"/>
  <c r="P31" i="18"/>
  <c r="O31" i="18"/>
  <c r="N31" i="18"/>
  <c r="B13" i="15"/>
  <c r="M31" i="18"/>
  <c r="W30" i="18"/>
  <c r="V30" i="18"/>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K19" i="18"/>
  <c r="N89" i="14"/>
  <c r="N19" i="59" s="1"/>
  <c r="J19" i="18"/>
  <c r="J89" i="14"/>
  <c r="J19" i="59"/>
  <c r="I19" i="18"/>
  <c r="I89" i="14"/>
  <c r="I19" i="59"/>
  <c r="H19" i="18"/>
  <c r="M89" i="14" s="1"/>
  <c r="G19" i="18"/>
  <c r="H89" i="14"/>
  <c r="H19" i="59" s="1"/>
  <c r="F19" i="18"/>
  <c r="G89" i="14"/>
  <c r="G19" i="59"/>
  <c r="E19" i="18"/>
  <c r="F89" i="14"/>
  <c r="F19" i="59"/>
  <c r="D19" i="18"/>
  <c r="E89" i="14" s="1"/>
  <c r="C19" i="18"/>
  <c r="B19" i="18"/>
  <c r="L18" i="18"/>
  <c r="O88" i="14"/>
  <c r="O18" i="59"/>
  <c r="K18" i="18"/>
  <c r="N88" i="14" s="1"/>
  <c r="J18" i="18"/>
  <c r="J88" i="14"/>
  <c r="J18" i="59" s="1"/>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8" i="17"/>
  <c r="B51" i="16"/>
  <c r="P5" i="16"/>
  <c r="B45" i="16"/>
  <c r="B43" i="16"/>
  <c r="B37" i="16"/>
  <c r="C37" i="16"/>
  <c r="F15" i="16"/>
  <c r="B36" i="16"/>
  <c r="C36" i="16" s="1"/>
  <c r="B35" i="16"/>
  <c r="B34" i="16"/>
  <c r="B12" i="16" s="1"/>
  <c r="B5" i="16" s="1"/>
  <c r="B18" i="16" s="1"/>
  <c r="B33" i="16"/>
  <c r="C33" i="16"/>
  <c r="F11" i="16"/>
  <c r="B32" i="16"/>
  <c r="C32" i="16"/>
  <c r="J10" i="16"/>
  <c r="B31" i="16"/>
  <c r="C31" i="16" s="1"/>
  <c r="B30" i="16"/>
  <c r="C30" i="16"/>
  <c r="N8" i="16" s="1"/>
  <c r="B29" i="16"/>
  <c r="C29" i="16"/>
  <c r="N20" i="16"/>
  <c r="M20" i="16"/>
  <c r="M22" i="16"/>
  <c r="N43" i="14"/>
  <c r="L20" i="16"/>
  <c r="K20" i="16"/>
  <c r="J20" i="16"/>
  <c r="I20" i="16"/>
  <c r="H20" i="16"/>
  <c r="G20" i="16"/>
  <c r="F20" i="16"/>
  <c r="E20" i="16"/>
  <c r="D20" i="16"/>
  <c r="C5" i="16"/>
  <c r="B40" i="15"/>
  <c r="B32" i="15"/>
  <c r="C32" i="15"/>
  <c r="N12" i="15" s="1"/>
  <c r="B31" i="15"/>
  <c r="C31" i="15"/>
  <c r="E11" i="15"/>
  <c r="B30" i="15"/>
  <c r="C30" i="15"/>
  <c r="E10" i="15"/>
  <c r="B29" i="15"/>
  <c r="C29" i="15" s="1"/>
  <c r="B28" i="15"/>
  <c r="C28" i="15"/>
  <c r="N8" i="15" s="1"/>
  <c r="B27" i="15"/>
  <c r="C27" i="15"/>
  <c r="F7" i="15"/>
  <c r="B26" i="15"/>
  <c r="C26" i="15"/>
  <c r="E6" i="15"/>
  <c r="N18" i="15"/>
  <c r="M18" i="15"/>
  <c r="L18" i="15"/>
  <c r="K18" i="15"/>
  <c r="J18" i="15"/>
  <c r="I18" i="15"/>
  <c r="H18" i="15"/>
  <c r="G18" i="15"/>
  <c r="F18" i="15"/>
  <c r="E18" i="15"/>
  <c r="D18" i="15"/>
  <c r="H10" i="14"/>
  <c r="P5" i="15"/>
  <c r="P16" i="15" s="1"/>
  <c r="C5" i="15"/>
  <c r="B60" i="13"/>
  <c r="P5" i="13" s="1"/>
  <c r="P8" i="13" s="1"/>
  <c r="B37" i="13"/>
  <c r="B54" i="13"/>
  <c r="O5" i="13"/>
  <c r="O8" i="13"/>
  <c r="O4" i="48"/>
  <c r="B27" i="13"/>
  <c r="B31" i="13"/>
  <c r="B26" i="13"/>
  <c r="B34" i="13" s="1"/>
  <c r="N5" i="13" s="1"/>
  <c r="N8"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c r="H87" i="14"/>
  <c r="H17" i="59" s="1"/>
  <c r="G87" i="14"/>
  <c r="G17" i="59"/>
  <c r="G20" i="59" s="1"/>
  <c r="E87" i="14"/>
  <c r="E17" i="59" s="1"/>
  <c r="O76" i="14"/>
  <c r="O8" i="59"/>
  <c r="N76" i="14"/>
  <c r="N8" i="59" s="1"/>
  <c r="N10" i="59" s="1"/>
  <c r="H76" i="14"/>
  <c r="H8" i="59"/>
  <c r="G76" i="14"/>
  <c r="G8" i="59" s="1"/>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2" i="13"/>
  <c r="D6" i="17"/>
  <c r="D8" i="17" s="1"/>
  <c r="C34" i="13"/>
  <c r="J15" i="16"/>
  <c r="J30" i="48"/>
  <c r="J32" i="48"/>
  <c r="I9" i="18"/>
  <c r="I77" i="14"/>
  <c r="I9" i="59"/>
  <c r="F30" i="48"/>
  <c r="F32" i="48"/>
  <c r="N30" i="48"/>
  <c r="N32" i="48"/>
  <c r="D89" i="14"/>
  <c r="D19" i="59" s="1"/>
  <c r="O19" i="18"/>
  <c r="K10" i="18"/>
  <c r="N77" i="14"/>
  <c r="L10" i="18"/>
  <c r="O77" i="14"/>
  <c r="H16" i="14"/>
  <c r="L16" i="16"/>
  <c r="L18" i="16"/>
  <c r="M13" i="14" s="1"/>
  <c r="I14" i="15"/>
  <c r="I16" i="15"/>
  <c r="J10" i="14"/>
  <c r="B13" i="16"/>
  <c r="C35" i="16"/>
  <c r="E9" i="14"/>
  <c r="D14" i="15"/>
  <c r="P18" i="16"/>
  <c r="P22" i="16" s="1"/>
  <c r="Q43" i="14" s="1"/>
  <c r="N6" i="17"/>
  <c r="N5" i="17" s="1"/>
  <c r="N8" i="17" s="1"/>
  <c r="N12" i="17" s="1"/>
  <c r="O54" i="14" s="1"/>
  <c r="J8" i="17"/>
  <c r="J12" i="17"/>
  <c r="K54" i="14"/>
  <c r="K56" i="14" s="1"/>
  <c r="N16" i="16"/>
  <c r="N13" i="15"/>
  <c r="L13" i="15"/>
  <c r="L16" i="15"/>
  <c r="F13" i="15"/>
  <c r="D13" i="15"/>
  <c r="B67" i="22"/>
  <c r="M11" i="22"/>
  <c r="G10" i="22"/>
  <c r="M9" i="22"/>
  <c r="G8" i="22"/>
  <c r="M7" i="22"/>
  <c r="G6" i="22"/>
  <c r="G11" i="22"/>
  <c r="M8" i="22"/>
  <c r="G7" i="22"/>
  <c r="M10" i="22"/>
  <c r="G9" i="22"/>
  <c r="M6" i="22"/>
  <c r="B12" i="48"/>
  <c r="Q12" i="48"/>
  <c r="O9" i="14"/>
  <c r="B7" i="15"/>
  <c r="O5" i="16"/>
  <c r="C35" i="13"/>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s="1"/>
  <c r="H8" i="18" s="1"/>
  <c r="J9" i="18"/>
  <c r="J77" i="14" s="1"/>
  <c r="J9" i="59" s="1"/>
  <c r="C16" i="16"/>
  <c r="C18" i="16"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P10" i="14" s="1"/>
  <c r="M20" i="15"/>
  <c r="N40" i="14"/>
  <c r="N10" i="14"/>
  <c r="N16" i="14"/>
  <c r="G20" i="15"/>
  <c r="H40" i="14"/>
  <c r="H46" i="14"/>
  <c r="H20" i="15"/>
  <c r="I40" i="14"/>
  <c r="I46" i="14"/>
  <c r="I10" i="14"/>
  <c r="I16" i="14"/>
  <c r="B74" i="14"/>
  <c r="B6" i="59" s="1"/>
  <c r="F8" i="16"/>
  <c r="B7" i="48"/>
  <c r="C24" i="14"/>
  <c r="C26" i="14" s="1"/>
  <c r="B73" i="14"/>
  <c r="B5" i="59"/>
  <c r="F6" i="15"/>
  <c r="F8" i="15"/>
  <c r="N10" i="16"/>
  <c r="D5" i="15"/>
  <c r="B8" i="15"/>
  <c r="J8" i="15"/>
  <c r="F12" i="15"/>
  <c r="I20" i="15"/>
  <c r="J40" i="14"/>
  <c r="B9" i="16"/>
  <c r="E8" i="15"/>
  <c r="B10" i="15"/>
  <c r="B6" i="15"/>
  <c r="J10" i="15"/>
  <c r="D5" i="16"/>
  <c r="F10" i="16"/>
  <c r="J11" i="16"/>
  <c r="B15" i="16"/>
  <c r="J6" i="15"/>
  <c r="F10" i="15"/>
  <c r="B12" i="15"/>
  <c r="J12" i="15"/>
  <c r="B7" i="16"/>
  <c r="E10" i="16"/>
  <c r="N11" i="16"/>
  <c r="N6" i="15"/>
  <c r="N10" i="15"/>
  <c r="B8" i="16"/>
  <c r="J8" i="16"/>
  <c r="B10" i="16"/>
  <c r="E11" i="16"/>
  <c r="B14" i="16"/>
  <c r="E15" i="16"/>
  <c r="E7" i="16"/>
  <c r="J7" i="16"/>
  <c r="F7" i="16"/>
  <c r="N7" i="16"/>
  <c r="N15" i="16"/>
  <c r="C34" i="16"/>
  <c r="Q13" i="14"/>
  <c r="B9" i="15"/>
  <c r="E11" i="48"/>
  <c r="E29" i="48"/>
  <c r="F9" i="14"/>
  <c r="D9" i="14"/>
  <c r="E19" i="19"/>
  <c r="F39" i="14"/>
  <c r="C11" i="48"/>
  <c r="D19" i="19"/>
  <c r="E39" i="14"/>
  <c r="C9" i="14"/>
  <c r="B11" i="48"/>
  <c r="E5" i="22"/>
  <c r="E14" i="22" s="1"/>
  <c r="F20" i="14" s="1"/>
  <c r="D5" i="22"/>
  <c r="D14" i="22"/>
  <c r="B5" i="22"/>
  <c r="B14" i="22" s="1"/>
  <c r="P11" i="48"/>
  <c r="P29" i="48"/>
  <c r="H5" i="48"/>
  <c r="O11" i="48"/>
  <c r="P9" i="14"/>
  <c r="M5" i="48"/>
  <c r="G29" i="48"/>
  <c r="C11" i="14"/>
  <c r="B4" i="48"/>
  <c r="E30" i="48"/>
  <c r="I31" i="48"/>
  <c r="I27" i="48"/>
  <c r="I30" i="48"/>
  <c r="K27" i="48"/>
  <c r="O30" i="48"/>
  <c r="K22" i="48"/>
  <c r="G22" i="48"/>
  <c r="M17" i="48"/>
  <c r="K30" i="48"/>
  <c r="F5" i="13"/>
  <c r="F8" i="13"/>
  <c r="G11" i="14"/>
  <c r="I22" i="48"/>
  <c r="G30" i="48"/>
  <c r="O22" i="48"/>
  <c r="H25" i="48"/>
  <c r="L17" i="48"/>
  <c r="L32" i="48"/>
  <c r="H22" i="48"/>
  <c r="K25" i="48"/>
  <c r="K26" i="48"/>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P25" i="48"/>
  <c r="E5" i="17"/>
  <c r="G25" i="48"/>
  <c r="I25" i="48"/>
  <c r="G90" i="14"/>
  <c r="D88" i="14"/>
  <c r="D18" i="59" s="1"/>
  <c r="H88" i="14"/>
  <c r="F88" i="14"/>
  <c r="F18" i="59" s="1"/>
  <c r="E77" i="14"/>
  <c r="D20" i="18"/>
  <c r="L20" i="18"/>
  <c r="G77" i="14"/>
  <c r="F20" i="18"/>
  <c r="D11" i="14"/>
  <c r="C4" i="48"/>
  <c r="O18" i="18"/>
  <c r="N46" i="14"/>
  <c r="G51" i="22"/>
  <c r="G50" i="22" s="1"/>
  <c r="G54" i="22" s="1"/>
  <c r="H19" i="14" s="1"/>
  <c r="M51" i="22"/>
  <c r="M50" i="22" s="1"/>
  <c r="M54" i="22" s="1"/>
  <c r="I5" i="48"/>
  <c r="J7" i="48"/>
  <c r="J25" i="48"/>
  <c r="K33" i="48"/>
  <c r="J27" i="14"/>
  <c r="M24" i="48"/>
  <c r="M32" i="48"/>
  <c r="K15" i="48"/>
  <c r="H78" i="14"/>
  <c r="H9" i="59"/>
  <c r="H10" i="59"/>
  <c r="N78" i="14"/>
  <c r="N9" i="59"/>
  <c r="G78" i="14"/>
  <c r="G9" i="59"/>
  <c r="H90" i="14"/>
  <c r="H18" i="59"/>
  <c r="H20" i="59"/>
  <c r="E78" i="14"/>
  <c r="E9" i="59"/>
  <c r="E10" i="59"/>
  <c r="O78" i="14"/>
  <c r="O9" i="59"/>
  <c r="O10" i="59"/>
  <c r="L8" i="48"/>
  <c r="L22" i="16"/>
  <c r="M43" i="14"/>
  <c r="C17" i="18"/>
  <c r="J46" i="14"/>
  <c r="J61" i="14"/>
  <c r="L46" i="14"/>
  <c r="L61" i="14"/>
  <c r="L16" i="14"/>
  <c r="L27" i="14"/>
  <c r="P8" i="48"/>
  <c r="P26" i="48"/>
  <c r="D18" i="16"/>
  <c r="D22" i="16"/>
  <c r="E43" i="14" s="1"/>
  <c r="G31" i="20"/>
  <c r="H48" i="14"/>
  <c r="G12" i="22"/>
  <c r="D16" i="15"/>
  <c r="K24" i="14"/>
  <c r="K26" i="14"/>
  <c r="E8" i="17"/>
  <c r="O18" i="16"/>
  <c r="O22" i="16"/>
  <c r="P43" i="14" s="1"/>
  <c r="N4" i="48"/>
  <c r="N22" i="48" s="1"/>
  <c r="H13" i="48"/>
  <c r="H31" i="48"/>
  <c r="H12" i="22"/>
  <c r="E5" i="13"/>
  <c r="E8" i="13"/>
  <c r="E12" i="13"/>
  <c r="F41" i="14"/>
  <c r="O56" i="14"/>
  <c r="L8" i="17"/>
  <c r="L12" i="17"/>
  <c r="M54" i="14"/>
  <c r="M56" i="14"/>
  <c r="E48" i="18"/>
  <c r="E8" i="18" s="1"/>
  <c r="D48" i="18"/>
  <c r="M29" i="48"/>
  <c r="F12" i="17"/>
  <c r="G54" i="14" s="1"/>
  <c r="G56" i="14" s="1"/>
  <c r="C49" i="18"/>
  <c r="C48" i="18"/>
  <c r="E49" i="18"/>
  <c r="E17" i="18"/>
  <c r="E20" i="18" s="1"/>
  <c r="F87" i="14"/>
  <c r="F17" i="59" s="1"/>
  <c r="G49" i="18"/>
  <c r="H48" i="18"/>
  <c r="G48" i="18"/>
  <c r="D49" i="18"/>
  <c r="L28" i="48"/>
  <c r="H49" i="18"/>
  <c r="I49" i="18"/>
  <c r="H17" i="18"/>
  <c r="F49" i="18"/>
  <c r="F48" i="18"/>
  <c r="B48" i="18"/>
  <c r="L31" i="48"/>
  <c r="L24" i="48"/>
  <c r="L22" i="48"/>
  <c r="M23" i="48"/>
  <c r="M22" i="48"/>
  <c r="I18" i="14"/>
  <c r="Q88" i="14"/>
  <c r="P18" i="59"/>
  <c r="D9" i="48"/>
  <c r="D27" i="48" s="1"/>
  <c r="F22" i="14"/>
  <c r="L30" i="48"/>
  <c r="B20" i="18"/>
  <c r="L29" i="48"/>
  <c r="M31" i="20"/>
  <c r="N48" i="14"/>
  <c r="N18" i="14"/>
  <c r="M13" i="48"/>
  <c r="M31" i="48"/>
  <c r="H31" i="20"/>
  <c r="I48" i="14"/>
  <c r="G13" i="48"/>
  <c r="G31" i="48"/>
  <c r="H18" i="14"/>
  <c r="M5" i="22"/>
  <c r="M14" i="22"/>
  <c r="G5" i="22"/>
  <c r="H5" i="22"/>
  <c r="O20" i="15"/>
  <c r="P40" i="14" s="1"/>
  <c r="P46" i="14" s="1"/>
  <c r="P61" i="14" s="1"/>
  <c r="P63" i="14" s="1"/>
  <c r="F4" i="48"/>
  <c r="F22" i="48"/>
  <c r="B5" i="15"/>
  <c r="B16" i="15" s="1"/>
  <c r="B5" i="48" s="1"/>
  <c r="C13" i="14"/>
  <c r="F12" i="13"/>
  <c r="G41" i="14"/>
  <c r="P5" i="48"/>
  <c r="P23" i="48" s="1"/>
  <c r="F13" i="16"/>
  <c r="E13" i="16"/>
  <c r="N13" i="16"/>
  <c r="J13" i="16"/>
  <c r="N12" i="16"/>
  <c r="J12" i="16"/>
  <c r="F12" i="16"/>
  <c r="E12" i="16"/>
  <c r="Q11" i="48"/>
  <c r="O5" i="48"/>
  <c r="R9" i="14"/>
  <c r="O29" i="48"/>
  <c r="H23" i="48"/>
  <c r="L27" i="48"/>
  <c r="M30" i="48"/>
  <c r="M26" i="48"/>
  <c r="M25" i="48"/>
  <c r="J5" i="13"/>
  <c r="J8" i="13" s="1"/>
  <c r="H14" i="22"/>
  <c r="G14" i="22"/>
  <c r="G9" i="48" s="1"/>
  <c r="I23" i="48"/>
  <c r="I33" i="48"/>
  <c r="I15" i="48"/>
  <c r="E13" i="14"/>
  <c r="F90" i="14"/>
  <c r="O8" i="48"/>
  <c r="O26" i="48" s="1"/>
  <c r="P13" i="14"/>
  <c r="P16" i="14"/>
  <c r="P27" i="14"/>
  <c r="E7" i="48"/>
  <c r="E25" i="48" s="1"/>
  <c r="I8" i="18"/>
  <c r="I10" i="18" s="1"/>
  <c r="C8" i="18"/>
  <c r="D76" i="14"/>
  <c r="D8" i="59" s="1"/>
  <c r="D10" i="59" s="1"/>
  <c r="D20" i="15"/>
  <c r="N7" i="48"/>
  <c r="N25" i="48" s="1"/>
  <c r="D8" i="48"/>
  <c r="D26" i="48"/>
  <c r="O24" i="14"/>
  <c r="O26" i="14" s="1"/>
  <c r="L7" i="48"/>
  <c r="L25" i="48"/>
  <c r="M24" i="14"/>
  <c r="M26" i="14" s="1"/>
  <c r="N19" i="14"/>
  <c r="D18" i="22"/>
  <c r="E50" i="14"/>
  <c r="E52" i="14"/>
  <c r="J8" i="18"/>
  <c r="J76" i="14"/>
  <c r="J17" i="18"/>
  <c r="I17" i="18"/>
  <c r="I87" i="14" s="1"/>
  <c r="M87" i="14"/>
  <c r="M17" i="59"/>
  <c r="H20" i="18"/>
  <c r="E20" i="14"/>
  <c r="E22" i="14"/>
  <c r="E18" i="22"/>
  <c r="F50" i="14" s="1"/>
  <c r="F52" i="14" s="1"/>
  <c r="E9" i="48"/>
  <c r="E10" i="14"/>
  <c r="E16" i="14" s="1"/>
  <c r="D5" i="48"/>
  <c r="G58" i="22"/>
  <c r="H49" i="14" s="1"/>
  <c r="G10" i="48"/>
  <c r="R18" i="14"/>
  <c r="Q13" i="48"/>
  <c r="I20" i="14"/>
  <c r="I22" i="14" s="1"/>
  <c r="I27" i="14" s="1"/>
  <c r="B8" i="48"/>
  <c r="J63" i="14"/>
  <c r="L63" i="14"/>
  <c r="L5" i="48"/>
  <c r="M10" i="14"/>
  <c r="C10" i="14"/>
  <c r="C16" i="14" s="1"/>
  <c r="N12" i="13"/>
  <c r="O41" i="14" s="1"/>
  <c r="O11" i="14"/>
  <c r="E4" i="48"/>
  <c r="E22" i="48"/>
  <c r="F11" i="14"/>
  <c r="L20" i="15"/>
  <c r="M40" i="14" s="1"/>
  <c r="C10" i="18"/>
  <c r="J8" i="59"/>
  <c r="E27" i="48"/>
  <c r="G15" i="48"/>
  <c r="D78" i="14"/>
  <c r="L23" i="48"/>
  <c r="E40" i="14"/>
  <c r="E46" i="14" s="1"/>
  <c r="D23" i="48"/>
  <c r="J10" i="18"/>
  <c r="O8" i="18"/>
  <c r="G18" i="22"/>
  <c r="H50" i="14" s="1"/>
  <c r="I20" i="18"/>
  <c r="H20" i="14"/>
  <c r="H22" i="14"/>
  <c r="H27" i="14" s="1"/>
  <c r="H18" i="22"/>
  <c r="I50" i="14"/>
  <c r="G28" i="48"/>
  <c r="H9" i="48"/>
  <c r="G27" i="48"/>
  <c r="G33" i="48"/>
  <c r="H15" i="48"/>
  <c r="I52" i="14"/>
  <c r="I61" i="14" s="1"/>
  <c r="I63" i="14" s="1"/>
  <c r="M46" i="14"/>
  <c r="M61" i="14" s="1"/>
  <c r="H27" i="48"/>
  <c r="H33" i="48" s="1"/>
  <c r="O15" i="48" l="1"/>
  <c r="O23" i="48"/>
  <c r="O33" i="48" s="1"/>
  <c r="B10" i="18"/>
  <c r="L20" i="59"/>
  <c r="J10" i="59"/>
  <c r="M16" i="14"/>
  <c r="M27" i="14" s="1"/>
  <c r="M63" i="14" s="1"/>
  <c r="I90" i="14"/>
  <c r="I17" i="59"/>
  <c r="I20" i="59" s="1"/>
  <c r="M9" i="48"/>
  <c r="N20" i="14"/>
  <c r="N22" i="14" s="1"/>
  <c r="N27" i="14" s="1"/>
  <c r="M18" i="22"/>
  <c r="N50" i="14" s="1"/>
  <c r="F20" i="59"/>
  <c r="K11" i="14"/>
  <c r="J4" i="48"/>
  <c r="J12" i="13"/>
  <c r="K41" i="14" s="1"/>
  <c r="L26" i="48"/>
  <c r="L33" i="48" s="1"/>
  <c r="L15" i="48"/>
  <c r="N9" i="15"/>
  <c r="N5" i="15" s="1"/>
  <c r="N16" i="15" s="1"/>
  <c r="F9" i="15"/>
  <c r="F5" i="15" s="1"/>
  <c r="F16" i="15" s="1"/>
  <c r="E9" i="15"/>
  <c r="E5" i="15" s="1"/>
  <c r="E16" i="15" s="1"/>
  <c r="J9" i="15"/>
  <c r="J5" i="15" s="1"/>
  <c r="J16" i="15" s="1"/>
  <c r="B89" i="14"/>
  <c r="B19" i="59" s="1"/>
  <c r="M19" i="59"/>
  <c r="M90" i="14"/>
  <c r="J78" i="14"/>
  <c r="O17" i="18"/>
  <c r="O20" i="18" s="1"/>
  <c r="J20" i="18"/>
  <c r="J87" i="14"/>
  <c r="B15" i="48"/>
  <c r="E27" i="14"/>
  <c r="B9" i="48"/>
  <c r="C20" i="14"/>
  <c r="R20" i="14" s="1"/>
  <c r="D7" i="48"/>
  <c r="D12" i="17"/>
  <c r="E54" i="14" s="1"/>
  <c r="E56" i="14" s="1"/>
  <c r="E61" i="14" s="1"/>
  <c r="E63" i="14" s="1"/>
  <c r="E24" i="14"/>
  <c r="E26" i="14" s="1"/>
  <c r="N9" i="16"/>
  <c r="F9" i="16"/>
  <c r="J9" i="16"/>
  <c r="J5" i="16" s="1"/>
  <c r="J18" i="16" s="1"/>
  <c r="E9" i="16"/>
  <c r="H52" i="14"/>
  <c r="H61" i="14" s="1"/>
  <c r="H63" i="14" s="1"/>
  <c r="M20" i="59"/>
  <c r="F76" i="14"/>
  <c r="C76" i="14" s="1"/>
  <c r="E10" i="18"/>
  <c r="F24" i="14"/>
  <c r="F26" i="14" s="1"/>
  <c r="E12" i="17"/>
  <c r="F54" i="14" s="1"/>
  <c r="F56" i="14" s="1"/>
  <c r="D87" i="14"/>
  <c r="C20" i="18"/>
  <c r="M10" i="48"/>
  <c r="M28" i="48" s="1"/>
  <c r="M58" i="22"/>
  <c r="N49" i="14" s="1"/>
  <c r="N52" i="14" s="1"/>
  <c r="N61" i="14" s="1"/>
  <c r="N63" i="14" s="1"/>
  <c r="M76" i="14"/>
  <c r="H10" i="18"/>
  <c r="G10" i="59"/>
  <c r="O20" i="59"/>
  <c r="P4" i="48"/>
  <c r="Q11" i="14"/>
  <c r="P12" i="13"/>
  <c r="Q41" i="14" s="1"/>
  <c r="E14" i="16"/>
  <c r="N14" i="16"/>
  <c r="J14" i="16"/>
  <c r="F14" i="16"/>
  <c r="N18" i="59"/>
  <c r="N20" i="59" s="1"/>
  <c r="N90" i="14"/>
  <c r="O19" i="59"/>
  <c r="O90" i="14"/>
  <c r="K18" i="59"/>
  <c r="K20" i="59" s="1"/>
  <c r="B88" i="14"/>
  <c r="B18" i="59" s="1"/>
  <c r="K90" i="14"/>
  <c r="I76" i="14"/>
  <c r="B76" i="14" s="1"/>
  <c r="N5" i="16"/>
  <c r="N18" i="16" s="1"/>
  <c r="O9" i="18"/>
  <c r="O10" i="18" s="1"/>
  <c r="F77" i="14"/>
  <c r="D24" i="14"/>
  <c r="C7" i="48"/>
  <c r="G24" i="14"/>
  <c r="G26" i="14" s="1"/>
  <c r="F7" i="48"/>
  <c r="F25" i="48" s="1"/>
  <c r="L18" i="59"/>
  <c r="L90" i="14"/>
  <c r="D13" i="14"/>
  <c r="C8" i="48"/>
  <c r="P20" i="15"/>
  <c r="Q40" i="14" s="1"/>
  <c r="Q46" i="14" s="1"/>
  <c r="Q61" i="14" s="1"/>
  <c r="Q10" i="14"/>
  <c r="Q16" i="14" s="1"/>
  <c r="Q27" i="14" s="1"/>
  <c r="B10" i="48"/>
  <c r="C19" i="14"/>
  <c r="Q89" i="14"/>
  <c r="P19" i="59" s="1"/>
  <c r="E90" i="14"/>
  <c r="E19" i="59"/>
  <c r="E20" i="59" s="1"/>
  <c r="C89" i="14"/>
  <c r="C19" i="59" s="1"/>
  <c r="D10" i="14"/>
  <c r="C5" i="48"/>
  <c r="C88" i="14"/>
  <c r="C18" i="59" s="1"/>
  <c r="B33" i="13"/>
  <c r="K78" i="14"/>
  <c r="D14" i="48"/>
  <c r="B8" i="59" l="1"/>
  <c r="C8" i="59"/>
  <c r="C78" i="14"/>
  <c r="C15" i="48"/>
  <c r="F9" i="59"/>
  <c r="Q77" i="14"/>
  <c r="P9" i="59" s="1"/>
  <c r="B77" i="14"/>
  <c r="B9" i="59" s="1"/>
  <c r="K13" i="14"/>
  <c r="J8" i="48"/>
  <c r="J26" i="48" s="1"/>
  <c r="J22" i="16"/>
  <c r="K43" i="14" s="1"/>
  <c r="G10" i="14"/>
  <c r="F20" i="15"/>
  <c r="G40" i="14" s="1"/>
  <c r="F5" i="48"/>
  <c r="D16" i="14"/>
  <c r="Q63" i="14"/>
  <c r="F5" i="16"/>
  <c r="F18" i="16" s="1"/>
  <c r="D25" i="48"/>
  <c r="D15" i="48"/>
  <c r="N20" i="15"/>
  <c r="O40" i="14" s="1"/>
  <c r="N5" i="48"/>
  <c r="O10" i="14"/>
  <c r="O16" i="14" s="1"/>
  <c r="O27" i="14" s="1"/>
  <c r="J22" i="48"/>
  <c r="Q4" i="48"/>
  <c r="R19" i="14"/>
  <c r="R22" i="14" s="1"/>
  <c r="C22" i="14"/>
  <c r="C27" i="14" s="1"/>
  <c r="B3" i="6" s="1"/>
  <c r="Q7" i="48"/>
  <c r="N8" i="48"/>
  <c r="N26" i="48" s="1"/>
  <c r="O13" i="14"/>
  <c r="N22" i="16"/>
  <c r="O43" i="14" s="1"/>
  <c r="J20" i="15"/>
  <c r="K40" i="14" s="1"/>
  <c r="K46" i="14" s="1"/>
  <c r="K61" i="14" s="1"/>
  <c r="J5" i="48"/>
  <c r="J23" i="48" s="1"/>
  <c r="K10" i="14"/>
  <c r="R11" i="14"/>
  <c r="D32" i="48"/>
  <c r="Q14" i="48"/>
  <c r="Q10" i="48"/>
  <c r="D26" i="14"/>
  <c r="R24" i="14"/>
  <c r="R26" i="14" s="1"/>
  <c r="I78" i="14"/>
  <c r="I8" i="59"/>
  <c r="I10" i="59" s="1"/>
  <c r="C77" i="14"/>
  <c r="C9" i="59" s="1"/>
  <c r="P15" i="48"/>
  <c r="P22" i="48"/>
  <c r="P33" i="48" s="1"/>
  <c r="M8" i="59"/>
  <c r="M10" i="59" s="1"/>
  <c r="M78" i="14"/>
  <c r="Q87" i="14"/>
  <c r="D90" i="14"/>
  <c r="C87" i="14"/>
  <c r="D17" i="59"/>
  <c r="D20" i="59" s="1"/>
  <c r="F78" i="14"/>
  <c r="F8" i="59"/>
  <c r="F10" i="59" s="1"/>
  <c r="Q76" i="14"/>
  <c r="E5" i="16"/>
  <c r="E18" i="16" s="1"/>
  <c r="Q9" i="48"/>
  <c r="J90" i="14"/>
  <c r="J17" i="59"/>
  <c r="J20" i="59" s="1"/>
  <c r="B87" i="14"/>
  <c r="F10" i="14"/>
  <c r="R10" i="14" s="1"/>
  <c r="E5" i="48"/>
  <c r="E20" i="15"/>
  <c r="F40" i="14" s="1"/>
  <c r="M15" i="48"/>
  <c r="M27" i="48"/>
  <c r="M33" i="48" s="1"/>
  <c r="B90" i="14" l="1"/>
  <c r="B17" i="59"/>
  <c r="B20" i="59" s="1"/>
  <c r="P17" i="59"/>
  <c r="P20" i="59" s="1"/>
  <c r="Q90" i="14"/>
  <c r="B17" i="6" s="1"/>
  <c r="F46" i="14"/>
  <c r="F61" i="14" s="1"/>
  <c r="F13" i="14"/>
  <c r="E22" i="16"/>
  <c r="F43" i="14" s="1"/>
  <c r="E8" i="48"/>
  <c r="K63" i="14"/>
  <c r="J15" i="48"/>
  <c r="N15" i="48"/>
  <c r="N23" i="48"/>
  <c r="N33" i="48" s="1"/>
  <c r="D33" i="48"/>
  <c r="C10" i="59"/>
  <c r="E23" i="48"/>
  <c r="E15" i="48"/>
  <c r="P8" i="59"/>
  <c r="P10" i="59" s="1"/>
  <c r="Q78" i="14"/>
  <c r="B9" i="6" s="1"/>
  <c r="C90" i="14"/>
  <c r="C17" i="59"/>
  <c r="C20" i="59" s="1"/>
  <c r="O46" i="14"/>
  <c r="O61" i="14" s="1"/>
  <c r="O63" i="14" s="1"/>
  <c r="G13" i="14"/>
  <c r="G16" i="14" s="1"/>
  <c r="G27" i="14" s="1"/>
  <c r="F8" i="48"/>
  <c r="F26" i="48" s="1"/>
  <c r="F22" i="16"/>
  <c r="G43" i="14" s="1"/>
  <c r="G46" i="14" s="1"/>
  <c r="G61" i="14" s="1"/>
  <c r="G63" i="14" s="1"/>
  <c r="D27" i="14"/>
  <c r="B20" i="6" s="1"/>
  <c r="B22" i="6" s="1"/>
  <c r="B78" i="14"/>
  <c r="B4" i="6" s="1"/>
  <c r="B12" i="6" s="1"/>
  <c r="F16" i="14"/>
  <c r="F27" i="14" s="1"/>
  <c r="K16" i="14"/>
  <c r="K27" i="14" s="1"/>
  <c r="J33" i="48"/>
  <c r="Q5" i="48"/>
  <c r="F23" i="48"/>
  <c r="F33" i="48" s="1"/>
  <c r="B10" i="59"/>
  <c r="B10" i="17" l="1"/>
  <c r="B12" i="17" s="1"/>
  <c r="C54" i="14" s="1"/>
  <c r="B17" i="19"/>
  <c r="B19" i="19" s="1"/>
  <c r="C39" i="14" s="1"/>
  <c r="B17" i="49"/>
  <c r="B19" i="49" s="1"/>
  <c r="C42" i="14" s="1"/>
  <c r="R42" i="14" s="1"/>
  <c r="B16" i="22"/>
  <c r="B18" i="22" s="1"/>
  <c r="C50" i="14" s="1"/>
  <c r="R50" i="14" s="1"/>
  <c r="B29" i="20"/>
  <c r="B31" i="20" s="1"/>
  <c r="C48" i="14" s="1"/>
  <c r="B10" i="13"/>
  <c r="B18" i="15"/>
  <c r="B20" i="15" s="1"/>
  <c r="C40" i="14" s="1"/>
  <c r="B10" i="9"/>
  <c r="B12" i="9" s="1"/>
  <c r="B20" i="16"/>
  <c r="B22" i="16" s="1"/>
  <c r="C43" i="14" s="1"/>
  <c r="C55" i="14"/>
  <c r="R55" i="14" s="1"/>
  <c r="B56" i="22"/>
  <c r="B58" i="22" s="1"/>
  <c r="C49" i="14" s="1"/>
  <c r="R49" i="14" s="1"/>
  <c r="C12" i="59"/>
  <c r="E33" i="48"/>
  <c r="E26" i="48"/>
  <c r="Q8" i="48"/>
  <c r="Q15" i="48" s="1"/>
  <c r="F63" i="14"/>
  <c r="C29" i="20"/>
  <c r="C16" i="22"/>
  <c r="C17" i="19"/>
  <c r="C19" i="19" s="1"/>
  <c r="D39" i="14" s="1"/>
  <c r="C56" i="22"/>
  <c r="C58" i="22" s="1"/>
  <c r="D49" i="14" s="1"/>
  <c r="D52" i="14" s="1"/>
  <c r="C20" i="16"/>
  <c r="C22" i="16" s="1"/>
  <c r="D43" i="14" s="1"/>
  <c r="C22" i="59"/>
  <c r="C18" i="15"/>
  <c r="C20" i="15" s="1"/>
  <c r="D40" i="14" s="1"/>
  <c r="C17" i="49"/>
  <c r="C10" i="13"/>
  <c r="C10" i="17"/>
  <c r="C12" i="17" s="1"/>
  <c r="D54" i="14" s="1"/>
  <c r="D56" i="14" s="1"/>
  <c r="F15" i="48"/>
  <c r="R13" i="14"/>
  <c r="R16" i="14" s="1"/>
  <c r="R27" i="14" s="1"/>
  <c r="R40" i="14" l="1"/>
  <c r="B17" i="48"/>
  <c r="B12" i="13"/>
  <c r="C41" i="14" s="1"/>
  <c r="R39" i="14"/>
  <c r="D46" i="14"/>
  <c r="D61" i="14" s="1"/>
  <c r="D63" i="14" s="1"/>
  <c r="R43" i="14"/>
  <c r="R48" i="14"/>
  <c r="R52" i="14" s="1"/>
  <c r="C52" i="14"/>
  <c r="C56" i="14"/>
  <c r="R54" i="14"/>
  <c r="R56" i="14" s="1"/>
  <c r="C17" i="48"/>
  <c r="C12" i="13"/>
  <c r="D41" i="14" s="1"/>
  <c r="R41" i="14" l="1"/>
  <c r="R46" i="14"/>
  <c r="R61" i="14" s="1"/>
  <c r="B29" i="48"/>
  <c r="B22" i="48"/>
  <c r="B26" i="48"/>
  <c r="B24" i="48"/>
  <c r="B30" i="48"/>
  <c r="B25" i="48"/>
  <c r="Q25" i="48" s="1"/>
  <c r="B23" i="48"/>
  <c r="B32" i="48"/>
  <c r="Q32" i="48" s="1"/>
  <c r="B31" i="48"/>
  <c r="B27" i="48"/>
  <c r="B28" i="48"/>
  <c r="C27" i="48"/>
  <c r="C31" i="48"/>
  <c r="C24" i="48"/>
  <c r="C32" i="48"/>
  <c r="C29" i="48"/>
  <c r="C28" i="48"/>
  <c r="C30" i="48"/>
  <c r="C22" i="48"/>
  <c r="C23" i="48"/>
  <c r="C25" i="48"/>
  <c r="C26" i="48"/>
  <c r="C46" i="14"/>
  <c r="C61" i="14" s="1"/>
  <c r="C63" i="14" s="1"/>
  <c r="Q27" i="48" l="1"/>
  <c r="B33" i="48"/>
  <c r="Q22" i="48"/>
  <c r="Q31" i="48"/>
  <c r="Q30" i="48"/>
  <c r="Q29" i="48"/>
  <c r="Q24" i="48"/>
  <c r="C33" i="48"/>
  <c r="Q28" i="48"/>
  <c r="Q23" i="48"/>
  <c r="Q26"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<sst xmlns="http://schemas.openxmlformats.org/spreadsheetml/2006/main" count="2365" uniqueCount="856">
  <si>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</si>
  <si>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</si>
  <si>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</si>
  <si>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</si>
  <si>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</si>
  <si>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</si>
  <si>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</si>
  <si>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</si>
  <si>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</si>
  <si>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</si>
  <si>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</si>
  <si>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</si>
  <si>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</si>
  <si>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</si>
  <si>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</si>
  <si>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</si>
  <si>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</si>
  <si>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</si>
  <si>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</si>
  <si>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</si>
  <si>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</si>
  <si>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</si>
  <si>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</si>
  <si>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</si>
  <si>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</si>
  <si>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</si>
  <si>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</si>
  <si>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</si>
  <si>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</si>
  <si>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</si>
  <si>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</si>
  <si>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</si>
  <si>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</si>
  <si>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</si>
  <si>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</si>
  <si>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</si>
  <si>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</si>
  <si>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</si>
  <si>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</si>
  <si>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</si>
  <si>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</si>
  <si>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</si>
  <si>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</si>
  <si>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</si>
  <si>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</si>
  <si>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</si>
  <si>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</si>
  <si>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</si>
  <si>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</si>
  <si>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</si>
  <si>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</si>
  <si>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</si>
  <si>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</si>
  <si>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</si>
  <si>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</si>
  <si>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</si>
  <si>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</si>
  <si>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</si>
  <si>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</si>
  <si>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</si>
  <si>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</si>
  <si>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</si>
  <si>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</si>
  <si>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</si>
  <si>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</si>
  <si>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</si>
  <si>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</si>
  <si>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</si>
  <si>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</si>
  <si>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</si>
  <si>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</si>
  <si>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</si>
  <si>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</si>
  <si>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</si>
  <si>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</si>
  <si>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</si>
  <si>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</si>
  <si>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</si>
  <si>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</si>
  <si>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</si>
  <si>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</si>
  <si>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</si>
  <si>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</si>
  <si>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</si>
  <si>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</si>
  <si>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</si>
  <si>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</si>
  <si>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</si>
  <si>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</si>
  <si>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</si>
  <si>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</si>
  <si>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</si>
  <si>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</si>
  <si>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</si>
  <si>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</si>
  <si>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</si>
  <si>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</si>
  <si>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</si>
  <si>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</si>
  <si>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</si>
  <si>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</si>
  <si>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</si>
  <si>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</si>
  <si>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</si>
  <si>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</si>
  <si>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</si>
  <si>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</si>
  <si>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</si>
  <si>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</si>
  <si>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</si>
  <si>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</si>
  <si>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</si>
  <si>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</si>
  <si>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</si>
  <si>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</si>
  <si>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</si>
  <si>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</si>
  <si>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</si>
  <si>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</si>
  <si>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</si>
  <si>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</si>
  <si>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</si>
  <si>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</si>
  <si>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</si>
  <si>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</si>
  <si>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</si>
  <si>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</si>
  <si>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</si>
  <si>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</si>
  <si>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</si>
  <si>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</si>
  <si>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</si>
  <si>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</si>
  <si>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</si>
  <si>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</si>
  <si>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</si>
  <si>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</si>
  <si>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</si>
  <si>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</si>
  <si>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</si>
  <si>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</si>
  <si>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</si>
  <si>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</si>
  <si>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</si>
  <si>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</si>
  <si>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</si>
  <si>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</si>
  <si>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</si>
  <si>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</si>
  <si>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</si>
  <si>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</si>
  <si>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</si>
  <si>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</si>
  <si>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</si>
  <si>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</si>
  <si>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</si>
  <si>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</si>
  <si>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</si>
  <si>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</si>
  <si>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</si>
  <si>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</si>
  <si>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</si>
  <si>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</si>
  <si>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</si>
  <si>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</si>
  <si>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</si>
  <si>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</si>
  <si>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</si>
  <si>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</si>
  <si>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</si>
  <si>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</si>
  <si>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</si>
  <si>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</si>
  <si>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</si>
  <si>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</si>
  <si>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</si>
  <si>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</si>
  <si>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</si>
  <si>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</si>
  <si>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</si>
  <si>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</si>
  <si>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</si>
  <si>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</si>
  <si>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</si>
  <si>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</si>
  <si>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</si>
  <si>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</si>
  <si>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</si>
  <si>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</si>
  <si>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</si>
  <si>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</si>
  <si>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</si>
  <si>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</si>
  <si>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</si>
  <si>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</si>
  <si>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</si>
  <si>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</si>
  <si>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</si>
  <si>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</si>
  <si>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</si>
  <si>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</si>
  <si>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</si>
  <si>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</si>
  <si>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</si>
  <si>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</si>
  <si>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</si>
  <si>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</si>
  <si>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</si>
  <si>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</si>
  <si>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</si>
  <si>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</si>
  <si>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</si>
  <si>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</si>
  <si>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</si>
  <si>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</si>
  <si>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</si>
  <si>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</si>
  <si>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</si>
  <si>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</si>
  <si>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</si>
  <si>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</si>
  <si>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</si>
  <si>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</si>
  <si>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</si>
  <si>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</si>
  <si>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</si>
  <si>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</si>
  <si>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</si>
  <si>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</si>
  <si>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</si>
  <si>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</si>
  <si>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</si>
  <si>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</si>
  <si>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</si>
  <si>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</si>
  <si>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</si>
  <si>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</si>
  <si>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</si>
  <si>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</si>
  <si>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</si>
  <si>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</si>
  <si>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</si>
  <si>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</si>
  <si>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</si>
  <si>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</si>
  <si>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</si>
  <si>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</si>
  <si>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</si>
  <si>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</si>
  <si>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</si>
  <si>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</si>
  <si>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</si>
  <si>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</si>
  <si>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</si>
  <si>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</si>
  <si>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</si>
  <si>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</si>
  <si>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</si>
  <si>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</si>
  <si>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</si>
  <si>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</si>
  <si>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</si>
  <si>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</si>
  <si>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</si>
  <si>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</si>
  <si>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</si>
  <si>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</si>
  <si>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</si>
  <si>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</si>
  <si>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</si>
  <si>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</si>
  <si>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</si>
  <si>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</si>
  <si>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</si>
  <si>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</si>
  <si>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</si>
  <si>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</si>
  <si>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</si>
  <si>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</si>
  <si>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</si>
  <si>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</si>
  <si>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</si>
  <si>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</si>
  <si>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</si>
  <si>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</si>
  <si>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</si>
  <si>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</si>
  <si>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</si>
  <si>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</si>
  <si>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</si>
  <si>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</si>
  <si>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</si>
  <si>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</si>
  <si>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</si>
  <si>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</si>
  <si>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</si>
  <si>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</si>
  <si>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</si>
  <si>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</si>
  <si>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</si>
  <si>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</si>
  <si>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</si>
  <si>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</si>
  <si>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</si>
  <si>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</si>
  <si>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</si>
  <si>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</si>
  <si>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</si>
  <si>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</si>
  <si>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</si>
  <si>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</si>
  <si>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</si>
  <si>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</si>
  <si>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</si>
  <si>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</si>
  <si>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</si>
  <si>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</si>
  <si>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</si>
  <si>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</si>
  <si>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</si>
  <si>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</si>
  <si>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</si>
  <si>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</si>
  <si>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</si>
  <si>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</si>
  <si>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</si>
  <si>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</si>
  <si>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</si>
  <si>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</si>
  <si>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</si>
  <si>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</si>
  <si>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</si>
  <si>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</si>
  <si>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</si>
  <si>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</si>
  <si>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</si>
  <si>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</si>
  <si>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</si>
  <si>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</si>
  <si>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</si>
  <si>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</si>
  <si>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</si>
  <si>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</si>
  <si>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</si>
  <si>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</si>
  <si>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</si>
  <si>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</si>
  <si>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</si>
  <si>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</si>
  <si>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</si>
  <si>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</si>
  <si>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</si>
  <si>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</si>
  <si>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</si>
  <si>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</si>
  <si>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</si>
  <si>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</si>
  <si>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</si>
  <si>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</si>
  <si>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</si>
  <si>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</si>
  <si>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</si>
  <si>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</si>
  <si>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</si>
  <si>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</si>
  <si>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</si>
  <si>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</si>
  <si>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</si>
  <si>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</si>
  <si>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</si>
  <si>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</si>
  <si>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</si>
  <si>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</si>
  <si>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</si>
  <si>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</si>
  <si>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</si>
  <si>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</si>
  <si>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</si>
  <si>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</si>
  <si>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</si>
  <si>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</si>
  <si>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</si>
  <si>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</si>
  <si>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</si>
  <si>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</si>
  <si>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</si>
  <si>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</si>
  <si>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</si>
  <si>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</si>
  <si>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</si>
  <si>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</si>
  <si>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</si>
  <si>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</si>
  <si>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</si>
  <si>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</si>
  <si>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</si>
  <si>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</si>
  <si>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</si>
  <si>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</si>
  <si>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</si>
  <si>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</si>
  <si>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</si>
  <si>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</si>
  <si>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</si>
  <si>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</si>
  <si>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</si>
  <si>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</si>
  <si>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</si>
  <si>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</si>
  <si>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</si>
  <si>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</si>
  <si>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</si>
  <si>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</si>
  <si>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</si>
  <si>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</si>
  <si>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</si>
  <si>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</si>
  <si>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</si>
  <si>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</si>
  <si>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</si>
  <si>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</si>
  <si>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</si>
  <si>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</si>
  <si>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</si>
  <si>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</si>
  <si>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</si>
  <si>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</si>
  <si>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</si>
  <si>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</si>
  <si>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</si>
  <si>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</si>
  <si>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</si>
  <si>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</si>
  <si>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</si>
  <si>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</si>
  <si>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</si>
  <si>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</si>
  <si>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</si>
  <si>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</si>
  <si>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</si>
  <si>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</si>
  <si>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</si>
  <si>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</si>
  <si>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</si>
  <si>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</si>
  <si>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</si>
  <si>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</si>
  <si>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</si>
  <si>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</si>
  <si>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</si>
  <si>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</si>
  <si>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</si>
  <si>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</si>
  <si>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</si>
  <si>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</si>
  <si>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</si>
  <si>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</si>
  <si>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</si>
  <si>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</si>
  <si>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</si>
  <si>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</si>
  <si>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</si>
  <si>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</si>
  <si>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</si>
  <si>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</si>
  <si>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</si>
  <si>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</si>
  <si>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</si>
  <si>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</si>
  <si>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</si>
  <si>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</si>
  <si>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</si>
  <si>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</si>
  <si>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</si>
  <si>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</si>
  <si>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</si>
  <si>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</si>
  <si>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</si>
  <si>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</si>
  <si>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</si>
  <si>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</si>
  <si>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</si>
  <si>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</si>
  <si>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</si>
  <si>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</si>
  <si>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</si>
  <si>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</si>
  <si>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</si>
  <si>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</si>
  <si>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</si>
  <si>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</si>
  <si>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</si>
  <si>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</si>
  <si>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</si>
  <si>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</si>
  <si>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</si>
  <si>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</si>
  <si>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</si>
  <si>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</si>
  <si>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</si>
  <si>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</si>
  <si>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</si>
  <si>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</si>
  <si>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</si>
  <si>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</si>
  <si>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</si>
  <si>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</si>
  <si>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</si>
  <si>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</si>
  <si>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</si>
  <si>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</si>
  <si>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</si>
  <si>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</si>
  <si>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</si>
  <si>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</si>
  <si>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</si>
  <si>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</si>
  <si>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</si>
  <si>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</si>
  <si>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</si>
  <si>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</si>
  <si>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</si>
  <si>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</si>
  <si>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</si>
  <si>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</si>
  <si>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</si>
  <si>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</si>
  <si>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</si>
  <si>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</si>
  <si>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</si>
  <si>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</si>
  <si>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</si>
  <si>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</si>
  <si>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</si>
  <si>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</si>
  <si>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</si>
  <si>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</si>
  <si>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</si>
  <si>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</si>
  <si>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</si>
  <si>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</si>
  <si>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</si>
  <si>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</si>
  <si>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</si>
  <si>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</si>
  <si>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</si>
  <si>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</si>
  <si>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</si>
  <si>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</si>
  <si>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</si>
  <si>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</si>
  <si>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</si>
  <si>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</si>
  <si>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</si>
  <si>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</si>
  <si>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</si>
  <si>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</si>
  <si>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</si>
  <si>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</si>
  <si>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</si>
  <si>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</si>
  <si>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</si>
  <si>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</si>
  <si>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</si>
  <si>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</si>
  <si>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</si>
  <si>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</si>
  <si>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</si>
  <si>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</si>
  <si>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</si>
  <si>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</si>
  <si>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</si>
  <si>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</si>
  <si>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</si>
  <si>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</si>
  <si>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</si>
  <si>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</si>
  <si>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</si>
  <si>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</si>
  <si>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</si>
  <si>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</si>
  <si>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</si>
  <si>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</si>
  <si>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</si>
  <si>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</si>
  <si>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</si>
  <si>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</si>
  <si>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</si>
  <si>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</si>
  <si>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</si>
  <si>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</si>
  <si>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</si>
  <si>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</si>
  <si>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</si>
  <si>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</si>
  <si>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</si>
  <si>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</si>
  <si>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</si>
  <si>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</si>
  <si>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</si>
  <si>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</si>
  <si>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</si>
  <si>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</si>
  <si>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</si>
  <si>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</si>
  <si>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</si>
  <si>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</si>
  <si>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</si>
  <si>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</si>
  <si>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</si>
  <si>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</si>
  <si>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</si>
  <si>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</si>
  <si>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</si>
  <si>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</si>
  <si>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</si>
  <si>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</si>
  <si>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</si>
  <si>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</si>
  <si>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</si>
  <si>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</si>
  <si>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</si>
  <si>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</si>
  <si>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</si>
  <si>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</si>
  <si>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</si>
  <si>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</si>
  <si>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</si>
  <si>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</si>
  <si>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</si>
  <si>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</si>
  <si>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</si>
  <si>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</si>
  <si>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</si>
  <si>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</si>
  <si>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</si>
  <si>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</si>
  <si>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</si>
  <si>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</si>
  <si>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</si>
  <si>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</si>
  <si>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</si>
  <si>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</si>
  <si>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</si>
  <si>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</si>
  <si>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</si>
  <si>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</si>
  <si>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</si>
  <si>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</si>
  <si>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</si>
  <si>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</si>
  <si>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</si>
  <si>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</si>
  <si>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</si>
  <si>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</si>
  <si>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</si>
  <si>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</si>
  <si>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</si>
  <si>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</si>
  <si>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</si>
  <si>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</si>
  <si>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</si>
  <si>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</si>
  <si>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</si>
  <si>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</si>
  <si>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</si>
  <si>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</si>
  <si>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</si>
  <si>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</si>
  <si>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</si>
  <si>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</si>
  <si>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</si>
  <si>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</si>
  <si>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</si>
  <si>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</si>
  <si>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</si>
  <si>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</si>
  <si>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</si>
  <si>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</si>
  <si>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</si>
  <si>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</si>
  <si>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</si>
  <si>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</si>
  <si>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</si>
  <si>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</si>
  <si>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</si>
  <si>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</si>
  <si>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</si>
  <si>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</si>
  <si>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</si>
  <si>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</si>
  <si>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</si>
  <si>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</si>
  <si>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</si>
  <si>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</si>
  <si>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</si>
  <si>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</si>
  <si>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</si>
  <si>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</si>
  <si>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</si>
  <si>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</si>
  <si>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</si>
  <si>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</si>
  <si>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</si>
  <si>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</si>
  <si>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</si>
  <si>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</si>
  <si>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</si>
  <si>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</si>
  <si>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</si>
  <si>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</si>
  <si>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</si>
  <si>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</si>
  <si>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</si>
  <si>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</si>
  <si>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</si>
  <si>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</si>
  <si>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</si>
  <si>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</si>
  <si>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</si>
  <si>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</si>
  <si>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</si>
  <si>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</si>
  <si>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</si>
  <si>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</si>
  <si>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</si>
  <si>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</si>
  <si>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</si>
  <si>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</si>
  <si>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</si>
  <si>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</si>
  <si>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</si>
  <si>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</si>
  <si>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</si>
  <si>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</si>
  <si>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</si>
  <si>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</si>
  <si>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</si>
  <si>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</si>
  <si>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</si>
  <si>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</si>
  <si>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</si>
  <si>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</si>
  <si>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</si>
  <si>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</si>
  <si>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</si>
  <si>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</si>
  <si>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</si>
  <si>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</si>
  <si>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</si>
  <si>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</si>
  <si>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</si>
  <si>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</si>
  <si>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</si>
  <si>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</si>
  <si>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</si>
  <si>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</si>
  <si>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</si>
  <si>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</si>
  <si>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</si>
  <si>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</si>
  <si>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</si>
  <si>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</si>
  <si>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</si>
  <si>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</si>
  <si>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</si>
  <si>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</si>
  <si>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</si>
  <si>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</si>
  <si>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</si>
  <si>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</si>
  <si>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</si>
  <si>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</si>
  <si>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</si>
  <si>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</si>
  <si>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</si>
  <si>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</si>
  <si>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</si>
  <si>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</si>
  <si>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</si>
  <si>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</si>
  <si>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</si>
  <si>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</si>
  <si>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</si>
  <si>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</si>
  <si>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</si>
  <si>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</si>
  <si>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</si>
  <si>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</si>
  <si>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</si>
  <si>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</si>
  <si>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</si>
  <si>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</si>
  <si>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</si>
  <si>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</si>
  <si>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</si>
  <si>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</si>
  <si>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</si>
  <si>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</si>
  <si>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</si>
  <si>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</si>
  <si>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</si>
  <si>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</si>
  <si>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</si>
  <si>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</si>
  <si>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</si>
  <si>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</si>
  <si>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</si>
  <si>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</si>
  <si>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</si>
  <si>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</si>
  <si>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</si>
  <si>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</si>
  <si>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</si>
  <si>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</si>
  <si>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</si>
  <si>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</si>
  <si>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</si>
  <si>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</si>
  <si>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</si>
  <si>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</si>
  <si>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</si>
  <si>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</si>
  <si>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</si>
  <si>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</si>
  <si>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</si>
  <si>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</si>
  <si>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</si>
  <si>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</si>
  <si>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</si>
  <si>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</si>
  <si>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</si>
  <si>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</si>
  <si>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</si>
  <si>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</si>
  <si>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</si>
  <si>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</si>
  <si>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</si>
  <si>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</si>
  <si>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</si>
  <si>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</si>
  <si>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</si>
  <si>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</si>
  <si>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</si>
  <si>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</si>
  <si>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</si>
  <si>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</si>
  <si>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</si>
  <si>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</si>
  <si>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</si>
  <si>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</si>
  <si>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</si>
  <si>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42026</t>
  </si>
  <si>
    <t>WICHELEN</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</si>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</sst>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7BB3F91-87BE-4BD0-BFB1-E1CDA4E7AC5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100520.08338627648</c:v>
                </c:pt>
                <c:pt idx="1">
                  <c:v>16778.94029180611</c:v>
                </c:pt>
                <c:pt idx="2">
                  <c:v>809.19</c:v>
                </c:pt>
                <c:pt idx="3">
                  <c:v>2734.1370042288063</c:v>
                </c:pt>
                <c:pt idx="4">
                  <c:v>9113.7540219364801</c:v>
                </c:pt>
                <c:pt idx="5">
                  <c:v>43143.455046841686</c:v>
                </c:pt>
                <c:pt idx="6">
                  <c:v>423.9239655869485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100520.08338627648</c:v>
                </c:pt>
                <c:pt idx="1">
                  <c:v>16778.94029180611</c:v>
                </c:pt>
                <c:pt idx="2">
                  <c:v>809.19</c:v>
                </c:pt>
                <c:pt idx="3">
                  <c:v>2734.1370042288063</c:v>
                </c:pt>
                <c:pt idx="4">
                  <c:v>9113.7540219364801</c:v>
                </c:pt>
                <c:pt idx="5">
                  <c:v>43143.455046841686</c:v>
                </c:pt>
                <c:pt idx="6">
                  <c:v>423.9239655869485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20402.074885639409</c:v>
                </c:pt>
                <c:pt idx="1">
                  <c:v>3320.3359662169996</c:v>
                </c:pt>
                <c:pt idx="2">
                  <c:v>156.49009857681952</c:v>
                </c:pt>
                <c:pt idx="3">
                  <c:v>689.39430371481865</c:v>
                </c:pt>
                <c:pt idx="4">
                  <c:v>1858.0692703812201</c:v>
                </c:pt>
                <c:pt idx="5">
                  <c:v>10669.012700087062</c:v>
                </c:pt>
                <c:pt idx="6">
                  <c:v>106.66869870346292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20402.074885639409</c:v>
                </c:pt>
                <c:pt idx="1">
                  <c:v>3320.3359662169996</c:v>
                </c:pt>
                <c:pt idx="2">
                  <c:v>156.49009857681952</c:v>
                </c:pt>
                <c:pt idx="3">
                  <c:v>689.39430371481865</c:v>
                </c:pt>
                <c:pt idx="4">
                  <c:v>1858.0692703812201</c:v>
                </c:pt>
                <c:pt idx="5">
                  <c:v>10669.012700087062</c:v>
                </c:pt>
                <c:pt idx="6">
                  <c:v>106.66869870346292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42026</v>
      </c>
      <c r="B6" s="382"/>
      <c r="C6" s="383"/>
    </row>
    <row r="7" spans="1:7" s="380" customFormat="1" ht="15.75" customHeight="1">
      <c r="A7" s="384" t="str">
        <f>txtMunicipality</f>
        <v>WICHELEN</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0.1933910436075823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0.1933910436075823</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5064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1113.8800000000001</v>
      </c>
      <c r="C14" s="324"/>
      <c r="D14" s="324"/>
      <c r="E14" s="324"/>
      <c r="F14" s="324"/>
    </row>
    <row r="15" spans="1:6">
      <c r="A15" s="1265" t="s">
        <v>177</v>
      </c>
      <c r="B15" s="1266">
        <v>5</v>
      </c>
      <c r="C15" s="324"/>
      <c r="D15" s="324"/>
      <c r="E15" s="324"/>
      <c r="F15" s="324"/>
    </row>
    <row r="16" spans="1:6">
      <c r="A16" s="1265" t="s">
        <v>6</v>
      </c>
      <c r="B16" s="1266">
        <v>243</v>
      </c>
      <c r="C16" s="324"/>
      <c r="D16" s="324"/>
      <c r="E16" s="324"/>
      <c r="F16" s="324"/>
    </row>
    <row r="17" spans="1:6">
      <c r="A17" s="1265" t="s">
        <v>7</v>
      </c>
      <c r="B17" s="1266">
        <v>284</v>
      </c>
      <c r="C17" s="324"/>
      <c r="D17" s="324"/>
      <c r="E17" s="324"/>
      <c r="F17" s="324"/>
    </row>
    <row r="18" spans="1:6">
      <c r="A18" s="1265" t="s">
        <v>8</v>
      </c>
      <c r="B18" s="1266">
        <v>275</v>
      </c>
      <c r="C18" s="324"/>
      <c r="D18" s="324"/>
      <c r="E18" s="324"/>
      <c r="F18" s="324"/>
    </row>
    <row r="19" spans="1:6">
      <c r="A19" s="1265" t="s">
        <v>9</v>
      </c>
      <c r="B19" s="1266">
        <v>272</v>
      </c>
      <c r="C19" s="324"/>
      <c r="D19" s="324"/>
      <c r="E19" s="324"/>
      <c r="F19" s="324"/>
    </row>
    <row r="20" spans="1:6">
      <c r="A20" s="1265" t="s">
        <v>10</v>
      </c>
      <c r="B20" s="1266">
        <v>307</v>
      </c>
      <c r="C20" s="324"/>
      <c r="D20" s="324"/>
      <c r="E20" s="324"/>
      <c r="F20" s="324"/>
    </row>
    <row r="21" spans="1:6">
      <c r="A21" s="1265" t="s">
        <v>11</v>
      </c>
      <c r="B21" s="1266">
        <v>961</v>
      </c>
      <c r="C21" s="324"/>
      <c r="D21" s="324"/>
      <c r="E21" s="324"/>
      <c r="F21" s="324"/>
    </row>
    <row r="22" spans="1:6">
      <c r="A22" s="1265" t="s">
        <v>12</v>
      </c>
      <c r="B22" s="1266">
        <v>2683</v>
      </c>
      <c r="C22" s="324"/>
      <c r="D22" s="324"/>
      <c r="E22" s="324"/>
      <c r="F22" s="324"/>
    </row>
    <row r="23" spans="1:6">
      <c r="A23" s="1265" t="s">
        <v>13</v>
      </c>
      <c r="B23" s="1266">
        <v>10</v>
      </c>
      <c r="C23" s="324"/>
      <c r="D23" s="324"/>
      <c r="E23" s="324"/>
      <c r="F23" s="324"/>
    </row>
    <row r="24" spans="1:6">
      <c r="A24" s="1265" t="s">
        <v>14</v>
      </c>
      <c r="B24" s="1266">
        <v>2</v>
      </c>
      <c r="C24" s="324"/>
      <c r="D24" s="324"/>
      <c r="E24" s="324"/>
      <c r="F24" s="324"/>
    </row>
    <row r="25" spans="1:6">
      <c r="A25" s="1265" t="s">
        <v>15</v>
      </c>
      <c r="B25" s="1266">
        <v>296</v>
      </c>
      <c r="C25" s="324"/>
      <c r="D25" s="324"/>
      <c r="E25" s="324"/>
      <c r="F25" s="324"/>
    </row>
    <row r="26" spans="1:6">
      <c r="A26" s="1265" t="s">
        <v>16</v>
      </c>
      <c r="B26" s="1266">
        <v>201</v>
      </c>
      <c r="C26" s="324"/>
      <c r="D26" s="324"/>
      <c r="E26" s="324"/>
      <c r="F26" s="324"/>
    </row>
    <row r="27" spans="1:6">
      <c r="A27" s="1265" t="s">
        <v>17</v>
      </c>
      <c r="B27" s="1266">
        <v>0</v>
      </c>
      <c r="C27" s="324"/>
      <c r="D27" s="324"/>
      <c r="E27" s="324"/>
      <c r="F27" s="324"/>
    </row>
    <row r="28" spans="1:6">
      <c r="A28" s="1265" t="s">
        <v>18</v>
      </c>
      <c r="B28" s="1267">
        <v>5884</v>
      </c>
      <c r="C28" s="324"/>
      <c r="D28" s="324"/>
      <c r="E28" s="324"/>
      <c r="F28" s="324"/>
    </row>
    <row r="29" spans="1:6">
      <c r="A29" s="1265" t="s">
        <v>653</v>
      </c>
      <c r="B29" s="1267">
        <v>35</v>
      </c>
      <c r="C29" s="324"/>
      <c r="D29" s="324"/>
      <c r="E29" s="324"/>
      <c r="F29" s="324"/>
    </row>
    <row r="30" spans="1:6">
      <c r="A30" s="1260" t="s">
        <v>654</v>
      </c>
      <c r="B30" s="1268">
        <v>7</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0</v>
      </c>
      <c r="F36" s="1266">
        <v>0</v>
      </c>
    </row>
    <row r="37" spans="1:6">
      <c r="A37" s="1265" t="s">
        <v>24</v>
      </c>
      <c r="B37" s="1265" t="s">
        <v>27</v>
      </c>
      <c r="C37" s="1266">
        <v>0</v>
      </c>
      <c r="D37" s="1266">
        <v>0</v>
      </c>
      <c r="E37" s="1266">
        <v>0</v>
      </c>
      <c r="F37" s="1266">
        <v>0</v>
      </c>
    </row>
    <row r="38" spans="1:6">
      <c r="A38" s="1265" t="s">
        <v>24</v>
      </c>
      <c r="B38" s="1265" t="s">
        <v>28</v>
      </c>
      <c r="C38" s="1266">
        <v>0</v>
      </c>
      <c r="D38" s="1266">
        <v>0</v>
      </c>
      <c r="E38" s="1266">
        <v>1</v>
      </c>
      <c r="F38" s="1266">
        <v>9221.6625540870009</v>
      </c>
    </row>
    <row r="39" spans="1:6">
      <c r="A39" s="1265" t="s">
        <v>29</v>
      </c>
      <c r="B39" s="1265" t="s">
        <v>30</v>
      </c>
      <c r="C39" s="1266">
        <v>2895</v>
      </c>
      <c r="D39" s="1266">
        <v>43415176.323321797</v>
      </c>
      <c r="E39" s="1266">
        <v>4941</v>
      </c>
      <c r="F39" s="1266">
        <v>19573374.203868601</v>
      </c>
    </row>
    <row r="40" spans="1:6">
      <c r="A40" s="1265" t="s">
        <v>29</v>
      </c>
      <c r="B40" s="1265" t="s">
        <v>28</v>
      </c>
      <c r="C40" s="1266">
        <v>0</v>
      </c>
      <c r="D40" s="1266">
        <v>0</v>
      </c>
      <c r="E40" s="1266">
        <v>0</v>
      </c>
      <c r="F40" s="1266">
        <v>0</v>
      </c>
    </row>
    <row r="41" spans="1:6">
      <c r="A41" s="1265" t="s">
        <v>31</v>
      </c>
      <c r="B41" s="1265" t="s">
        <v>32</v>
      </c>
      <c r="C41" s="1266">
        <v>72</v>
      </c>
      <c r="D41" s="1266">
        <v>1182551.33067039</v>
      </c>
      <c r="E41" s="1266">
        <v>170</v>
      </c>
      <c r="F41" s="1266">
        <v>1824618.51794121</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8</v>
      </c>
      <c r="D44" s="1266">
        <v>128653.08952730701</v>
      </c>
      <c r="E44" s="1266">
        <v>18</v>
      </c>
      <c r="F44" s="1266">
        <v>82218.717191911201</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0</v>
      </c>
      <c r="D47" s="1266">
        <v>0</v>
      </c>
      <c r="E47" s="1266">
        <v>3</v>
      </c>
      <c r="F47" s="1266">
        <v>6149.4838364097996</v>
      </c>
    </row>
    <row r="48" spans="1:6">
      <c r="A48" s="1265" t="s">
        <v>31</v>
      </c>
      <c r="B48" s="1265" t="s">
        <v>28</v>
      </c>
      <c r="C48" s="1266">
        <v>2</v>
      </c>
      <c r="D48" s="1266">
        <v>34800.4869809632</v>
      </c>
      <c r="E48" s="1266">
        <v>1</v>
      </c>
      <c r="F48" s="1266">
        <v>7357</v>
      </c>
    </row>
    <row r="49" spans="1:6">
      <c r="A49" s="1265" t="s">
        <v>31</v>
      </c>
      <c r="B49" s="1265" t="s">
        <v>39</v>
      </c>
      <c r="C49" s="1266">
        <v>7</v>
      </c>
      <c r="D49" s="1266">
        <v>1460288.66057057</v>
      </c>
      <c r="E49" s="1266">
        <v>11</v>
      </c>
      <c r="F49" s="1266">
        <v>2589526.7354159998</v>
      </c>
    </row>
    <row r="50" spans="1:6">
      <c r="A50" s="1265" t="s">
        <v>31</v>
      </c>
      <c r="B50" s="1265" t="s">
        <v>40</v>
      </c>
      <c r="C50" s="1266">
        <v>4</v>
      </c>
      <c r="D50" s="1266">
        <v>74973.250727619496</v>
      </c>
      <c r="E50" s="1266">
        <v>10</v>
      </c>
      <c r="F50" s="1266">
        <v>636636.35570405505</v>
      </c>
    </row>
    <row r="51" spans="1:6">
      <c r="A51" s="1265" t="s">
        <v>41</v>
      </c>
      <c r="B51" s="1265" t="s">
        <v>42</v>
      </c>
      <c r="C51" s="1266">
        <v>7</v>
      </c>
      <c r="D51" s="1266">
        <v>202462.15994114001</v>
      </c>
      <c r="E51" s="1266">
        <v>52</v>
      </c>
      <c r="F51" s="1266">
        <v>543097.50775283598</v>
      </c>
    </row>
    <row r="52" spans="1:6">
      <c r="A52" s="1265" t="s">
        <v>41</v>
      </c>
      <c r="B52" s="1265" t="s">
        <v>28</v>
      </c>
      <c r="C52" s="1266">
        <v>0</v>
      </c>
      <c r="D52" s="1266">
        <v>0</v>
      </c>
      <c r="E52" s="1266">
        <v>0</v>
      </c>
      <c r="F52" s="1266">
        <v>0</v>
      </c>
    </row>
    <row r="53" spans="1:6">
      <c r="A53" s="1265" t="s">
        <v>43</v>
      </c>
      <c r="B53" s="1265" t="s">
        <v>44</v>
      </c>
      <c r="C53" s="1266">
        <v>44</v>
      </c>
      <c r="D53" s="1266">
        <v>587472.08502973302</v>
      </c>
      <c r="E53" s="1266">
        <v>136</v>
      </c>
      <c r="F53" s="1266">
        <v>397456.211700744</v>
      </c>
    </row>
    <row r="54" spans="1:6">
      <c r="A54" s="1265" t="s">
        <v>45</v>
      </c>
      <c r="B54" s="1265" t="s">
        <v>46</v>
      </c>
      <c r="C54" s="1266">
        <v>0</v>
      </c>
      <c r="D54" s="1266">
        <v>0</v>
      </c>
      <c r="E54" s="1266">
        <v>1</v>
      </c>
      <c r="F54" s="1266">
        <v>809190</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31</v>
      </c>
      <c r="D57" s="1266">
        <v>623059.62638866203</v>
      </c>
      <c r="E57" s="1266">
        <v>62</v>
      </c>
      <c r="F57" s="1266">
        <v>1537416.32145584</v>
      </c>
    </row>
    <row r="58" spans="1:6">
      <c r="A58" s="1265" t="s">
        <v>48</v>
      </c>
      <c r="B58" s="1265" t="s">
        <v>50</v>
      </c>
      <c r="C58" s="1266">
        <v>13</v>
      </c>
      <c r="D58" s="1266">
        <v>590140.42834785103</v>
      </c>
      <c r="E58" s="1266">
        <v>21</v>
      </c>
      <c r="F58" s="1266">
        <v>264865.44628449401</v>
      </c>
    </row>
    <row r="59" spans="1:6">
      <c r="A59" s="1265" t="s">
        <v>48</v>
      </c>
      <c r="B59" s="1265" t="s">
        <v>51</v>
      </c>
      <c r="C59" s="1266">
        <v>50</v>
      </c>
      <c r="D59" s="1266">
        <v>1359063.5610251401</v>
      </c>
      <c r="E59" s="1266">
        <v>130</v>
      </c>
      <c r="F59" s="1266">
        <v>1806013.1109344</v>
      </c>
    </row>
    <row r="60" spans="1:6">
      <c r="A60" s="1265" t="s">
        <v>48</v>
      </c>
      <c r="B60" s="1265" t="s">
        <v>52</v>
      </c>
      <c r="C60" s="1266">
        <v>30</v>
      </c>
      <c r="D60" s="1266">
        <v>1245199.2082541799</v>
      </c>
      <c r="E60" s="1266">
        <v>42</v>
      </c>
      <c r="F60" s="1266">
        <v>978635.358763917</v>
      </c>
    </row>
    <row r="61" spans="1:6">
      <c r="A61" s="1265" t="s">
        <v>48</v>
      </c>
      <c r="B61" s="1265" t="s">
        <v>53</v>
      </c>
      <c r="C61" s="1266">
        <v>90</v>
      </c>
      <c r="D61" s="1266">
        <v>3683783.1655562399</v>
      </c>
      <c r="E61" s="1266">
        <v>212</v>
      </c>
      <c r="F61" s="1266">
        <v>2531358.61019619</v>
      </c>
    </row>
    <row r="62" spans="1:6">
      <c r="A62" s="1265" t="s">
        <v>48</v>
      </c>
      <c r="B62" s="1265" t="s">
        <v>54</v>
      </c>
      <c r="C62" s="1266">
        <v>3</v>
      </c>
      <c r="D62" s="1266">
        <v>147254.8884266</v>
      </c>
      <c r="E62" s="1266">
        <v>6</v>
      </c>
      <c r="F62" s="1266">
        <v>110519.977273201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2</v>
      </c>
      <c r="D65" s="1266">
        <v>26286.543736590898</v>
      </c>
      <c r="E65" s="1266">
        <v>0</v>
      </c>
      <c r="F65" s="1266">
        <v>0</v>
      </c>
    </row>
    <row r="66" spans="1:6">
      <c r="A66" s="1265" t="s">
        <v>55</v>
      </c>
      <c r="B66" s="1265" t="s">
        <v>57</v>
      </c>
      <c r="C66" s="1266">
        <v>0</v>
      </c>
      <c r="D66" s="1266">
        <v>0</v>
      </c>
      <c r="E66" s="1266">
        <v>3</v>
      </c>
      <c r="F66" s="1266">
        <v>12311.1606590464</v>
      </c>
    </row>
    <row r="67" spans="1:6">
      <c r="A67" s="1265" t="s">
        <v>55</v>
      </c>
      <c r="B67" s="1265" t="s">
        <v>58</v>
      </c>
      <c r="C67" s="1266">
        <v>0</v>
      </c>
      <c r="D67" s="1266">
        <v>0</v>
      </c>
      <c r="E67" s="1266">
        <v>0</v>
      </c>
      <c r="F67" s="1266">
        <v>0</v>
      </c>
    </row>
    <row r="68" spans="1:6">
      <c r="A68" s="1260" t="s">
        <v>55</v>
      </c>
      <c r="B68" s="1260" t="s">
        <v>59</v>
      </c>
      <c r="C68" s="1268">
        <v>0</v>
      </c>
      <c r="D68" s="1268">
        <v>0</v>
      </c>
      <c r="E68" s="1268">
        <v>7</v>
      </c>
      <c r="F68" s="1268">
        <v>52889.580658196501</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32212164</v>
      </c>
      <c r="E73" s="443"/>
      <c r="F73" s="324"/>
    </row>
    <row r="74" spans="1:6">
      <c r="A74" s="1265" t="s">
        <v>63</v>
      </c>
      <c r="B74" s="1265" t="s">
        <v>607</v>
      </c>
      <c r="C74" s="1278" t="s">
        <v>609</v>
      </c>
      <c r="D74" s="1266">
        <v>3058216.2273744168</v>
      </c>
      <c r="E74" s="443"/>
      <c r="F74" s="324"/>
    </row>
    <row r="75" spans="1:6">
      <c r="A75" s="1265" t="s">
        <v>64</v>
      </c>
      <c r="B75" s="1265" t="s">
        <v>606</v>
      </c>
      <c r="C75" s="1278" t="s">
        <v>610</v>
      </c>
      <c r="D75" s="1266">
        <v>13978383</v>
      </c>
      <c r="E75" s="443"/>
      <c r="F75" s="324"/>
    </row>
    <row r="76" spans="1:6">
      <c r="A76" s="1265" t="s">
        <v>64</v>
      </c>
      <c r="B76" s="1265" t="s">
        <v>607</v>
      </c>
      <c r="C76" s="1278" t="s">
        <v>611</v>
      </c>
      <c r="D76" s="1266">
        <v>455754.22737441701</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117669.545251166</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3838.8971276306165</v>
      </c>
      <c r="C91" s="324"/>
      <c r="D91" s="324"/>
      <c r="E91" s="324"/>
      <c r="F91" s="324"/>
    </row>
    <row r="92" spans="1:6">
      <c r="A92" s="1260" t="s">
        <v>68</v>
      </c>
      <c r="B92" s="1261">
        <v>865.53781321663837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940</v>
      </c>
      <c r="C97" s="324"/>
      <c r="D97" s="324"/>
      <c r="E97" s="324"/>
      <c r="F97" s="324"/>
    </row>
    <row r="98" spans="1:6">
      <c r="A98" s="1265" t="s">
        <v>71</v>
      </c>
      <c r="B98" s="1266">
        <v>0</v>
      </c>
      <c r="C98" s="324"/>
      <c r="D98" s="324"/>
      <c r="E98" s="324"/>
      <c r="F98" s="324"/>
    </row>
    <row r="99" spans="1:6">
      <c r="A99" s="1265" t="s">
        <v>72</v>
      </c>
      <c r="B99" s="1266">
        <v>93</v>
      </c>
      <c r="C99" s="324"/>
      <c r="D99" s="324"/>
      <c r="E99" s="324"/>
      <c r="F99" s="324"/>
    </row>
    <row r="100" spans="1:6">
      <c r="A100" s="1265" t="s">
        <v>73</v>
      </c>
      <c r="B100" s="1266">
        <v>693</v>
      </c>
      <c r="C100" s="324"/>
      <c r="D100" s="324"/>
      <c r="E100" s="324"/>
      <c r="F100" s="324"/>
    </row>
    <row r="101" spans="1:6">
      <c r="A101" s="1265" t="s">
        <v>74</v>
      </c>
      <c r="B101" s="1266">
        <v>61</v>
      </c>
      <c r="C101" s="324"/>
      <c r="D101" s="324"/>
      <c r="E101" s="324"/>
      <c r="F101" s="324"/>
    </row>
    <row r="102" spans="1:6">
      <c r="A102" s="1265" t="s">
        <v>75</v>
      </c>
      <c r="B102" s="1266">
        <v>73</v>
      </c>
      <c r="C102" s="324"/>
      <c r="D102" s="324"/>
      <c r="E102" s="324"/>
      <c r="F102" s="324"/>
    </row>
    <row r="103" spans="1:6">
      <c r="A103" s="1265" t="s">
        <v>76</v>
      </c>
      <c r="B103" s="1266">
        <v>251</v>
      </c>
      <c r="C103" s="324"/>
      <c r="D103" s="324"/>
      <c r="E103" s="324"/>
      <c r="F103" s="324"/>
    </row>
    <row r="104" spans="1:6">
      <c r="A104" s="1265" t="s">
        <v>77</v>
      </c>
      <c r="B104" s="1266">
        <v>2241</v>
      </c>
      <c r="C104" s="324"/>
      <c r="D104" s="324"/>
      <c r="E104" s="324"/>
      <c r="F104" s="324"/>
    </row>
    <row r="105" spans="1:6">
      <c r="A105" s="1260" t="s">
        <v>78</v>
      </c>
      <c r="B105" s="1268">
        <v>11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37</v>
      </c>
      <c r="C123" s="1266">
        <v>26</v>
      </c>
      <c r="D123" s="324"/>
      <c r="E123" s="324"/>
      <c r="F123" s="324"/>
    </row>
    <row r="124" spans="1:6">
      <c r="A124" s="1265" t="s">
        <v>88</v>
      </c>
      <c r="B124" s="1266">
        <v>1</v>
      </c>
      <c r="C124" s="1266">
        <v>1</v>
      </c>
      <c r="D124" s="324"/>
      <c r="E124" s="324"/>
      <c r="F124" s="324"/>
    </row>
    <row r="125" spans="1:6">
      <c r="A125" s="1260" t="s">
        <v>753</v>
      </c>
      <c r="B125" s="1266">
        <v>1</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107</v>
      </c>
      <c r="C129" s="324"/>
      <c r="D129" s="324"/>
      <c r="E129" s="324"/>
      <c r="F129" s="324"/>
    </row>
    <row r="130" spans="1:6">
      <c r="A130" s="1265" t="s">
        <v>284</v>
      </c>
      <c r="B130" s="1266">
        <v>2</v>
      </c>
      <c r="C130" s="324"/>
      <c r="D130" s="324"/>
      <c r="E130" s="324"/>
      <c r="F130" s="324"/>
    </row>
    <row r="131" spans="1:6">
      <c r="A131" s="1265" t="s">
        <v>285</v>
      </c>
      <c r="B131" s="1266">
        <v>0</v>
      </c>
      <c r="C131" s="324"/>
      <c r="D131" s="324"/>
      <c r="E131" s="324"/>
      <c r="F131" s="324"/>
    </row>
    <row r="132" spans="1:6">
      <c r="A132" s="1260" t="s">
        <v>286</v>
      </c>
      <c r="B132" s="1261">
        <v>29</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37657.349562577889</v>
      </c>
      <c r="C3" s="43" t="s">
        <v>163</v>
      </c>
      <c r="D3" s="43"/>
      <c r="E3" s="153"/>
      <c r="F3" s="43"/>
      <c r="G3" s="43"/>
      <c r="H3" s="43"/>
      <c r="I3" s="43"/>
      <c r="J3" s="43"/>
      <c r="K3" s="96"/>
    </row>
    <row r="4" spans="1:11">
      <c r="A4" s="350" t="s">
        <v>164</v>
      </c>
      <c r="B4" s="49">
        <f>IF(ISERROR('SEAP template'!B78+'SEAP template'!C78),0,'SEAP template'!B78+'SEAP template'!C78)</f>
        <v>4704.4349408472553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0.1933910436075823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809.19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809.19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0.1933910436075823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156.49009857681952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19573.374203868603</v>
      </c>
      <c r="C5" s="17">
        <f>IF(ISERROR('Eigen informatie GS &amp; warmtenet'!B59),0,'Eigen informatie GS &amp; warmtenet'!B59)</f>
        <v>0</v>
      </c>
      <c r="D5" s="30">
        <f>(SUM(HH_hh_gas_kWh,HH_rest_gas_kWh)/1000)*0.903</f>
        <v>39203.904219959579</v>
      </c>
      <c r="E5" s="17">
        <f>B32*B41</f>
        <v>1558.5202698631188</v>
      </c>
      <c r="F5" s="17">
        <f>B36*B45</f>
        <v>28232.804858854339</v>
      </c>
      <c r="G5" s="18"/>
      <c r="H5" s="17"/>
      <c r="I5" s="17"/>
      <c r="J5" s="17">
        <f>B35*B44+C35*C44</f>
        <v>178.58657800005955</v>
      </c>
      <c r="K5" s="17"/>
      <c r="L5" s="17"/>
      <c r="M5" s="17"/>
      <c r="N5" s="17">
        <f>B34*B43+C34*C43</f>
        <v>6962.3704530874065</v>
      </c>
      <c r="O5" s="17">
        <f>B52*B53*B54</f>
        <v>265.85040139786224</v>
      </c>
      <c r="P5" s="17">
        <f>B60*B61*B62/1000-B60*B61*B62/1000/B63</f>
        <v>705.77527361489661</v>
      </c>
    </row>
    <row r="6" spans="1:16">
      <c r="A6" s="16" t="s">
        <v>572</v>
      </c>
      <c r="B6" s="740">
        <f>kWh_PV_kleiner_dan_10kW</f>
        <v>3838.8971276306165</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23412.271331499222</v>
      </c>
      <c r="C8" s="21">
        <f>C5</f>
        <v>0</v>
      </c>
      <c r="D8" s="21">
        <f>D5</f>
        <v>39203.904219959579</v>
      </c>
      <c r="E8" s="21">
        <f>E5</f>
        <v>1558.5202698631188</v>
      </c>
      <c r="F8" s="21">
        <f>F5</f>
        <v>28232.804858854339</v>
      </c>
      <c r="G8" s="21"/>
      <c r="H8" s="21"/>
      <c r="I8" s="21"/>
      <c r="J8" s="21">
        <f>J5</f>
        <v>178.58657800005955</v>
      </c>
      <c r="K8" s="21"/>
      <c r="L8" s="21">
        <f>L5</f>
        <v>0</v>
      </c>
      <c r="M8" s="21">
        <f>M5</f>
        <v>0</v>
      </c>
      <c r="N8" s="21">
        <f>N5</f>
        <v>6962.3704530874065</v>
      </c>
      <c r="O8" s="21">
        <f>O5</f>
        <v>265.85040139786224</v>
      </c>
      <c r="P8" s="21">
        <f>P5</f>
        <v>705.77527361489661</v>
      </c>
    </row>
    <row r="9" spans="1:16">
      <c r="B9" s="19"/>
      <c r="C9" s="19"/>
      <c r="D9" s="253"/>
      <c r="E9" s="19"/>
      <c r="F9" s="19"/>
      <c r="G9" s="19"/>
      <c r="H9" s="19"/>
      <c r="I9" s="19"/>
      <c r="J9" s="19"/>
      <c r="K9" s="19"/>
      <c r="L9" s="19"/>
      <c r="M9" s="19"/>
      <c r="N9" s="19"/>
      <c r="O9" s="19"/>
      <c r="P9" s="19"/>
    </row>
    <row r="10" spans="1:16">
      <c r="A10" s="24" t="s">
        <v>207</v>
      </c>
      <c r="B10" s="25">
        <f ca="1">'EF ele_warmte'!B12</f>
        <v>0.1933910436075823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4527.7235860225146</v>
      </c>
      <c r="C12" s="23">
        <f ca="1">C10*C8</f>
        <v>0</v>
      </c>
      <c r="D12" s="23">
        <f>D8*D10</f>
        <v>7919.1886524318352</v>
      </c>
      <c r="E12" s="23">
        <f>E10*E8</f>
        <v>353.78410125892799</v>
      </c>
      <c r="F12" s="23">
        <f>F10*F8</f>
        <v>7538.1588973141088</v>
      </c>
      <c r="G12" s="23"/>
      <c r="H12" s="23"/>
      <c r="I12" s="23"/>
      <c r="J12" s="23">
        <f>J10*J8</f>
        <v>63.219648612021075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5064</v>
      </c>
      <c r="C26" s="36"/>
      <c r="D26" s="224"/>
    </row>
    <row r="27" spans="1:5" s="15" customFormat="1">
      <c r="A27" s="226" t="s">
        <v>826</v>
      </c>
      <c r="B27" s="37">
        <f>SUM(HH_hh_gas_aantal,HH_rest_gas_aantal)</f>
        <v>2895</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2750.25</v>
      </c>
      <c r="C31" s="34" t="s">
        <v>104</v>
      </c>
      <c r="D31" s="170"/>
    </row>
    <row r="32" spans="1:5">
      <c r="A32" s="167" t="s">
        <v>72</v>
      </c>
      <c r="B32" s="33">
        <f>IF((B21*($B$26-($B$27-0.05*$B$27)-$B$60))&lt;0,0,(B21*($B$26-($B$27-0.05*$B$27)-$B$60)))</f>
        <v>35.774151208196677</v>
      </c>
      <c r="C32" s="34" t="s">
        <v>104</v>
      </c>
      <c r="D32" s="170"/>
    </row>
    <row r="33" spans="1:6">
      <c r="A33" s="167" t="s">
        <v>73</v>
      </c>
      <c r="B33" s="33">
        <f>IF((B22*($B$26-($B$27-0.05*$B$27)-$B$60))&lt;0,0,B22*($B$26-($B$27-0.05*$B$27)-$B$60))</f>
        <v>580.90136413698838</v>
      </c>
      <c r="C33" s="34" t="s">
        <v>104</v>
      </c>
      <c r="D33" s="170"/>
    </row>
    <row r="34" spans="1:6">
      <c r="A34" s="167" t="s">
        <v>74</v>
      </c>
      <c r="B34" s="33">
        <f>IF((B24*($B$26-($B$27-0.05*$B$27)-$B$60))&lt;0,0,B24*($B$26-($B$27-0.05*$B$27)-$B$60))</f>
        <v>254.00234049458211</v>
      </c>
      <c r="C34" s="33">
        <f>B26*C24</f>
        <v>850.75111601015294</v>
      </c>
      <c r="D34" s="229"/>
    </row>
    <row r="35" spans="1:6">
      <c r="A35" s="167" t="s">
        <v>76</v>
      </c>
      <c r="B35" s="33">
        <f>IF((B19*($B$26-($B$27-0.05*$B$27)-$B$60))&lt;0,0,B19*($B$26-($B$27-0.05*$B$27)-$B$60))</f>
        <v>15.550938242292169</v>
      </c>
      <c r="C35" s="33">
        <f>B35/2</f>
        <v>7.7754691211460845</v>
      </c>
      <c r="D35" s="229"/>
    </row>
    <row r="36" spans="1:6">
      <c r="A36" s="167" t="s">
        <v>77</v>
      </c>
      <c r="B36" s="33">
        <f>IF((B18*($B$26-($B$27-0.05*$B$27)-$B$60))&lt;0,0,B18*($B$26-($B$27-0.05*$B$27)-$B$60))</f>
        <v>1360.5212059179401</v>
      </c>
      <c r="C36" s="34" t="s">
        <v>104</v>
      </c>
      <c r="D36" s="170"/>
    </row>
    <row r="37" spans="1:6">
      <c r="A37" s="167" t="s">
        <v>78</v>
      </c>
      <c r="B37" s="33">
        <f>B60</f>
        <v>67</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134</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67</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7228.8088249080429</v>
      </c>
      <c r="C5" s="17">
        <f>IF(ISERROR('Eigen informatie GS &amp; warmtenet'!B60),0,'Eigen informatie GS &amp; warmtenet'!B60)</f>
        <v>0</v>
      </c>
      <c r="D5" s="30">
        <f>SUM(D6:D12)</f>
        <v>6906.5962928328026</v>
      </c>
      <c r="E5" s="17">
        <f>SUM(E6:E12)</f>
        <v>34.97152204192885</v>
      </c>
      <c r="F5" s="17">
        <f>SUM(F6:F12)</f>
        <v>1944.8411695923744</v>
      </c>
      <c r="G5" s="18"/>
      <c r="H5" s="17"/>
      <c r="I5" s="17"/>
      <c r="J5" s="17">
        <f>SUM(J6:J12)</f>
        <v>1.5549693291668156E-2</v>
      </c>
      <c r="K5" s="17"/>
      <c r="L5" s="17"/>
      <c r="M5" s="17"/>
      <c r="N5" s="17">
        <f>SUM(N6:N12)</f>
        <v>601.3732728994878</v>
      </c>
      <c r="O5" s="17">
        <f>B38*B39*B40</f>
        <v>9.7945215316823084</v>
      </c>
      <c r="P5" s="17">
        <f>B46*B47*B48/1000-B46*B47*B48/1000/B49</f>
        <v>52.539138306495019</v>
      </c>
      <c r="R5" s="32"/>
    </row>
    <row r="6" spans="1:18">
      <c r="A6" s="32" t="s">
        <v>53</v>
      </c>
      <c r="B6" s="37">
        <f>B26</f>
        <v>2531.3586101961901</v>
      </c>
      <c r="C6" s="33"/>
      <c r="D6" s="37">
        <f>IF(ISERROR(TER_kantoor_gas_kWh/1000),0,TER_kantoor_gas_kWh/1000)*0.903</f>
        <v>3326.4561984972847</v>
      </c>
      <c r="E6" s="33">
        <f>$C$26*'E Balans VL '!I12/100/3.6*1000000</f>
        <v>0.60310751831464748</v>
      </c>
      <c r="F6" s="33">
        <f>$C$26*('E Balans VL '!L12+'E Balans VL '!N12)/100/3.6*1000000</f>
        <v>247.18002957300052</v>
      </c>
      <c r="G6" s="34"/>
      <c r="H6" s="33"/>
      <c r="I6" s="33"/>
      <c r="J6" s="33">
        <f>$C$26*('E Balans VL '!D12+'E Balans VL '!E12)/100/3.6*1000000</f>
        <v>0</v>
      </c>
      <c r="K6" s="33"/>
      <c r="L6" s="33"/>
      <c r="M6" s="33"/>
      <c r="N6" s="33">
        <f>$C$26*'E Balans VL '!Y12/100/3.6*1000000</f>
        <v>3.3847136763798704</v>
      </c>
      <c r="O6" s="33"/>
      <c r="P6" s="33"/>
      <c r="R6" s="32"/>
    </row>
    <row r="7" spans="1:18">
      <c r="A7" s="32" t="s">
        <v>52</v>
      </c>
      <c r="B7" s="37">
        <f t="shared" ref="B7:B12" si="0">B27</f>
        <v>978.635358763917</v>
      </c>
      <c r="C7" s="33"/>
      <c r="D7" s="37">
        <f>IF(ISERROR(TER_horeca_gas_kWh/1000),0,TER_horeca_gas_kWh/1000)*0.903</f>
        <v>1124.4148850535246</v>
      </c>
      <c r="E7" s="33">
        <f>$C$27*'E Balans VL '!I9/100/3.6*1000000</f>
        <v>0</v>
      </c>
      <c r="F7" s="33">
        <f>$C$27*('E Balans VL '!L9+'E Balans VL '!N9)/100/3.6*1000000</f>
        <v>79.741070969191668</v>
      </c>
      <c r="G7" s="34"/>
      <c r="H7" s="33"/>
      <c r="I7" s="33"/>
      <c r="J7" s="33">
        <f>$C$27*('E Balans VL '!D9+'E Balans VL '!E9)/100/3.6*1000000</f>
        <v>0</v>
      </c>
      <c r="K7" s="33"/>
      <c r="L7" s="33"/>
      <c r="M7" s="33"/>
      <c r="N7" s="33">
        <f>$C$27*'E Balans VL '!Y9/100/3.6*1000000</f>
        <v>7.0534433390397719</v>
      </c>
      <c r="O7" s="33"/>
      <c r="P7" s="33"/>
      <c r="R7" s="32"/>
    </row>
    <row r="8" spans="1:18">
      <c r="A8" s="6" t="s">
        <v>51</v>
      </c>
      <c r="B8" s="37">
        <f t="shared" si="0"/>
        <v>1806.0131109343999</v>
      </c>
      <c r="C8" s="33"/>
      <c r="D8" s="37">
        <f>IF(ISERROR(TER_handel_gas_kWh/1000),0,TER_handel_gas_kWh/1000)*0.903</f>
        <v>1227.2343956057016</v>
      </c>
      <c r="E8" s="33">
        <f>$C$28*'E Balans VL '!I13/100/3.6*1000000</f>
        <v>14.436572768863467</v>
      </c>
      <c r="F8" s="33">
        <f>$C$28*('E Balans VL '!L13+'E Balans VL '!N13)/100/3.6*1000000</f>
        <v>179.4161757388076</v>
      </c>
      <c r="G8" s="34"/>
      <c r="H8" s="33"/>
      <c r="I8" s="33"/>
      <c r="J8" s="33">
        <f>$C$28*('E Balans VL '!D13+'E Balans VL '!E13)/100/3.6*1000000</f>
        <v>0</v>
      </c>
      <c r="K8" s="33"/>
      <c r="L8" s="33"/>
      <c r="M8" s="33"/>
      <c r="N8" s="33">
        <f>$C$28*'E Balans VL '!Y13/100/3.6*1000000</f>
        <v>0.67465339799000734</v>
      </c>
      <c r="O8" s="33"/>
      <c r="P8" s="33"/>
      <c r="R8" s="32"/>
    </row>
    <row r="9" spans="1:18">
      <c r="A9" s="32" t="s">
        <v>50</v>
      </c>
      <c r="B9" s="37">
        <f t="shared" si="0"/>
        <v>264.865446284494</v>
      </c>
      <c r="C9" s="33"/>
      <c r="D9" s="37">
        <f>IF(ISERROR(TER_gezond_gas_kWh/1000),0,TER_gezond_gas_kWh/1000)*0.903</f>
        <v>532.89680679810954</v>
      </c>
      <c r="E9" s="33">
        <f>$C$29*'E Balans VL '!I10/100/3.6*1000000</f>
        <v>0</v>
      </c>
      <c r="F9" s="33">
        <f>$C$29*('E Balans VL '!L10+'E Balans VL '!N10)/100/3.6*1000000</f>
        <v>24.146801595798319</v>
      </c>
      <c r="G9" s="34"/>
      <c r="H9" s="33"/>
      <c r="I9" s="33"/>
      <c r="J9" s="33">
        <f>$C$29*('E Balans VL '!D10+'E Balans VL '!E10)/100/3.6*1000000</f>
        <v>0</v>
      </c>
      <c r="K9" s="33"/>
      <c r="L9" s="33"/>
      <c r="M9" s="33"/>
      <c r="N9" s="33">
        <f>$C$29*'E Balans VL '!Y10/100/3.6*1000000</f>
        <v>1.9359290505097237</v>
      </c>
      <c r="O9" s="33"/>
      <c r="P9" s="33"/>
      <c r="R9" s="32"/>
    </row>
    <row r="10" spans="1:18">
      <c r="A10" s="32" t="s">
        <v>49</v>
      </c>
      <c r="B10" s="37">
        <f t="shared" si="0"/>
        <v>1537.41632145584</v>
      </c>
      <c r="C10" s="33"/>
      <c r="D10" s="37">
        <f>IF(ISERROR(TER_ander_gas_kWh/1000),0,TER_ander_gas_kWh/1000)*0.903</f>
        <v>562.62284262896185</v>
      </c>
      <c r="E10" s="33">
        <f>$C$30*'E Balans VL '!I14/100/3.6*1000000</f>
        <v>19.931841754750732</v>
      </c>
      <c r="F10" s="33">
        <f>$C$30*('E Balans VL '!L14+'E Balans VL '!N14)/100/3.6*1000000</f>
        <v>1410.0266241250663</v>
      </c>
      <c r="G10" s="34"/>
      <c r="H10" s="33"/>
      <c r="I10" s="33"/>
      <c r="J10" s="33">
        <f>$C$30*('E Balans VL '!D14+'E Balans VL '!E14)/100/3.6*1000000</f>
        <v>1.5549693291668156E-2</v>
      </c>
      <c r="K10" s="33"/>
      <c r="L10" s="33"/>
      <c r="M10" s="33"/>
      <c r="N10" s="33">
        <f>$C$30*'E Balans VL '!Y14/100/3.6*1000000</f>
        <v>587.97647872065204</v>
      </c>
      <c r="O10" s="33"/>
      <c r="P10" s="33"/>
      <c r="R10" s="32"/>
    </row>
    <row r="11" spans="1:18">
      <c r="A11" s="32" t="s">
        <v>54</v>
      </c>
      <c r="B11" s="37">
        <f t="shared" si="0"/>
        <v>110.51997727320101</v>
      </c>
      <c r="C11" s="33"/>
      <c r="D11" s="37">
        <f>IF(ISERROR(TER_onderwijs_gas_kWh/1000),0,TER_onderwijs_gas_kWh/1000)*0.903</f>
        <v>132.97116424921978</v>
      </c>
      <c r="E11" s="33">
        <f>$C$31*'E Balans VL '!I11/100/3.6*1000000</f>
        <v>0</v>
      </c>
      <c r="F11" s="33">
        <f>$C$31*('E Balans VL '!L11+'E Balans VL '!N11)/100/3.6*1000000</f>
        <v>4.330467590510005</v>
      </c>
      <c r="G11" s="34"/>
      <c r="H11" s="33"/>
      <c r="I11" s="33"/>
      <c r="J11" s="33">
        <f>$C$31*('E Balans VL '!D11+'E Balans VL '!E11)/100/3.6*1000000</f>
        <v>0</v>
      </c>
      <c r="K11" s="33"/>
      <c r="L11" s="33"/>
      <c r="M11" s="33"/>
      <c r="N11" s="33">
        <f>$C$31*'E Balans VL '!Y11/100/3.6*1000000</f>
        <v>0.34805471491646806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7228.8088249080429</v>
      </c>
      <c r="C16" s="21">
        <f t="shared" ca="1" si="1"/>
        <v>0</v>
      </c>
      <c r="D16" s="21">
        <f t="shared" ca="1" si="1"/>
        <v>6906.5962928328026</v>
      </c>
      <c r="E16" s="21">
        <f t="shared" si="1"/>
        <v>34.97152204192885</v>
      </c>
      <c r="F16" s="21">
        <f t="shared" ca="1" si="1"/>
        <v>1944.8411695923744</v>
      </c>
      <c r="G16" s="21">
        <f t="shared" si="1"/>
        <v>0</v>
      </c>
      <c r="H16" s="21">
        <f t="shared" si="1"/>
        <v>0</v>
      </c>
      <c r="I16" s="21">
        <f t="shared" si="1"/>
        <v>0</v>
      </c>
      <c r="J16" s="21">
        <f t="shared" si="1"/>
        <v>1.5549693291668156E-2</v>
      </c>
      <c r="K16" s="21">
        <f t="shared" si="1"/>
        <v>0</v>
      </c>
      <c r="L16" s="21">
        <f t="shared" ca="1" si="1"/>
        <v>0</v>
      </c>
      <c r="M16" s="21">
        <f t="shared" si="1"/>
        <v>0</v>
      </c>
      <c r="N16" s="21">
        <f t="shared" ca="1" si="1"/>
        <v>601.3732728994878</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0.1933910436075823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1397.986882688667</v>
      </c>
      <c r="C20" s="23">
        <f t="shared" ref="C20:P20" ca="1" si="2">C16*C18</f>
        <v>0</v>
      </c>
      <c r="D20" s="23">
        <f t="shared" ca="1" si="2"/>
        <v>1395.1324511522262</v>
      </c>
      <c r="E20" s="23">
        <f t="shared" si="2"/>
        <v>7.9385355035178495</v>
      </c>
      <c r="F20" s="23">
        <f t="shared" ca="1" si="2"/>
        <v>519.27259228116395</v>
      </c>
      <c r="G20" s="23">
        <f t="shared" si="2"/>
        <v>0</v>
      </c>
      <c r="H20" s="23">
        <f t="shared" si="2"/>
        <v>0</v>
      </c>
      <c r="I20" s="23">
        <f t="shared" si="2"/>
        <v>0</v>
      </c>
      <c r="J20" s="23">
        <f t="shared" si="2"/>
        <v>5.5045914252505272E-3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2531.3586101961901</v>
      </c>
      <c r="C26" s="39">
        <f>IF(ISERROR(B26*3.6/1000000/'E Balans VL '!Z12*100),0,B26*3.6/1000000/'E Balans VL '!Z12*100)</f>
        <v>7.2650170657060989E-2</v>
      </c>
      <c r="D26" s="232" t="s">
        <v>802</v>
      </c>
      <c r="F26" s="6"/>
    </row>
    <row r="27" spans="1:18" ht="30">
      <c r="A27" s="227" t="s">
        <v>52</v>
      </c>
      <c r="B27" s="33">
        <f>IF(ISERROR(TER_horeca_ele_kWh/1000),0,TER_horeca_ele_kWh/1000)</f>
        <v>978.635358763917</v>
      </c>
      <c r="C27" s="39">
        <f>IF(ISERROR(B27*3.6/1000000/'E Balans VL '!Z9*100),0,B27*3.6/1000000/'E Balans VL '!Z9*100)</f>
        <v>7.1695172854761874E-2</v>
      </c>
      <c r="D27" s="232" t="s">
        <v>802</v>
      </c>
      <c r="F27" s="6"/>
    </row>
    <row r="28" spans="1:18" ht="30">
      <c r="A28" s="167" t="s">
        <v>51</v>
      </c>
      <c r="B28" s="33">
        <f>IF(ISERROR(TER_handel_ele_kWh/1000),0,TER_handel_ele_kWh/1000)</f>
        <v>1806.0131109343999</v>
      </c>
      <c r="C28" s="39">
        <f>IF(ISERROR(B28*3.6/1000000/'E Balans VL '!Z13*100),0,B28*3.6/1000000/'E Balans VL '!Z13*100)</f>
        <v>5.580732841204547E-2</v>
      </c>
      <c r="D28" s="232" t="s">
        <v>802</v>
      </c>
      <c r="F28" s="6"/>
    </row>
    <row r="29" spans="1:18" ht="30">
      <c r="A29" s="227" t="s">
        <v>50</v>
      </c>
      <c r="B29" s="33">
        <f>IF(ISERROR(TER_gezond_ele_kWh/1000),0,TER_gezond_ele_kWh/1000)</f>
        <v>264.865446284494</v>
      </c>
      <c r="C29" s="39">
        <f>IF(ISERROR(B29*3.6/1000000/'E Balans VL '!Z10*100),0,B29*3.6/1000000/'E Balans VL '!Z10*100)</f>
        <v>2.5958442381590341E-2</v>
      </c>
      <c r="D29" s="232" t="s">
        <v>802</v>
      </c>
      <c r="F29" s="6"/>
    </row>
    <row r="30" spans="1:18" ht="30">
      <c r="A30" s="227" t="s">
        <v>49</v>
      </c>
      <c r="B30" s="33">
        <f>IF(ISERROR(TER_ander_ele_kWh/1000),0,TER_ander_ele_kWh/1000)</f>
        <v>1537.41632145584</v>
      </c>
      <c r="C30" s="39">
        <f>IF(ISERROR(B30*3.6/1000000/'E Balans VL '!Z14*100),0,B30*3.6/1000000/'E Balans VL '!Z14*100)</f>
        <v>6.3684750682599961E-2</v>
      </c>
      <c r="D30" s="232" t="s">
        <v>802</v>
      </c>
      <c r="F30" s="6"/>
    </row>
    <row r="31" spans="1:18" ht="30">
      <c r="A31" s="227" t="s">
        <v>54</v>
      </c>
      <c r="B31" s="33">
        <f>IF(ISERROR(TER_onderwijs_ele_kWh/1000),0,TER_onderwijs_ele_kWh/1000)</f>
        <v>110.51997727320101</v>
      </c>
      <c r="C31" s="39">
        <f>IF(ISERROR(B31*3.6/1000000/'E Balans VL '!Z11*100),0,B31*3.6/1000000/'E Balans VL '!Z11*100)</f>
        <v>3.3959428919173786E-2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1</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5146.5068100895851</v>
      </c>
      <c r="C5" s="17">
        <f>IF(ISERROR('Eigen informatie GS &amp; warmtenet'!B61),0,'Eigen informatie GS &amp; warmtenet'!B61)</f>
        <v>0</v>
      </c>
      <c r="D5" s="30">
        <f>SUM(D6:D15)</f>
        <v>2601.7839370845954</v>
      </c>
      <c r="E5" s="17">
        <f>SUM(E6:E15)</f>
        <v>10.338918289949612</v>
      </c>
      <c r="F5" s="17">
        <f>SUM(F6:F15)</f>
        <v>1254.0645905725157</v>
      </c>
      <c r="G5" s="18"/>
      <c r="H5" s="17"/>
      <c r="I5" s="17"/>
      <c r="J5" s="17">
        <f>SUM(J6:J15)</f>
        <v>0.1085085273941868</v>
      </c>
      <c r="K5" s="17"/>
      <c r="L5" s="17"/>
      <c r="M5" s="17"/>
      <c r="N5" s="17">
        <f>SUM(N6:N15)</f>
        <v>100.95125737244099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82.218717191911196</v>
      </c>
      <c r="C8" s="33"/>
      <c r="D8" s="37">
        <f>IF( ISERROR(IND_metaal_Gas_kWH/1000),0,IND_metaal_Gas_kWH/1000)*0.903</f>
        <v>116.17373984315823</v>
      </c>
      <c r="E8" s="33">
        <f>C30*'E Balans VL '!I18/100/3.6*1000000</f>
        <v>0.44818705003639409</v>
      </c>
      <c r="F8" s="33">
        <f>C30*'E Balans VL '!L18/100/3.6*1000000+C30*'E Balans VL '!N18/100/3.6*1000000</f>
        <v>5.2948916672468167</v>
      </c>
      <c r="G8" s="34"/>
      <c r="H8" s="33"/>
      <c r="I8" s="33"/>
      <c r="J8" s="40">
        <f>C30*'E Balans VL '!D18/100/3.6*1000000+C30*'E Balans VL '!E18/100/3.6*1000000</f>
        <v>6.7347158288407163E-2</v>
      </c>
      <c r="K8" s="33"/>
      <c r="L8" s="33"/>
      <c r="M8" s="33"/>
      <c r="N8" s="33">
        <f>C30*'E Balans VL '!Y18/100/3.6*1000000</f>
        <v>1.7631334374709706</v>
      </c>
      <c r="O8" s="33"/>
      <c r="P8" s="33"/>
      <c r="R8" s="32"/>
    </row>
    <row r="9" spans="1:18">
      <c r="A9" s="6" t="s">
        <v>32</v>
      </c>
      <c r="B9" s="37">
        <f t="shared" si="0"/>
        <v>1824.61851794121</v>
      </c>
      <c r="C9" s="33"/>
      <c r="D9" s="37">
        <f>IF( ISERROR(IND_andere_gas_kWh/1000),0,IND_andere_gas_kWh/1000)*0.903</f>
        <v>1067.8438515953624</v>
      </c>
      <c r="E9" s="33">
        <f>C31*'E Balans VL '!I19/100/3.6*1000000</f>
        <v>5.8901793094616588</v>
      </c>
      <c r="F9" s="33">
        <f>C31*'E Balans VL '!L19/100/3.6*1000000+C31*'E Balans VL '!N19/100/3.6*1000000</f>
        <v>1179.812657068218</v>
      </c>
      <c r="G9" s="34"/>
      <c r="H9" s="33"/>
      <c r="I9" s="33"/>
      <c r="J9" s="40">
        <f>C31*'E Balans VL '!D19/100/3.6*1000000+C31*'E Balans VL '!E19/100/3.6*1000000</f>
        <v>0</v>
      </c>
      <c r="K9" s="33"/>
      <c r="L9" s="33"/>
      <c r="M9" s="33"/>
      <c r="N9" s="33">
        <f>C31*'E Balans VL '!Y19/100/3.6*1000000</f>
        <v>74.087235857081609</v>
      </c>
      <c r="O9" s="33"/>
      <c r="P9" s="33"/>
      <c r="R9" s="32"/>
    </row>
    <row r="10" spans="1:18">
      <c r="A10" s="6" t="s">
        <v>40</v>
      </c>
      <c r="B10" s="37">
        <f t="shared" si="0"/>
        <v>636.63635570405506</v>
      </c>
      <c r="C10" s="33"/>
      <c r="D10" s="37">
        <f>IF( ISERROR(IND_voed_gas_kWh/1000),0,IND_voed_gas_kWh/1000)*0.903</f>
        <v>67.700845407040404</v>
      </c>
      <c r="E10" s="33">
        <f>C32*'E Balans VL '!I20/100/3.6*1000000</f>
        <v>1.3422991074083914</v>
      </c>
      <c r="F10" s="33">
        <f>C32*'E Balans VL '!L20/100/3.6*1000000+C32*'E Balans VL '!N20/100/3.6*1000000</f>
        <v>13.538044270168061</v>
      </c>
      <c r="G10" s="34"/>
      <c r="H10" s="33"/>
      <c r="I10" s="33"/>
      <c r="J10" s="40">
        <f>C32*'E Balans VL '!D20/100/3.6*1000000+C32*'E Balans VL '!E20/100/3.6*1000000</f>
        <v>0</v>
      </c>
      <c r="K10" s="33"/>
      <c r="L10" s="33"/>
      <c r="M10" s="33"/>
      <c r="N10" s="33">
        <f>C32*'E Balans VL '!Y20/100/3.6*1000000</f>
        <v>25.323629215252378</v>
      </c>
      <c r="O10" s="33"/>
      <c r="P10" s="33"/>
      <c r="R10" s="32"/>
    </row>
    <row r="11" spans="1:18">
      <c r="A11" s="6" t="s">
        <v>39</v>
      </c>
      <c r="B11" s="37">
        <f t="shared" si="0"/>
        <v>2589.5267354159996</v>
      </c>
      <c r="C11" s="33"/>
      <c r="D11" s="37">
        <f>IF( ISERROR(IND_textiel_gas_kWh/1000),0,IND_textiel_gas_kWh/1000)*0.903</f>
        <v>1318.6406604952249</v>
      </c>
      <c r="E11" s="33">
        <f>C33*'E Balans VL '!I21/100/3.6*1000000</f>
        <v>2.2251024813400053</v>
      </c>
      <c r="F11" s="33">
        <f>C33*'E Balans VL '!L21/100/3.6*1000000+C33*'E Balans VL '!N21/100/3.6*1000000</f>
        <v>54.292115631562325</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6.1494838364097992</v>
      </c>
      <c r="C13" s="33"/>
      <c r="D13" s="37">
        <f>IF( ISERROR(IND_papier_gas_kWh/1000),0,IND_papier_gas_kWh/1000)*0.903</f>
        <v>0</v>
      </c>
      <c r="E13" s="33">
        <f>C35*'E Balans VL '!I23/100/3.6*1000000</f>
        <v>0</v>
      </c>
      <c r="F13" s="33">
        <f>C35*'E Balans VL '!L23/100/3.6*1000000+C35*'E Balans VL '!N23/100/3.6*1000000</f>
        <v>8.2374274715053309E-4</v>
      </c>
      <c r="G13" s="34"/>
      <c r="H13" s="33"/>
      <c r="I13" s="33"/>
      <c r="J13" s="40">
        <f>C35*'E Balans VL '!D23/100/3.6*1000000+C35*'E Balans VL '!E23/100/3.6*1000000</f>
        <v>1.21640659521348E-3</v>
      </c>
      <c r="K13" s="33"/>
      <c r="L13" s="33"/>
      <c r="M13" s="33"/>
      <c r="N13" s="33">
        <f>C35*'E Balans VL '!Y23/100/3.6*1000000</f>
        <v>-0.45530588623735463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7.3570000000000002</v>
      </c>
      <c r="C15" s="33"/>
      <c r="D15" s="37">
        <f>IF( ISERROR(IND_rest_gas_kWh/1000),0,IND_rest_gas_kWh/1000)*0.903</f>
        <v>31.42483974380977</v>
      </c>
      <c r="E15" s="33">
        <f>C37*'E Balans VL '!I15/100/3.6*1000000</f>
        <v>0.43315034170316358</v>
      </c>
      <c r="F15" s="33">
        <f>C37*'E Balans VL '!L15/100/3.6*1000000+C37*'E Balans VL '!N15/100/3.6*1000000</f>
        <v>1.1260581925733293</v>
      </c>
      <c r="G15" s="34"/>
      <c r="H15" s="33"/>
      <c r="I15" s="33"/>
      <c r="J15" s="40">
        <f>C37*'E Balans VL '!D15/100/3.6*1000000+C37*'E Balans VL '!E15/100/3.6*1000000</f>
        <v>3.9944962510566159E-2</v>
      </c>
      <c r="K15" s="33"/>
      <c r="L15" s="33"/>
      <c r="M15" s="33"/>
      <c r="N15" s="33">
        <f>C37*'E Balans VL '!Y15/100/3.6*1000000</f>
        <v>0.23256474887338888</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5146.5068100895851</v>
      </c>
      <c r="C18" s="21">
        <f>C5+C16</f>
        <v>0</v>
      </c>
      <c r="D18" s="21">
        <f>MAX((D5+D16),0)</f>
        <v>2601.7839370845954</v>
      </c>
      <c r="E18" s="21">
        <f>MAX((E5+E16),0)</f>
        <v>10.338918289949612</v>
      </c>
      <c r="F18" s="21">
        <f>MAX((F5+F16),0)</f>
        <v>1254.0645905725157</v>
      </c>
      <c r="G18" s="21"/>
      <c r="H18" s="21"/>
      <c r="I18" s="21"/>
      <c r="J18" s="21">
        <f>MAX((J5+J16),0)</f>
        <v>0.1085085273941868</v>
      </c>
      <c r="K18" s="21"/>
      <c r="L18" s="21">
        <f>MAX((L5+L16),0)</f>
        <v>0</v>
      </c>
      <c r="M18" s="21"/>
      <c r="N18" s="21">
        <f>MAX((N5+N16),0)</f>
        <v>100.95125737244099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0.1933910436075823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995.28832293675418</v>
      </c>
      <c r="C22" s="23">
        <f ca="1">C18*C20</f>
        <v>0</v>
      </c>
      <c r="D22" s="23">
        <f>D18*D20</f>
        <v>525.56035529108829</v>
      </c>
      <c r="E22" s="23">
        <f>E18*E20</f>
        <v>2.3469344518185622</v>
      </c>
      <c r="F22" s="23">
        <f>F18*F20</f>
        <v>334.83524568286174</v>
      </c>
      <c r="G22" s="23"/>
      <c r="H22" s="23"/>
      <c r="I22" s="23"/>
      <c r="J22" s="23">
        <f>J18*J20</f>
        <v>3.8412018697542127E-2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82.218717191911196</v>
      </c>
      <c r="C30" s="39">
        <f>IF(ISERROR(B30*3.6/1000000/'E Balans VL '!Z18*100),0,B30*3.6/1000000/'E Balans VL '!Z18*100)</f>
        <v>4.9509857022312954E-3</v>
      </c>
      <c r="D30" s="232" t="s">
        <v>802</v>
      </c>
    </row>
    <row r="31" spans="1:18" ht="30">
      <c r="A31" s="6" t="s">
        <v>32</v>
      </c>
      <c r="B31" s="37">
        <f>IF( ISERROR(IND_ander_ele_kWh/1000),0,IND_ander_ele_kWh/1000)</f>
        <v>1824.61851794121</v>
      </c>
      <c r="C31" s="39">
        <f>IF(ISERROR(B31*3.6/1000000/'E Balans VL '!Z19*100),0,B31*3.6/1000000/'E Balans VL '!Z19*100)</f>
        <v>7.433873581596448E-2</v>
      </c>
      <c r="D31" s="232" t="s">
        <v>802</v>
      </c>
    </row>
    <row r="32" spans="1:18" ht="30">
      <c r="A32" s="167" t="s">
        <v>40</v>
      </c>
      <c r="B32" s="37">
        <f>IF( ISERROR(IND_voed_ele_kWh/1000),0,IND_voed_ele_kWh/1000)</f>
        <v>636.63635570405506</v>
      </c>
      <c r="C32" s="39">
        <f>IF(ISERROR(B32*3.6/1000000/'E Balans VL '!Z20*100),0,B32*3.6/1000000/'E Balans VL '!Z20*100)</f>
        <v>1.8407719059540539E-2</v>
      </c>
      <c r="D32" s="232" t="s">
        <v>802</v>
      </c>
    </row>
    <row r="33" spans="1:5" ht="30">
      <c r="A33" s="167" t="s">
        <v>39</v>
      </c>
      <c r="B33" s="37">
        <f>IF( ISERROR(IND_textiel_ele_kWh/1000),0,IND_textiel_ele_kWh/1000)</f>
        <v>2589.5267354159996</v>
      </c>
      <c r="C33" s="39">
        <f>IF(ISERROR(B33*3.6/1000000/'E Balans VL '!Z21*100),0,B33*3.6/1000000/'E Balans VL '!Z21*100)</f>
        <v>0.42585693422775217</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6.1494838364097992</v>
      </c>
      <c r="C35" s="39">
        <f>IF(ISERROR(B35*3.6/1000000/'E Balans VL '!Z22*100),0,B35*3.6/1000000/'E Balans VL '!Z22*100)</f>
        <v>2.6257724556141672E-3</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7.3570000000000002</v>
      </c>
      <c r="C37" s="39">
        <f>IF(ISERROR(B37*3.6/1000000/'E Balans VL '!Z15*100),0,B37*3.6/1000000/'E Balans VL '!Z15*100)</f>
        <v>6.0406542350499449E-5</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543.09750775283601</v>
      </c>
      <c r="C5" s="17">
        <f>'Eigen informatie GS &amp; warmtenet'!B62</f>
        <v>0</v>
      </c>
      <c r="D5" s="30">
        <f>IF(ISERROR(SUM(LB_lb_gas_kWh,LB_rest_gas_kWh)/1000),0,SUM(LB_lb_gas_kWh,LB_rest_gas_kWh)/1000)*0.903</f>
        <v>182.82333042684945</v>
      </c>
      <c r="E5" s="17">
        <f>B17*'E Balans VL '!I25/3.6*1000000/100</f>
        <v>19.349474900009731</v>
      </c>
      <c r="F5" s="17">
        <f>B17*('E Balans VL '!L25/3.6*1000000+'E Balans VL '!N25/3.6*1000000)/100</f>
        <v>1850.7740494883956</v>
      </c>
      <c r="G5" s="18"/>
      <c r="H5" s="17"/>
      <c r="I5" s="17"/>
      <c r="J5" s="17">
        <f>('E Balans VL '!D25+'E Balans VL '!E25)/3.6*1000000*landbouw!B17/100</f>
        <v>138.09264166071517</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543.09750775283601</v>
      </c>
      <c r="C8" s="21">
        <f>C5+C6</f>
        <v>0</v>
      </c>
      <c r="D8" s="21">
        <f>MAX((D5+D6),0)</f>
        <v>182.82333042684945</v>
      </c>
      <c r="E8" s="21">
        <f>MAX((E5+E6),0)</f>
        <v>19.349474900009731</v>
      </c>
      <c r="F8" s="21">
        <f>MAX((F5+F6),0)</f>
        <v>1850.7740494883956</v>
      </c>
      <c r="G8" s="21"/>
      <c r="H8" s="21"/>
      <c r="I8" s="21"/>
      <c r="J8" s="21">
        <f>MAX((J5+J6),0)</f>
        <v>138.09264166071517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0.1933910436075823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105.03019380499798</v>
      </c>
      <c r="C12" s="23">
        <f ca="1">C8*C10</f>
        <v>0</v>
      </c>
      <c r="D12" s="23">
        <f>D8*D10</f>
        <v>36.930312746223592</v>
      </c>
      <c r="E12" s="23">
        <f>E8*E10</f>
        <v>4.392330802302209</v>
      </c>
      <c r="F12" s="23">
        <f>F8*F10</f>
        <v>494.15667121340164</v>
      </c>
      <c r="G12" s="23"/>
      <c r="H12" s="23"/>
      <c r="I12" s="23"/>
      <c r="J12" s="23">
        <f>J8*J10</f>
        <v>48.884795147893172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7.5206684385388689E-2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94.409714529757849</v>
      </c>
      <c r="C26" s="242">
        <f>B26*'GWP N2O_CH4'!B5</f>
        <v>1982.6040051249149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29.725512215405534</v>
      </c>
      <c r="C27" s="242">
        <f>B27*'GWP N2O_CH4'!B5</f>
        <v>624.23575652351622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1.3624956594600866</v>
      </c>
      <c r="C28" s="242">
        <f>B28*'GWP N2O_CH4'!B4</f>
        <v>422.37365443262684</v>
      </c>
      <c r="D28" s="50"/>
    </row>
    <row r="29" spans="1:4">
      <c r="A29" s="41" t="s">
        <v>266</v>
      </c>
      <c r="B29" s="242">
        <f>B34*'ha_N2O bodem landbouw'!B4</f>
        <v>7.2643939472363046</v>
      </c>
      <c r="C29" s="242">
        <f>B29*'GWP N2O_CH4'!B4</f>
        <v>2251.9621236432545</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1.6503402919363494E-3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4.0935691582448205E-4</v>
      </c>
      <c r="C5" s="430" t="s">
        <v>204</v>
      </c>
      <c r="D5" s="415">
        <f>SUM(D6:D11)</f>
        <v>6.5787858640659969E-4</v>
      </c>
      <c r="E5" s="415">
        <f>SUM(E6:E11)</f>
        <v>2.5293176355127903E-4</v>
      </c>
      <c r="F5" s="428" t="s">
        <v>204</v>
      </c>
      <c r="G5" s="415">
        <f>SUM(G6:G11)</f>
        <v>0.11036384583302243</v>
      </c>
      <c r="H5" s="415">
        <f>SUM(H6:H11)</f>
        <v>3.4826610188581852E-2</v>
      </c>
      <c r="I5" s="430" t="s">
        <v>204</v>
      </c>
      <c r="J5" s="430" t="s">
        <v>204</v>
      </c>
      <c r="K5" s="430" t="s">
        <v>204</v>
      </c>
      <c r="L5" s="430" t="s">
        <v>204</v>
      </c>
      <c r="M5" s="415">
        <f>SUM(M6:M11)</f>
        <v>8.8058148812434397E-3</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2.6035923800693138E-4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3.7800729372118553E-4</v>
      </c>
      <c r="E6" s="845">
        <f>vkm_GW_PW*SUMIFS(TableVerdeelsleutelVkm[LPG],TableVerdeelsleutelVkm[Voertuigtype],"Lichte voertuigen")*SUMIFS(TableECFTransport[EnergieConsumptieFactor (PJ per km)],TableECFTransport[Index],CONCATENATE($A6,"_LPG_LPG"))</f>
        <v>1.4816758826776723E-4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4.5574104356643212E-2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2.0119679300017995E-2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4.043111097362613E-3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7.4058449643844314E-7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2.9495150145016229E-2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2.4887635746607221E-7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1.6935638558193461E-3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1.4814672685586411E-4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2.7987129268541421E-4</v>
      </c>
      <c r="E8" s="418">
        <f>vkm_NGW_PW*SUMIFS(TableVerdeelsleutelVkm[LPG],TableVerdeelsleutelVkm[Voertuigtype],"Lichte voertuigen")*SUMIFS(TableECFTransport[EnergieConsumptieFactor (PJ per km)],TableECFTransport[Index],CONCATENATE($A8,"_LPG_LPG"))</f>
        <v>1.0476417528351179E-4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2.9634139014667445E-2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1.4706637244730814E-2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2.744126115890015E-3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1.1036646524812626E-7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5.660452316695555E-3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4.4767475575671023E-8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3.2501381217146661E-4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113.71025439568946</v>
      </c>
      <c r="C14" s="21"/>
      <c r="D14" s="21">
        <f t="shared" ref="D14:M14" si="0">((D5)*10^9/3600)+D12</f>
        <v>182.74405177961103</v>
      </c>
      <c r="E14" s="21">
        <f t="shared" si="0"/>
        <v>70.258823208688625</v>
      </c>
      <c r="F14" s="21"/>
      <c r="G14" s="21">
        <f t="shared" si="0"/>
        <v>30656.623842506229</v>
      </c>
      <c r="H14" s="21">
        <f t="shared" si="0"/>
        <v>9674.0583857171823</v>
      </c>
      <c r="I14" s="21"/>
      <c r="J14" s="21"/>
      <c r="K14" s="21"/>
      <c r="L14" s="21"/>
      <c r="M14" s="21">
        <f t="shared" si="0"/>
        <v>2446.0596892342887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0.1933910436075823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21.990544766466058</v>
      </c>
      <c r="C18" s="23"/>
      <c r="D18" s="23">
        <f t="shared" ref="D18:M18" si="1">D14*D16</f>
        <v>36.914298459481429</v>
      </c>
      <c r="E18" s="23">
        <f t="shared" si="1"/>
        <v>15.948752868372319</v>
      </c>
      <c r="F18" s="23"/>
      <c r="G18" s="23">
        <f t="shared" si="1"/>
        <v>8185.3185659491637</v>
      </c>
      <c r="H18" s="23">
        <f t="shared" si="1"/>
        <v>2408.8405380435784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2.2711040034372884E-5</v>
      </c>
      <c r="C50" s="313">
        <f t="shared" ref="C50:P50" si="2">SUM(C51:C52)</f>
        <v>0</v>
      </c>
      <c r="D50" s="313">
        <f t="shared" si="2"/>
        <v>0</v>
      </c>
      <c r="E50" s="313">
        <f t="shared" si="2"/>
        <v>0</v>
      </c>
      <c r="F50" s="313">
        <f t="shared" si="2"/>
        <v>0</v>
      </c>
      <c r="G50" s="313">
        <f t="shared" si="2"/>
        <v>1.4217797887595715E-3</v>
      </c>
      <c r="H50" s="313">
        <f t="shared" si="2"/>
        <v>0</v>
      </c>
      <c r="I50" s="313">
        <f t="shared" si="2"/>
        <v>0</v>
      </c>
      <c r="J50" s="313">
        <f t="shared" si="2"/>
        <v>0</v>
      </c>
      <c r="K50" s="313">
        <f t="shared" si="2"/>
        <v>0</v>
      </c>
      <c r="L50" s="313">
        <f t="shared" si="2"/>
        <v>0</v>
      </c>
      <c r="M50" s="313">
        <f t="shared" si="2"/>
        <v>8.1635447319070253E-5</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2.2711040034372884E-5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1.4217797887595715E-3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8.1635447319070253E-5</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6.3086222317702454</v>
      </c>
      <c r="C54" s="21">
        <f t="shared" ref="C54:P54" si="3">(C50)*10^9/3600</f>
        <v>0</v>
      </c>
      <c r="D54" s="21">
        <f t="shared" si="3"/>
        <v>0</v>
      </c>
      <c r="E54" s="21">
        <f t="shared" si="3"/>
        <v>0</v>
      </c>
      <c r="F54" s="21">
        <f t="shared" si="3"/>
        <v>0</v>
      </c>
      <c r="G54" s="21">
        <f t="shared" si="3"/>
        <v>394.93883021099208</v>
      </c>
      <c r="H54" s="21">
        <f t="shared" si="3"/>
        <v>0</v>
      </c>
      <c r="I54" s="21">
        <f t="shared" si="3"/>
        <v>0</v>
      </c>
      <c r="J54" s="21">
        <f t="shared" si="3"/>
        <v>0</v>
      </c>
      <c r="K54" s="21">
        <f t="shared" si="3"/>
        <v>0</v>
      </c>
      <c r="L54" s="21">
        <f t="shared" si="3"/>
        <v>0</v>
      </c>
      <c r="M54" s="21">
        <f t="shared" si="3"/>
        <v>22.676513144186181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0.1933910436075823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1.2200310371280427</v>
      </c>
      <c r="C58" s="23">
        <f t="shared" ref="C58:P58" ca="1" si="4">C54*C56</f>
        <v>0</v>
      </c>
      <c r="D58" s="23">
        <f t="shared" si="4"/>
        <v>0</v>
      </c>
      <c r="E58" s="23">
        <f t="shared" si="4"/>
        <v>0</v>
      </c>
      <c r="F58" s="23">
        <f t="shared" si="4"/>
        <v>0</v>
      </c>
      <c r="G58" s="23">
        <f t="shared" si="4"/>
        <v>105.44866766633488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4704.4349408472553</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4704.4349408472553</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8037.9988249080434</v>
      </c>
      <c r="D10" s="643">
        <f ca="1">tertiair!C16</f>
        <v>0</v>
      </c>
      <c r="E10" s="643">
        <f ca="1">tertiair!D16</f>
        <v>6906.5962928328026</v>
      </c>
      <c r="F10" s="643">
        <f>tertiair!E16</f>
        <v>34.97152204192885</v>
      </c>
      <c r="G10" s="643">
        <f ca="1">tertiair!F16</f>
        <v>1944.8411695923744</v>
      </c>
      <c r="H10" s="643">
        <f>tertiair!G16</f>
        <v>0</v>
      </c>
      <c r="I10" s="643">
        <f>tertiair!H16</f>
        <v>0</v>
      </c>
      <c r="J10" s="643">
        <f>tertiair!I16</f>
        <v>0</v>
      </c>
      <c r="K10" s="643">
        <f>tertiair!J16</f>
        <v>1.5549693291668156E-2</v>
      </c>
      <c r="L10" s="643">
        <f>tertiair!K16</f>
        <v>0</v>
      </c>
      <c r="M10" s="643">
        <f ca="1">tertiair!L16</f>
        <v>0</v>
      </c>
      <c r="N10" s="643">
        <f>tertiair!M16</f>
        <v>0</v>
      </c>
      <c r="O10" s="643">
        <f ca="1">tertiair!N16</f>
        <v>601.3732728994878</v>
      </c>
      <c r="P10" s="643">
        <f>tertiair!O16</f>
        <v>9.7945215316823084</v>
      </c>
      <c r="Q10" s="644">
        <f>tertiair!P16</f>
        <v>52.539138306495019</v>
      </c>
      <c r="R10" s="646">
        <f ca="1">SUM(C10:Q10)</f>
        <v>17588.130291806108</v>
      </c>
      <c r="S10" s="67"/>
    </row>
    <row r="11" spans="1:19" s="441" customFormat="1">
      <c r="A11" s="763" t="s">
        <v>214</v>
      </c>
      <c r="B11" s="768"/>
      <c r="C11" s="643">
        <f>huishoudens!B8</f>
        <v>23412.271331499222</v>
      </c>
      <c r="D11" s="643">
        <f>huishoudens!C8</f>
        <v>0</v>
      </c>
      <c r="E11" s="643">
        <f>huishoudens!D8</f>
        <v>39203.904219959579</v>
      </c>
      <c r="F11" s="643">
        <f>huishoudens!E8</f>
        <v>1558.5202698631188</v>
      </c>
      <c r="G11" s="643">
        <f>huishoudens!F8</f>
        <v>28232.804858854339</v>
      </c>
      <c r="H11" s="643">
        <f>huishoudens!G8</f>
        <v>0</v>
      </c>
      <c r="I11" s="643">
        <f>huishoudens!H8</f>
        <v>0</v>
      </c>
      <c r="J11" s="643">
        <f>huishoudens!I8</f>
        <v>0</v>
      </c>
      <c r="K11" s="643">
        <f>huishoudens!J8</f>
        <v>178.58657800005955</v>
      </c>
      <c r="L11" s="643">
        <f>huishoudens!K8</f>
        <v>0</v>
      </c>
      <c r="M11" s="643">
        <f>huishoudens!L8</f>
        <v>0</v>
      </c>
      <c r="N11" s="643">
        <f>huishoudens!M8</f>
        <v>0</v>
      </c>
      <c r="O11" s="643">
        <f>huishoudens!N8</f>
        <v>6962.3704530874065</v>
      </c>
      <c r="P11" s="643">
        <f>huishoudens!O8</f>
        <v>265.85040139786224</v>
      </c>
      <c r="Q11" s="644">
        <f>huishoudens!P8</f>
        <v>705.77527361489661</v>
      </c>
      <c r="R11" s="646">
        <f>SUM(C11:Q11)</f>
        <v>100520.08338627648</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5146.5068100895851</v>
      </c>
      <c r="D13" s="643">
        <f>industrie!C18</f>
        <v>0</v>
      </c>
      <c r="E13" s="643">
        <f>industrie!D18</f>
        <v>2601.7839370845954</v>
      </c>
      <c r="F13" s="643">
        <f>industrie!E18</f>
        <v>10.338918289949612</v>
      </c>
      <c r="G13" s="643">
        <f>industrie!F18</f>
        <v>1254.0645905725157</v>
      </c>
      <c r="H13" s="643">
        <f>industrie!G18</f>
        <v>0</v>
      </c>
      <c r="I13" s="643">
        <f>industrie!H18</f>
        <v>0</v>
      </c>
      <c r="J13" s="643">
        <f>industrie!I18</f>
        <v>0</v>
      </c>
      <c r="K13" s="643">
        <f>industrie!J18</f>
        <v>0.1085085273941868</v>
      </c>
      <c r="L13" s="643">
        <f>industrie!K18</f>
        <v>0</v>
      </c>
      <c r="M13" s="643">
        <f>industrie!L18</f>
        <v>0</v>
      </c>
      <c r="N13" s="643">
        <f>industrie!M18</f>
        <v>0</v>
      </c>
      <c r="O13" s="643">
        <f>industrie!N18</f>
        <v>100.95125737244099</v>
      </c>
      <c r="P13" s="643">
        <f>industrie!O18</f>
        <v>0</v>
      </c>
      <c r="Q13" s="644">
        <f>industrie!P18</f>
        <v>0</v>
      </c>
      <c r="R13" s="646">
        <f>SUM(C13:Q13)</f>
        <v>9113.7540219364801</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36596.776966496851</v>
      </c>
      <c r="D16" s="679">
        <f t="shared" ref="D16:R16" ca="1" si="0">SUM(D9:D15)</f>
        <v>0</v>
      </c>
      <c r="E16" s="679">
        <f t="shared" ca="1" si="0"/>
        <v>48712.284449876977</v>
      </c>
      <c r="F16" s="679">
        <f t="shared" si="0"/>
        <v>1603.8307101949972</v>
      </c>
      <c r="G16" s="679">
        <f t="shared" ca="1" si="0"/>
        <v>31431.710619019228</v>
      </c>
      <c r="H16" s="679">
        <f t="shared" si="0"/>
        <v>0</v>
      </c>
      <c r="I16" s="679">
        <f t="shared" si="0"/>
        <v>0</v>
      </c>
      <c r="J16" s="679">
        <f t="shared" si="0"/>
        <v>0</v>
      </c>
      <c r="K16" s="679">
        <f t="shared" si="0"/>
        <v>178.71063622074539</v>
      </c>
      <c r="L16" s="679">
        <f t="shared" si="0"/>
        <v>0</v>
      </c>
      <c r="M16" s="679">
        <f t="shared" ca="1" si="0"/>
        <v>0</v>
      </c>
      <c r="N16" s="679">
        <f t="shared" si="0"/>
        <v>0</v>
      </c>
      <c r="O16" s="679">
        <f t="shared" ca="1" si="0"/>
        <v>7664.6949833593362</v>
      </c>
      <c r="P16" s="679">
        <f t="shared" si="0"/>
        <v>275.64492292954458</v>
      </c>
      <c r="Q16" s="679">
        <f t="shared" si="0"/>
        <v>758.31441192139164</v>
      </c>
      <c r="R16" s="679">
        <f t="shared" ca="1" si="0"/>
        <v>127221.96770001907</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6.3086222317702454</v>
      </c>
      <c r="D19" s="643">
        <f>transport!C54</f>
        <v>0</v>
      </c>
      <c r="E19" s="643">
        <f>transport!D54</f>
        <v>0</v>
      </c>
      <c r="F19" s="643">
        <f>transport!E54</f>
        <v>0</v>
      </c>
      <c r="G19" s="643">
        <f>transport!F54</f>
        <v>0</v>
      </c>
      <c r="H19" s="643">
        <f>transport!G54</f>
        <v>394.93883021099208</v>
      </c>
      <c r="I19" s="643">
        <f>transport!H54</f>
        <v>0</v>
      </c>
      <c r="J19" s="643">
        <f>transport!I54</f>
        <v>0</v>
      </c>
      <c r="K19" s="643">
        <f>transport!J54</f>
        <v>0</v>
      </c>
      <c r="L19" s="643">
        <f>transport!K54</f>
        <v>0</v>
      </c>
      <c r="M19" s="643">
        <f>transport!L54</f>
        <v>0</v>
      </c>
      <c r="N19" s="643">
        <f>transport!M54</f>
        <v>22.676513144186181</v>
      </c>
      <c r="O19" s="643">
        <f>transport!N54</f>
        <v>0</v>
      </c>
      <c r="P19" s="643">
        <f>transport!O54</f>
        <v>0</v>
      </c>
      <c r="Q19" s="644">
        <f>transport!P54</f>
        <v>0</v>
      </c>
      <c r="R19" s="646">
        <f>SUM(C19:Q19)</f>
        <v>423.9239655869485</v>
      </c>
      <c r="S19" s="67"/>
    </row>
    <row r="20" spans="1:19" s="441" customFormat="1">
      <c r="A20" s="763" t="s">
        <v>296</v>
      </c>
      <c r="B20" s="768"/>
      <c r="C20" s="643">
        <f>transport!B14</f>
        <v>113.71025439568946</v>
      </c>
      <c r="D20" s="643">
        <f>transport!C14</f>
        <v>0</v>
      </c>
      <c r="E20" s="643">
        <f>transport!D14</f>
        <v>182.74405177961103</v>
      </c>
      <c r="F20" s="643">
        <f>transport!E14</f>
        <v>70.258823208688625</v>
      </c>
      <c r="G20" s="643">
        <f>transport!F14</f>
        <v>0</v>
      </c>
      <c r="H20" s="643">
        <f>transport!G14</f>
        <v>30656.623842506229</v>
      </c>
      <c r="I20" s="643">
        <f>transport!H14</f>
        <v>9674.0583857171823</v>
      </c>
      <c r="J20" s="643">
        <f>transport!I14</f>
        <v>0</v>
      </c>
      <c r="K20" s="643">
        <f>transport!J14</f>
        <v>0</v>
      </c>
      <c r="L20" s="643">
        <f>transport!K14</f>
        <v>0</v>
      </c>
      <c r="M20" s="643">
        <f>transport!L14</f>
        <v>0</v>
      </c>
      <c r="N20" s="643">
        <f>transport!M14</f>
        <v>2446.0596892342887</v>
      </c>
      <c r="O20" s="643">
        <f>transport!N14</f>
        <v>0</v>
      </c>
      <c r="P20" s="643">
        <f>transport!O14</f>
        <v>0</v>
      </c>
      <c r="Q20" s="644">
        <f>transport!P14</f>
        <v>0</v>
      </c>
      <c r="R20" s="646">
        <f>SUM(C20:Q20)</f>
        <v>43143.455046841686</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120.0188766274597</v>
      </c>
      <c r="D22" s="766">
        <f t="shared" ref="D22:R22" si="1">SUM(D18:D21)</f>
        <v>0</v>
      </c>
      <c r="E22" s="766">
        <f t="shared" si="1"/>
        <v>182.74405177961103</v>
      </c>
      <c r="F22" s="766">
        <f t="shared" si="1"/>
        <v>70.258823208688625</v>
      </c>
      <c r="G22" s="766">
        <f t="shared" si="1"/>
        <v>0</v>
      </c>
      <c r="H22" s="766">
        <f t="shared" si="1"/>
        <v>31051.56267271722</v>
      </c>
      <c r="I22" s="766">
        <f t="shared" si="1"/>
        <v>9674.0583857171823</v>
      </c>
      <c r="J22" s="766">
        <f t="shared" si="1"/>
        <v>0</v>
      </c>
      <c r="K22" s="766">
        <f t="shared" si="1"/>
        <v>0</v>
      </c>
      <c r="L22" s="766">
        <f t="shared" si="1"/>
        <v>0</v>
      </c>
      <c r="M22" s="766">
        <f t="shared" si="1"/>
        <v>0</v>
      </c>
      <c r="N22" s="766">
        <f t="shared" si="1"/>
        <v>2468.7362023784749</v>
      </c>
      <c r="O22" s="766">
        <f t="shared" si="1"/>
        <v>0</v>
      </c>
      <c r="P22" s="766">
        <f t="shared" si="1"/>
        <v>0</v>
      </c>
      <c r="Q22" s="766">
        <f t="shared" si="1"/>
        <v>0</v>
      </c>
      <c r="R22" s="766">
        <f t="shared" si="1"/>
        <v>43567.379012428632</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543.09750775283601</v>
      </c>
      <c r="D24" s="643">
        <f>+landbouw!C8</f>
        <v>0</v>
      </c>
      <c r="E24" s="643">
        <f>+landbouw!D8</f>
        <v>182.82333042684945</v>
      </c>
      <c r="F24" s="643">
        <f>+landbouw!E8</f>
        <v>19.349474900009731</v>
      </c>
      <c r="G24" s="643">
        <f>+landbouw!F8</f>
        <v>1850.7740494883956</v>
      </c>
      <c r="H24" s="643">
        <f>+landbouw!G8</f>
        <v>0</v>
      </c>
      <c r="I24" s="643">
        <f>+landbouw!H8</f>
        <v>0</v>
      </c>
      <c r="J24" s="643">
        <f>+landbouw!I8</f>
        <v>0</v>
      </c>
      <c r="K24" s="643">
        <f>+landbouw!J8</f>
        <v>138.09264166071517</v>
      </c>
      <c r="L24" s="643">
        <f>+landbouw!K8</f>
        <v>0</v>
      </c>
      <c r="M24" s="643">
        <f>+landbouw!L8</f>
        <v>0</v>
      </c>
      <c r="N24" s="643">
        <f>+landbouw!M8</f>
        <v>0</v>
      </c>
      <c r="O24" s="643">
        <f>+landbouw!N8</f>
        <v>0</v>
      </c>
      <c r="P24" s="643">
        <f>+landbouw!O8</f>
        <v>0</v>
      </c>
      <c r="Q24" s="644">
        <f>+landbouw!P8</f>
        <v>0</v>
      </c>
      <c r="R24" s="646">
        <f>SUM(C24:Q24)</f>
        <v>2734.1370042288063</v>
      </c>
      <c r="S24" s="67"/>
    </row>
    <row r="25" spans="1:19" s="441" customFormat="1" ht="15" thickBot="1">
      <c r="A25" s="785" t="s">
        <v>665</v>
      </c>
      <c r="B25" s="895"/>
      <c r="C25" s="896">
        <f>IF(Onbekend_ele_kWh="---",0,Onbekend_ele_kWh)/1000+IF(REST_rest_ele_kWh="---",0,REST_rest_ele_kWh)/1000</f>
        <v>397.45621170074401</v>
      </c>
      <c r="D25" s="896"/>
      <c r="E25" s="896">
        <f>IF(onbekend_gas_kWh="---",0,onbekend_gas_kWh)/1000+IF(REST_rest_gas_kWh="---",0,REST_rest_gas_kWh)/1000</f>
        <v>587.47208502973297</v>
      </c>
      <c r="F25" s="896"/>
      <c r="G25" s="896"/>
      <c r="H25" s="896"/>
      <c r="I25" s="896"/>
      <c r="J25" s="896"/>
      <c r="K25" s="896"/>
      <c r="L25" s="896"/>
      <c r="M25" s="896"/>
      <c r="N25" s="896"/>
      <c r="O25" s="896"/>
      <c r="P25" s="896"/>
      <c r="Q25" s="897"/>
      <c r="R25" s="646">
        <f>SUM(C25:Q25)</f>
        <v>984.92829673047697</v>
      </c>
      <c r="S25" s="67"/>
    </row>
    <row r="26" spans="1:19" s="441" customFormat="1" ht="15.75" thickBot="1">
      <c r="A26" s="651" t="s">
        <v>666</v>
      </c>
      <c r="B26" s="771"/>
      <c r="C26" s="766">
        <f>SUM(C24:C25)</f>
        <v>940.55371945358002</v>
      </c>
      <c r="D26" s="766">
        <f t="shared" ref="D26:R26" si="2">SUM(D24:D25)</f>
        <v>0</v>
      </c>
      <c r="E26" s="766">
        <f t="shared" si="2"/>
        <v>770.29541545658242</v>
      </c>
      <c r="F26" s="766">
        <f t="shared" si="2"/>
        <v>19.349474900009731</v>
      </c>
      <c r="G26" s="766">
        <f t="shared" si="2"/>
        <v>1850.7740494883956</v>
      </c>
      <c r="H26" s="766">
        <f t="shared" si="2"/>
        <v>0</v>
      </c>
      <c r="I26" s="766">
        <f t="shared" si="2"/>
        <v>0</v>
      </c>
      <c r="J26" s="766">
        <f t="shared" si="2"/>
        <v>0</v>
      </c>
      <c r="K26" s="766">
        <f t="shared" si="2"/>
        <v>138.09264166071517</v>
      </c>
      <c r="L26" s="766">
        <f t="shared" si="2"/>
        <v>0</v>
      </c>
      <c r="M26" s="766">
        <f t="shared" si="2"/>
        <v>0</v>
      </c>
      <c r="N26" s="766">
        <f t="shared" si="2"/>
        <v>0</v>
      </c>
      <c r="O26" s="766">
        <f t="shared" si="2"/>
        <v>0</v>
      </c>
      <c r="P26" s="766">
        <f t="shared" si="2"/>
        <v>0</v>
      </c>
      <c r="Q26" s="766">
        <f t="shared" si="2"/>
        <v>0</v>
      </c>
      <c r="R26" s="766">
        <f t="shared" si="2"/>
        <v>3719.0653009592834</v>
      </c>
      <c r="S26" s="67"/>
    </row>
    <row r="27" spans="1:19" s="441" customFormat="1" ht="17.25" thickTop="1" thickBot="1">
      <c r="A27" s="652" t="s">
        <v>109</v>
      </c>
      <c r="B27" s="758"/>
      <c r="C27" s="653">
        <f ca="1">C22+C16+C26</f>
        <v>37657.349562577889</v>
      </c>
      <c r="D27" s="653">
        <f t="shared" ref="D27:R27" ca="1" si="3">D22+D16+D26</f>
        <v>0</v>
      </c>
      <c r="E27" s="653">
        <f t="shared" ca="1" si="3"/>
        <v>49665.323917113172</v>
      </c>
      <c r="F27" s="653">
        <f t="shared" si="3"/>
        <v>1693.4390083036956</v>
      </c>
      <c r="G27" s="653">
        <f t="shared" ca="1" si="3"/>
        <v>33282.484668507626</v>
      </c>
      <c r="H27" s="653">
        <f t="shared" si="3"/>
        <v>31051.56267271722</v>
      </c>
      <c r="I27" s="653">
        <f t="shared" si="3"/>
        <v>9674.0583857171823</v>
      </c>
      <c r="J27" s="653">
        <f t="shared" si="3"/>
        <v>0</v>
      </c>
      <c r="K27" s="653">
        <f t="shared" si="3"/>
        <v>316.80327788146053</v>
      </c>
      <c r="L27" s="653">
        <f t="shared" si="3"/>
        <v>0</v>
      </c>
      <c r="M27" s="653">
        <f t="shared" ca="1" si="3"/>
        <v>0</v>
      </c>
      <c r="N27" s="653">
        <f t="shared" si="3"/>
        <v>2468.7362023784749</v>
      </c>
      <c r="O27" s="653">
        <f t="shared" ca="1" si="3"/>
        <v>7664.6949833593362</v>
      </c>
      <c r="P27" s="653">
        <f t="shared" si="3"/>
        <v>275.64492292954458</v>
      </c>
      <c r="Q27" s="653">
        <f t="shared" si="3"/>
        <v>758.31441192139164</v>
      </c>
      <c r="R27" s="653">
        <f t="shared" ca="1" si="3"/>
        <v>174508.41201340698</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1554.4769812654865</v>
      </c>
      <c r="D40" s="643">
        <f ca="1">tertiair!C20</f>
        <v>0</v>
      </c>
      <c r="E40" s="643">
        <f ca="1">tertiair!D20</f>
        <v>1395.1324511522262</v>
      </c>
      <c r="F40" s="643">
        <f>tertiair!E20</f>
        <v>7.9385355035178495</v>
      </c>
      <c r="G40" s="643">
        <f ca="1">tertiair!F20</f>
        <v>519.27259228116395</v>
      </c>
      <c r="H40" s="643">
        <f>tertiair!G20</f>
        <v>0</v>
      </c>
      <c r="I40" s="643">
        <f>tertiair!H20</f>
        <v>0</v>
      </c>
      <c r="J40" s="643">
        <f>tertiair!I20</f>
        <v>0</v>
      </c>
      <c r="K40" s="643">
        <f>tertiair!J20</f>
        <v>5.5045914252505272E-3</v>
      </c>
      <c r="L40" s="643">
        <f>tertiair!K20</f>
        <v>0</v>
      </c>
      <c r="M40" s="643">
        <f ca="1">tertiair!L20</f>
        <v>0</v>
      </c>
      <c r="N40" s="643">
        <f>tertiair!M20</f>
        <v>0</v>
      </c>
      <c r="O40" s="643">
        <f ca="1">tertiair!N20</f>
        <v>0</v>
      </c>
      <c r="P40" s="643">
        <f>tertiair!O20</f>
        <v>0</v>
      </c>
      <c r="Q40" s="726">
        <f>tertiair!P20</f>
        <v>0</v>
      </c>
      <c r="R40" s="804">
        <f t="shared" ca="1" si="4"/>
        <v>3476.8260647938196</v>
      </c>
    </row>
    <row r="41" spans="1:18">
      <c r="A41" s="776" t="s">
        <v>214</v>
      </c>
      <c r="B41" s="783"/>
      <c r="C41" s="643">
        <f ca="1">huishoudens!B12</f>
        <v>4527.7235860225146</v>
      </c>
      <c r="D41" s="643">
        <f ca="1">huishoudens!C12</f>
        <v>0</v>
      </c>
      <c r="E41" s="643">
        <f>huishoudens!D12</f>
        <v>7919.1886524318352</v>
      </c>
      <c r="F41" s="643">
        <f>huishoudens!E12</f>
        <v>353.78410125892799</v>
      </c>
      <c r="G41" s="643">
        <f>huishoudens!F12</f>
        <v>7538.1588973141088</v>
      </c>
      <c r="H41" s="643">
        <f>huishoudens!G12</f>
        <v>0</v>
      </c>
      <c r="I41" s="643">
        <f>huishoudens!H12</f>
        <v>0</v>
      </c>
      <c r="J41" s="643">
        <f>huishoudens!I12</f>
        <v>0</v>
      </c>
      <c r="K41" s="643">
        <f>huishoudens!J12</f>
        <v>63.219648612021075</v>
      </c>
      <c r="L41" s="643">
        <f>huishoudens!K12</f>
        <v>0</v>
      </c>
      <c r="M41" s="643">
        <f>huishoudens!L12</f>
        <v>0</v>
      </c>
      <c r="N41" s="643">
        <f>huishoudens!M12</f>
        <v>0</v>
      </c>
      <c r="O41" s="643">
        <f>huishoudens!N12</f>
        <v>0</v>
      </c>
      <c r="P41" s="643">
        <f>huishoudens!O12</f>
        <v>0</v>
      </c>
      <c r="Q41" s="726">
        <f>huishoudens!P12</f>
        <v>0</v>
      </c>
      <c r="R41" s="804">
        <f t="shared" ca="1" si="4"/>
        <v>20402.074885639409</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995.28832293675418</v>
      </c>
      <c r="D43" s="643">
        <f ca="1">industrie!C22</f>
        <v>0</v>
      </c>
      <c r="E43" s="643">
        <f>industrie!D22</f>
        <v>525.56035529108829</v>
      </c>
      <c r="F43" s="643">
        <f>industrie!E22</f>
        <v>2.3469344518185622</v>
      </c>
      <c r="G43" s="643">
        <f>industrie!F22</f>
        <v>334.83524568286174</v>
      </c>
      <c r="H43" s="643">
        <f>industrie!G22</f>
        <v>0</v>
      </c>
      <c r="I43" s="643">
        <f>industrie!H22</f>
        <v>0</v>
      </c>
      <c r="J43" s="643">
        <f>industrie!I22</f>
        <v>0</v>
      </c>
      <c r="K43" s="643">
        <f>industrie!J22</f>
        <v>3.8412018697542127E-2</v>
      </c>
      <c r="L43" s="643">
        <f>industrie!K22</f>
        <v>0</v>
      </c>
      <c r="M43" s="643">
        <f>industrie!L22</f>
        <v>0</v>
      </c>
      <c r="N43" s="643">
        <f>industrie!M22</f>
        <v>0</v>
      </c>
      <c r="O43" s="643">
        <f>industrie!N22</f>
        <v>0</v>
      </c>
      <c r="P43" s="643">
        <f>industrie!O22</f>
        <v>0</v>
      </c>
      <c r="Q43" s="726">
        <f>industrie!P22</f>
        <v>0</v>
      </c>
      <c r="R43" s="803">
        <f t="shared" ca="1" si="4"/>
        <v>1858.0692703812201</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7077.4888902247558</v>
      </c>
      <c r="D46" s="679">
        <f t="shared" ref="D46:Q46" ca="1" si="5">SUM(D39:D45)</f>
        <v>0</v>
      </c>
      <c r="E46" s="679">
        <f t="shared" ca="1" si="5"/>
        <v>9839.8814588751502</v>
      </c>
      <c r="F46" s="679">
        <f t="shared" si="5"/>
        <v>364.06957121426444</v>
      </c>
      <c r="G46" s="679">
        <f t="shared" ca="1" si="5"/>
        <v>8392.2667352781355</v>
      </c>
      <c r="H46" s="679">
        <f t="shared" si="5"/>
        <v>0</v>
      </c>
      <c r="I46" s="679">
        <f t="shared" si="5"/>
        <v>0</v>
      </c>
      <c r="J46" s="679">
        <f t="shared" si="5"/>
        <v>0</v>
      </c>
      <c r="K46" s="679">
        <f t="shared" si="5"/>
        <v>63.263565222143868</v>
      </c>
      <c r="L46" s="679">
        <f t="shared" si="5"/>
        <v>0</v>
      </c>
      <c r="M46" s="679">
        <f t="shared" ca="1" si="5"/>
        <v>0</v>
      </c>
      <c r="N46" s="679">
        <f t="shared" si="5"/>
        <v>0</v>
      </c>
      <c r="O46" s="679">
        <f t="shared" ca="1" si="5"/>
        <v>0</v>
      </c>
      <c r="P46" s="679">
        <f t="shared" si="5"/>
        <v>0</v>
      </c>
      <c r="Q46" s="679">
        <f t="shared" si="5"/>
        <v>0</v>
      </c>
      <c r="R46" s="679">
        <f ca="1">SUM(R39:R45)</f>
        <v>25736.970220814448</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1.2200310371280427</v>
      </c>
      <c r="D49" s="643">
        <f ca="1">transport!C58</f>
        <v>0</v>
      </c>
      <c r="E49" s="643">
        <f>transport!D58</f>
        <v>0</v>
      </c>
      <c r="F49" s="643">
        <f>transport!E58</f>
        <v>0</v>
      </c>
      <c r="G49" s="643">
        <f>transport!F58</f>
        <v>0</v>
      </c>
      <c r="H49" s="643">
        <f>transport!G58</f>
        <v>105.44866766633488</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106.66869870346292</v>
      </c>
    </row>
    <row r="50" spans="1:18">
      <c r="A50" s="779" t="s">
        <v>296</v>
      </c>
      <c r="B50" s="789"/>
      <c r="C50" s="649">
        <f ca="1">transport!B18</f>
        <v>21.990544766466058</v>
      </c>
      <c r="D50" s="649">
        <f>transport!C18</f>
        <v>0</v>
      </c>
      <c r="E50" s="649">
        <f>transport!D18</f>
        <v>36.914298459481429</v>
      </c>
      <c r="F50" s="649">
        <f>transport!E18</f>
        <v>15.948752868372319</v>
      </c>
      <c r="G50" s="649">
        <f>transport!F18</f>
        <v>0</v>
      </c>
      <c r="H50" s="649">
        <f>transport!G18</f>
        <v>8185.3185659491637</v>
      </c>
      <c r="I50" s="649">
        <f>transport!H18</f>
        <v>2408.8405380435784</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10669.012700087062</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23.2105758035941</v>
      </c>
      <c r="D52" s="679">
        <f t="shared" ref="D52:Q52" ca="1" si="6">SUM(D48:D51)</f>
        <v>0</v>
      </c>
      <c r="E52" s="679">
        <f t="shared" si="6"/>
        <v>36.914298459481429</v>
      </c>
      <c r="F52" s="679">
        <f t="shared" si="6"/>
        <v>15.948752868372319</v>
      </c>
      <c r="G52" s="679">
        <f t="shared" si="6"/>
        <v>0</v>
      </c>
      <c r="H52" s="679">
        <f t="shared" si="6"/>
        <v>8290.7672336154992</v>
      </c>
      <c r="I52" s="679">
        <f t="shared" si="6"/>
        <v>2408.8405380435784</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10775.681398790524</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105.03019380499798</v>
      </c>
      <c r="D54" s="649">
        <f ca="1">+landbouw!C12</f>
        <v>0</v>
      </c>
      <c r="E54" s="649">
        <f>+landbouw!D12</f>
        <v>36.930312746223592</v>
      </c>
      <c r="F54" s="649">
        <f>+landbouw!E12</f>
        <v>4.392330802302209</v>
      </c>
      <c r="G54" s="649">
        <f>+landbouw!F12</f>
        <v>494.15667121340164</v>
      </c>
      <c r="H54" s="649">
        <f>+landbouw!G12</f>
        <v>0</v>
      </c>
      <c r="I54" s="649">
        <f>+landbouw!H12</f>
        <v>0</v>
      </c>
      <c r="J54" s="649">
        <f>+landbouw!I12</f>
        <v>0</v>
      </c>
      <c r="K54" s="649">
        <f>+landbouw!J12</f>
        <v>48.884795147893172</v>
      </c>
      <c r="L54" s="649">
        <f>+landbouw!K12</f>
        <v>0</v>
      </c>
      <c r="M54" s="649">
        <f>+landbouw!L12</f>
        <v>0</v>
      </c>
      <c r="N54" s="649">
        <f>+landbouw!M12</f>
        <v>0</v>
      </c>
      <c r="O54" s="649">
        <f>+landbouw!N12</f>
        <v>0</v>
      </c>
      <c r="P54" s="649">
        <f>+landbouw!O12</f>
        <v>0</v>
      </c>
      <c r="Q54" s="650">
        <f>+landbouw!P12</f>
        <v>0</v>
      </c>
      <c r="R54" s="678">
        <f ca="1">SUM(C54:Q54)</f>
        <v>689.39430371481865</v>
      </c>
    </row>
    <row r="55" spans="1:18" ht="15" thickBot="1">
      <c r="A55" s="779" t="s">
        <v>665</v>
      </c>
      <c r="B55" s="789"/>
      <c r="C55" s="649">
        <f ca="1">C25*'EF ele_warmte'!B12</f>
        <v>76.864471569123054</v>
      </c>
      <c r="D55" s="649"/>
      <c r="E55" s="649">
        <f>E25*EF_CO2_aardgas</f>
        <v>118.66936117600606</v>
      </c>
      <c r="F55" s="649"/>
      <c r="G55" s="649"/>
      <c r="H55" s="649"/>
      <c r="I55" s="649"/>
      <c r="J55" s="649"/>
      <c r="K55" s="649"/>
      <c r="L55" s="649"/>
      <c r="M55" s="649"/>
      <c r="N55" s="649"/>
      <c r="O55" s="649"/>
      <c r="P55" s="649"/>
      <c r="Q55" s="650"/>
      <c r="R55" s="678">
        <f ca="1">SUM(C55:Q55)</f>
        <v>195.53383274512913</v>
      </c>
    </row>
    <row r="56" spans="1:18" ht="15.75" thickBot="1">
      <c r="A56" s="777" t="s">
        <v>666</v>
      </c>
      <c r="B56" s="790"/>
      <c r="C56" s="679">
        <f ca="1">SUM(C54:C55)</f>
        <v>181.89466537412102</v>
      </c>
      <c r="D56" s="679">
        <f t="shared" ref="D56:Q56" ca="1" si="7">SUM(D54:D55)</f>
        <v>0</v>
      </c>
      <c r="E56" s="679">
        <f t="shared" si="7"/>
        <v>155.59967392222967</v>
      </c>
      <c r="F56" s="679">
        <f t="shared" si="7"/>
        <v>4.392330802302209</v>
      </c>
      <c r="G56" s="679">
        <f t="shared" si="7"/>
        <v>494.15667121340164</v>
      </c>
      <c r="H56" s="679">
        <f t="shared" si="7"/>
        <v>0</v>
      </c>
      <c r="I56" s="679">
        <f t="shared" si="7"/>
        <v>0</v>
      </c>
      <c r="J56" s="679">
        <f t="shared" si="7"/>
        <v>0</v>
      </c>
      <c r="K56" s="679">
        <f t="shared" si="7"/>
        <v>48.884795147893172</v>
      </c>
      <c r="L56" s="679">
        <f t="shared" si="7"/>
        <v>0</v>
      </c>
      <c r="M56" s="679">
        <f t="shared" si="7"/>
        <v>0</v>
      </c>
      <c r="N56" s="679">
        <f t="shared" si="7"/>
        <v>0</v>
      </c>
      <c r="O56" s="679">
        <f t="shared" si="7"/>
        <v>0</v>
      </c>
      <c r="P56" s="679">
        <f t="shared" si="7"/>
        <v>0</v>
      </c>
      <c r="Q56" s="680">
        <f t="shared" si="7"/>
        <v>0</v>
      </c>
      <c r="R56" s="681">
        <f ca="1">SUM(R54:R55)</f>
        <v>884.92813645994784</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7282.5941314024712</v>
      </c>
      <c r="D61" s="687">
        <f t="shared" ref="D61:Q61" ca="1" si="8">D46+D52+D56</f>
        <v>0</v>
      </c>
      <c r="E61" s="687">
        <f t="shared" ca="1" si="8"/>
        <v>10032.395431256862</v>
      </c>
      <c r="F61" s="687">
        <f t="shared" si="8"/>
        <v>384.41065488493894</v>
      </c>
      <c r="G61" s="687">
        <f t="shared" ca="1" si="8"/>
        <v>8886.4234064915363</v>
      </c>
      <c r="H61" s="687">
        <f t="shared" si="8"/>
        <v>8290.7672336154992</v>
      </c>
      <c r="I61" s="687">
        <f t="shared" si="8"/>
        <v>2408.8405380435784</v>
      </c>
      <c r="J61" s="687">
        <f t="shared" si="8"/>
        <v>0</v>
      </c>
      <c r="K61" s="687">
        <f t="shared" si="8"/>
        <v>112.14836037003704</v>
      </c>
      <c r="L61" s="687">
        <f t="shared" si="8"/>
        <v>0</v>
      </c>
      <c r="M61" s="687">
        <f t="shared" ca="1" si="8"/>
        <v>0</v>
      </c>
      <c r="N61" s="687">
        <f t="shared" si="8"/>
        <v>0</v>
      </c>
      <c r="O61" s="687">
        <f t="shared" ca="1" si="8"/>
        <v>0</v>
      </c>
      <c r="P61" s="687">
        <f t="shared" si="8"/>
        <v>0</v>
      </c>
      <c r="Q61" s="687">
        <f t="shared" si="8"/>
        <v>0</v>
      </c>
      <c r="R61" s="687">
        <f ca="1">R46+R52+R56</f>
        <v>37397.579756064915</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0.1933910436075823</v>
      </c>
      <c r="D63" s="733">
        <f t="shared" ca="1" si="9"/>
        <v>0</v>
      </c>
      <c r="E63" s="921">
        <f t="shared" ca="1" si="9"/>
        <v>0.20200000000000004</v>
      </c>
      <c r="F63" s="733">
        <f t="shared" si="9"/>
        <v>0.22700000000000004</v>
      </c>
      <c r="G63" s="733">
        <f t="shared" ca="1" si="9"/>
        <v>0.26700000000000002</v>
      </c>
      <c r="H63" s="733">
        <f t="shared" si="9"/>
        <v>0.26700000000000007</v>
      </c>
      <c r="I63" s="733">
        <f t="shared" si="9"/>
        <v>0.249</v>
      </c>
      <c r="J63" s="733">
        <f t="shared" si="9"/>
        <v>0</v>
      </c>
      <c r="K63" s="733">
        <f t="shared" si="9"/>
        <v>0.35400000000000004</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4704.4349408472553</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4704.4349408472553</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23412.271331499222</v>
      </c>
      <c r="C4" s="445">
        <f>huishoudens!C8</f>
        <v>0</v>
      </c>
      <c r="D4" s="445">
        <f>huishoudens!D8</f>
        <v>39203.904219959579</v>
      </c>
      <c r="E4" s="445">
        <f>huishoudens!E8</f>
        <v>1558.5202698631188</v>
      </c>
      <c r="F4" s="445">
        <f>huishoudens!F8</f>
        <v>28232.804858854339</v>
      </c>
      <c r="G4" s="445">
        <f>huishoudens!G8</f>
        <v>0</v>
      </c>
      <c r="H4" s="445">
        <f>huishoudens!H8</f>
        <v>0</v>
      </c>
      <c r="I4" s="445">
        <f>huishoudens!I8</f>
        <v>0</v>
      </c>
      <c r="J4" s="445">
        <f>huishoudens!J8</f>
        <v>178.58657800005955</v>
      </c>
      <c r="K4" s="445">
        <f>huishoudens!K8</f>
        <v>0</v>
      </c>
      <c r="L4" s="445">
        <f>huishoudens!L8</f>
        <v>0</v>
      </c>
      <c r="M4" s="445">
        <f>huishoudens!M8</f>
        <v>0</v>
      </c>
      <c r="N4" s="445">
        <f>huishoudens!N8</f>
        <v>6962.3704530874065</v>
      </c>
      <c r="O4" s="445">
        <f>huishoudens!O8</f>
        <v>265.85040139786224</v>
      </c>
      <c r="P4" s="446">
        <f>huishoudens!P8</f>
        <v>705.77527361489661</v>
      </c>
      <c r="Q4" s="447">
        <f>SUM(B4:P4)</f>
        <v>100520.08338627648</v>
      </c>
    </row>
    <row r="5" spans="1:17">
      <c r="A5" s="444" t="s">
        <v>149</v>
      </c>
      <c r="B5" s="445">
        <f ca="1">tertiair!B16</f>
        <v>7228.8088249080429</v>
      </c>
      <c r="C5" s="445">
        <f ca="1">tertiair!C16</f>
        <v>0</v>
      </c>
      <c r="D5" s="445">
        <f ca="1">tertiair!D16</f>
        <v>6906.5962928328026</v>
      </c>
      <c r="E5" s="445">
        <f>tertiair!E16</f>
        <v>34.97152204192885</v>
      </c>
      <c r="F5" s="445">
        <f ca="1">tertiair!F16</f>
        <v>1944.8411695923744</v>
      </c>
      <c r="G5" s="445">
        <f>tertiair!G16</f>
        <v>0</v>
      </c>
      <c r="H5" s="445">
        <f>tertiair!H16</f>
        <v>0</v>
      </c>
      <c r="I5" s="445">
        <f>tertiair!I16</f>
        <v>0</v>
      </c>
      <c r="J5" s="445">
        <f>tertiair!J16</f>
        <v>1.5549693291668156E-2</v>
      </c>
      <c r="K5" s="445">
        <f>tertiair!K16</f>
        <v>0</v>
      </c>
      <c r="L5" s="445">
        <f ca="1">tertiair!L16</f>
        <v>0</v>
      </c>
      <c r="M5" s="445">
        <f>tertiair!M16</f>
        <v>0</v>
      </c>
      <c r="N5" s="445">
        <f ca="1">tertiair!N16</f>
        <v>601.3732728994878</v>
      </c>
      <c r="O5" s="445">
        <f>tertiair!O16</f>
        <v>9.7945215316823084</v>
      </c>
      <c r="P5" s="446">
        <f>tertiair!P16</f>
        <v>52.539138306495019</v>
      </c>
      <c r="Q5" s="444">
        <f t="shared" ref="Q5:Q14" ca="1" si="0">SUM(B5:P5)</f>
        <v>16778.94029180611</v>
      </c>
    </row>
    <row r="6" spans="1:17">
      <c r="A6" s="444" t="s">
        <v>187</v>
      </c>
      <c r="B6" s="445">
        <f>'openbare verlichting'!B8</f>
        <v>809.19</v>
      </c>
      <c r="C6" s="445"/>
      <c r="D6" s="445"/>
      <c r="E6" s="445"/>
      <c r="F6" s="445"/>
      <c r="G6" s="445"/>
      <c r="H6" s="445"/>
      <c r="I6" s="445"/>
      <c r="J6" s="445"/>
      <c r="K6" s="445"/>
      <c r="L6" s="445"/>
      <c r="M6" s="445"/>
      <c r="N6" s="445"/>
      <c r="O6" s="445"/>
      <c r="P6" s="446"/>
      <c r="Q6" s="444">
        <f t="shared" si="0"/>
        <v>809.19</v>
      </c>
    </row>
    <row r="7" spans="1:17">
      <c r="A7" s="444" t="s">
        <v>105</v>
      </c>
      <c r="B7" s="445">
        <f>landbouw!B8</f>
        <v>543.09750775283601</v>
      </c>
      <c r="C7" s="445">
        <f>landbouw!C8</f>
        <v>0</v>
      </c>
      <c r="D7" s="445">
        <f>landbouw!D8</f>
        <v>182.82333042684945</v>
      </c>
      <c r="E7" s="445">
        <f>landbouw!E8</f>
        <v>19.349474900009731</v>
      </c>
      <c r="F7" s="445">
        <f>landbouw!F8</f>
        <v>1850.7740494883956</v>
      </c>
      <c r="G7" s="445">
        <f>landbouw!G8</f>
        <v>0</v>
      </c>
      <c r="H7" s="445">
        <f>landbouw!H8</f>
        <v>0</v>
      </c>
      <c r="I7" s="445">
        <f>landbouw!I8</f>
        <v>0</v>
      </c>
      <c r="J7" s="445">
        <f>landbouw!J8</f>
        <v>138.09264166071517</v>
      </c>
      <c r="K7" s="445">
        <f>landbouw!K8</f>
        <v>0</v>
      </c>
      <c r="L7" s="445">
        <f>landbouw!L8</f>
        <v>0</v>
      </c>
      <c r="M7" s="445">
        <f>landbouw!M8</f>
        <v>0</v>
      </c>
      <c r="N7" s="445">
        <f>landbouw!N8</f>
        <v>0</v>
      </c>
      <c r="O7" s="445">
        <f>landbouw!O8</f>
        <v>0</v>
      </c>
      <c r="P7" s="446">
        <f>landbouw!P8</f>
        <v>0</v>
      </c>
      <c r="Q7" s="444">
        <f t="shared" si="0"/>
        <v>2734.1370042288063</v>
      </c>
    </row>
    <row r="8" spans="1:17">
      <c r="A8" s="444" t="s">
        <v>586</v>
      </c>
      <c r="B8" s="445">
        <f>industrie!B18</f>
        <v>5146.5068100895851</v>
      </c>
      <c r="C8" s="445">
        <f>industrie!C18</f>
        <v>0</v>
      </c>
      <c r="D8" s="445">
        <f>industrie!D18</f>
        <v>2601.7839370845954</v>
      </c>
      <c r="E8" s="445">
        <f>industrie!E18</f>
        <v>10.338918289949612</v>
      </c>
      <c r="F8" s="445">
        <f>industrie!F18</f>
        <v>1254.0645905725157</v>
      </c>
      <c r="G8" s="445">
        <f>industrie!G18</f>
        <v>0</v>
      </c>
      <c r="H8" s="445">
        <f>industrie!H18</f>
        <v>0</v>
      </c>
      <c r="I8" s="445">
        <f>industrie!I18</f>
        <v>0</v>
      </c>
      <c r="J8" s="445">
        <f>industrie!J18</f>
        <v>0.1085085273941868</v>
      </c>
      <c r="K8" s="445">
        <f>industrie!K18</f>
        <v>0</v>
      </c>
      <c r="L8" s="445">
        <f>industrie!L18</f>
        <v>0</v>
      </c>
      <c r="M8" s="445">
        <f>industrie!M18</f>
        <v>0</v>
      </c>
      <c r="N8" s="445">
        <f>industrie!N18</f>
        <v>100.95125737244099</v>
      </c>
      <c r="O8" s="445">
        <f>industrie!O18</f>
        <v>0</v>
      </c>
      <c r="P8" s="446">
        <f>industrie!P18</f>
        <v>0</v>
      </c>
      <c r="Q8" s="444">
        <f t="shared" si="0"/>
        <v>9113.7540219364801</v>
      </c>
    </row>
    <row r="9" spans="1:17" s="450" customFormat="1">
      <c r="A9" s="448" t="s">
        <v>535</v>
      </c>
      <c r="B9" s="449">
        <f>transport!B14</f>
        <v>113.71025439568946</v>
      </c>
      <c r="C9" s="449">
        <f>transport!C14</f>
        <v>0</v>
      </c>
      <c r="D9" s="449">
        <f>transport!D14</f>
        <v>182.74405177961103</v>
      </c>
      <c r="E9" s="449">
        <f>transport!E14</f>
        <v>70.258823208688625</v>
      </c>
      <c r="F9" s="449">
        <f>transport!F14</f>
        <v>0</v>
      </c>
      <c r="G9" s="449">
        <f>transport!G14</f>
        <v>30656.623842506229</v>
      </c>
      <c r="H9" s="449">
        <f>transport!H14</f>
        <v>9674.0583857171823</v>
      </c>
      <c r="I9" s="449">
        <f>transport!I14</f>
        <v>0</v>
      </c>
      <c r="J9" s="449">
        <f>transport!J14</f>
        <v>0</v>
      </c>
      <c r="K9" s="449">
        <f>transport!K14</f>
        <v>0</v>
      </c>
      <c r="L9" s="449">
        <f>transport!L14</f>
        <v>0</v>
      </c>
      <c r="M9" s="449">
        <f>transport!M14</f>
        <v>2446.0596892342887</v>
      </c>
      <c r="N9" s="449">
        <f>transport!N14</f>
        <v>0</v>
      </c>
      <c r="O9" s="449">
        <f>transport!O14</f>
        <v>0</v>
      </c>
      <c r="P9" s="449">
        <f>transport!P14</f>
        <v>0</v>
      </c>
      <c r="Q9" s="448">
        <f>SUM(B9:P9)</f>
        <v>43143.455046841686</v>
      </c>
    </row>
    <row r="10" spans="1:17">
      <c r="A10" s="444" t="s">
        <v>525</v>
      </c>
      <c r="B10" s="445">
        <f>transport!B54</f>
        <v>6.3086222317702454</v>
      </c>
      <c r="C10" s="445">
        <f>transport!C54</f>
        <v>0</v>
      </c>
      <c r="D10" s="445">
        <f>transport!D54</f>
        <v>0</v>
      </c>
      <c r="E10" s="445">
        <f>transport!E54</f>
        <v>0</v>
      </c>
      <c r="F10" s="445">
        <f>transport!F54</f>
        <v>0</v>
      </c>
      <c r="G10" s="445">
        <f>transport!G54</f>
        <v>394.93883021099208</v>
      </c>
      <c r="H10" s="445">
        <f>transport!H54</f>
        <v>0</v>
      </c>
      <c r="I10" s="445">
        <f>transport!I54</f>
        <v>0</v>
      </c>
      <c r="J10" s="445">
        <f>transport!J54</f>
        <v>0</v>
      </c>
      <c r="K10" s="445">
        <f>transport!K54</f>
        <v>0</v>
      </c>
      <c r="L10" s="445">
        <f>transport!L54</f>
        <v>0</v>
      </c>
      <c r="M10" s="445">
        <f>transport!M54</f>
        <v>22.676513144186181</v>
      </c>
      <c r="N10" s="445">
        <f>transport!N54</f>
        <v>0</v>
      </c>
      <c r="O10" s="445">
        <f>transport!O54</f>
        <v>0</v>
      </c>
      <c r="P10" s="446">
        <f>transport!P54</f>
        <v>0</v>
      </c>
      <c r="Q10" s="444">
        <f t="shared" si="0"/>
        <v>423.9239655869485</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397.45621170074401</v>
      </c>
      <c r="C14" s="452"/>
      <c r="D14" s="452">
        <f>'SEAP template'!E25</f>
        <v>587.47208502973297</v>
      </c>
      <c r="E14" s="452"/>
      <c r="F14" s="452"/>
      <c r="G14" s="452"/>
      <c r="H14" s="452"/>
      <c r="I14" s="452"/>
      <c r="J14" s="452"/>
      <c r="K14" s="452"/>
      <c r="L14" s="452"/>
      <c r="M14" s="452"/>
      <c r="N14" s="452"/>
      <c r="O14" s="452"/>
      <c r="P14" s="453"/>
      <c r="Q14" s="444">
        <f t="shared" si="0"/>
        <v>984.92829673047697</v>
      </c>
    </row>
    <row r="15" spans="1:17" s="456" customFormat="1">
      <c r="A15" s="454" t="s">
        <v>529</v>
      </c>
      <c r="B15" s="455">
        <f ca="1">SUM(B4:B14)</f>
        <v>37657.349562577889</v>
      </c>
      <c r="C15" s="455">
        <f t="shared" ref="C15:Q15" ca="1" si="1">SUM(C4:C14)</f>
        <v>0</v>
      </c>
      <c r="D15" s="455">
        <f t="shared" ca="1" si="1"/>
        <v>49665.323917113172</v>
      </c>
      <c r="E15" s="455">
        <f t="shared" si="1"/>
        <v>1693.4390083036956</v>
      </c>
      <c r="F15" s="455">
        <f t="shared" ca="1" si="1"/>
        <v>33282.484668507626</v>
      </c>
      <c r="G15" s="455">
        <f t="shared" si="1"/>
        <v>31051.56267271722</v>
      </c>
      <c r="H15" s="455">
        <f t="shared" si="1"/>
        <v>9674.0583857171823</v>
      </c>
      <c r="I15" s="455">
        <f t="shared" si="1"/>
        <v>0</v>
      </c>
      <c r="J15" s="455">
        <f t="shared" si="1"/>
        <v>316.80327788146053</v>
      </c>
      <c r="K15" s="455">
        <f t="shared" si="1"/>
        <v>0</v>
      </c>
      <c r="L15" s="455">
        <f t="shared" ca="1" si="1"/>
        <v>0</v>
      </c>
      <c r="M15" s="455">
        <f t="shared" si="1"/>
        <v>2468.7362023784749</v>
      </c>
      <c r="N15" s="455">
        <f t="shared" ca="1" si="1"/>
        <v>7664.6949833593362</v>
      </c>
      <c r="O15" s="455">
        <f t="shared" si="1"/>
        <v>275.64492292954458</v>
      </c>
      <c r="P15" s="455">
        <f t="shared" si="1"/>
        <v>758.31441192139164</v>
      </c>
      <c r="Q15" s="455">
        <f t="shared" ca="1" si="1"/>
        <v>174508.41201340698</v>
      </c>
    </row>
    <row r="17" spans="1:17">
      <c r="A17" s="457" t="s">
        <v>530</v>
      </c>
      <c r="B17" s="738">
        <f ca="1">huishoudens!B10</f>
        <v>0.1933910436075823</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4527.7235860225146</v>
      </c>
      <c r="C22" s="445">
        <f t="shared" ref="C22:C32" ca="1" si="3">C4*$C$17</f>
        <v>0</v>
      </c>
      <c r="D22" s="445">
        <f t="shared" ref="D22:D32" si="4">D4*$D$17</f>
        <v>7919.1886524318352</v>
      </c>
      <c r="E22" s="445">
        <f t="shared" ref="E22:E32" si="5">E4*$E$17</f>
        <v>353.78410125892799</v>
      </c>
      <c r="F22" s="445">
        <f t="shared" ref="F22:F32" si="6">F4*$F$17</f>
        <v>7538.1588973141088</v>
      </c>
      <c r="G22" s="445">
        <f t="shared" ref="G22:G32" si="7">G4*$G$17</f>
        <v>0</v>
      </c>
      <c r="H22" s="445">
        <f t="shared" ref="H22:H32" si="8">H4*$H$17</f>
        <v>0</v>
      </c>
      <c r="I22" s="445">
        <f t="shared" ref="I22:I32" si="9">I4*$I$17</f>
        <v>0</v>
      </c>
      <c r="J22" s="445">
        <f t="shared" ref="J22:J32" si="10">J4*$J$17</f>
        <v>63.219648612021075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20402.074885639409</v>
      </c>
    </row>
    <row r="23" spans="1:17">
      <c r="A23" s="444" t="s">
        <v>149</v>
      </c>
      <c r="B23" s="445">
        <f t="shared" ca="1" si="2"/>
        <v>1397.986882688667</v>
      </c>
      <c r="C23" s="445">
        <f t="shared" ca="1" si="3"/>
        <v>0</v>
      </c>
      <c r="D23" s="445">
        <f t="shared" ca="1" si="4"/>
        <v>1395.1324511522262</v>
      </c>
      <c r="E23" s="445">
        <f t="shared" si="5"/>
        <v>7.9385355035178495</v>
      </c>
      <c r="F23" s="445">
        <f t="shared" ca="1" si="6"/>
        <v>519.27259228116395</v>
      </c>
      <c r="G23" s="445">
        <f t="shared" si="7"/>
        <v>0</v>
      </c>
      <c r="H23" s="445">
        <f t="shared" si="8"/>
        <v>0</v>
      </c>
      <c r="I23" s="445">
        <f t="shared" si="9"/>
        <v>0</v>
      </c>
      <c r="J23" s="445">
        <f t="shared" si="10"/>
        <v>5.5045914252505272E-3</v>
      </c>
      <c r="K23" s="445">
        <f t="shared" si="11"/>
        <v>0</v>
      </c>
      <c r="L23" s="445">
        <f t="shared" ca="1" si="12"/>
        <v>0</v>
      </c>
      <c r="M23" s="445">
        <f t="shared" si="13"/>
        <v>0</v>
      </c>
      <c r="N23" s="445">
        <f t="shared" ca="1" si="14"/>
        <v>0</v>
      </c>
      <c r="O23" s="445">
        <f t="shared" si="15"/>
        <v>0</v>
      </c>
      <c r="P23" s="446">
        <f t="shared" si="16"/>
        <v>0</v>
      </c>
      <c r="Q23" s="444">
        <f t="shared" ref="Q23:Q31" ca="1" si="17">SUM(B23:P23)</f>
        <v>3320.3359662169996</v>
      </c>
    </row>
    <row r="24" spans="1:17">
      <c r="A24" s="444" t="s">
        <v>187</v>
      </c>
      <c r="B24" s="445">
        <f t="shared" ca="1" si="2"/>
        <v>156.49009857681952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156.49009857681952</v>
      </c>
    </row>
    <row r="25" spans="1:17">
      <c r="A25" s="444" t="s">
        <v>105</v>
      </c>
      <c r="B25" s="445">
        <f t="shared" ca="1" si="2"/>
        <v>105.03019380499798</v>
      </c>
      <c r="C25" s="445">
        <f t="shared" ca="1" si="3"/>
        <v>0</v>
      </c>
      <c r="D25" s="445">
        <f t="shared" si="4"/>
        <v>36.930312746223592</v>
      </c>
      <c r="E25" s="445">
        <f t="shared" si="5"/>
        <v>4.392330802302209</v>
      </c>
      <c r="F25" s="445">
        <f t="shared" si="6"/>
        <v>494.15667121340164</v>
      </c>
      <c r="G25" s="445">
        <f t="shared" si="7"/>
        <v>0</v>
      </c>
      <c r="H25" s="445">
        <f t="shared" si="8"/>
        <v>0</v>
      </c>
      <c r="I25" s="445">
        <f t="shared" si="9"/>
        <v>0</v>
      </c>
      <c r="J25" s="445">
        <f t="shared" si="10"/>
        <v>48.884795147893172</v>
      </c>
      <c r="K25" s="445">
        <f t="shared" si="11"/>
        <v>0</v>
      </c>
      <c r="L25" s="445">
        <f t="shared" si="12"/>
        <v>0</v>
      </c>
      <c r="M25" s="445">
        <f t="shared" si="13"/>
        <v>0</v>
      </c>
      <c r="N25" s="445">
        <f t="shared" si="14"/>
        <v>0</v>
      </c>
      <c r="O25" s="445">
        <f t="shared" si="15"/>
        <v>0</v>
      </c>
      <c r="P25" s="446">
        <f t="shared" si="16"/>
        <v>0</v>
      </c>
      <c r="Q25" s="444">
        <f t="shared" ca="1" si="17"/>
        <v>689.39430371481865</v>
      </c>
    </row>
    <row r="26" spans="1:17">
      <c r="A26" s="444" t="s">
        <v>586</v>
      </c>
      <c r="B26" s="445">
        <f t="shared" ca="1" si="2"/>
        <v>995.28832293675418</v>
      </c>
      <c r="C26" s="445">
        <f t="shared" ca="1" si="3"/>
        <v>0</v>
      </c>
      <c r="D26" s="445">
        <f t="shared" si="4"/>
        <v>525.56035529108829</v>
      </c>
      <c r="E26" s="445">
        <f t="shared" si="5"/>
        <v>2.3469344518185622</v>
      </c>
      <c r="F26" s="445">
        <f t="shared" si="6"/>
        <v>334.83524568286174</v>
      </c>
      <c r="G26" s="445">
        <f t="shared" si="7"/>
        <v>0</v>
      </c>
      <c r="H26" s="445">
        <f t="shared" si="8"/>
        <v>0</v>
      </c>
      <c r="I26" s="445">
        <f t="shared" si="9"/>
        <v>0</v>
      </c>
      <c r="J26" s="445">
        <f t="shared" si="10"/>
        <v>3.8412018697542127E-2</v>
      </c>
      <c r="K26" s="445">
        <f t="shared" si="11"/>
        <v>0</v>
      </c>
      <c r="L26" s="445">
        <f t="shared" si="12"/>
        <v>0</v>
      </c>
      <c r="M26" s="445">
        <f t="shared" si="13"/>
        <v>0</v>
      </c>
      <c r="N26" s="445">
        <f t="shared" si="14"/>
        <v>0</v>
      </c>
      <c r="O26" s="445">
        <f t="shared" si="15"/>
        <v>0</v>
      </c>
      <c r="P26" s="446">
        <f t="shared" si="16"/>
        <v>0</v>
      </c>
      <c r="Q26" s="444">
        <f t="shared" ca="1" si="17"/>
        <v>1858.0692703812201</v>
      </c>
    </row>
    <row r="27" spans="1:17" s="450" customFormat="1">
      <c r="A27" s="448" t="s">
        <v>535</v>
      </c>
      <c r="B27" s="732">
        <f t="shared" ca="1" si="2"/>
        <v>21.990544766466058</v>
      </c>
      <c r="C27" s="449">
        <f t="shared" ca="1" si="3"/>
        <v>0</v>
      </c>
      <c r="D27" s="449">
        <f t="shared" si="4"/>
        <v>36.914298459481429</v>
      </c>
      <c r="E27" s="449">
        <f t="shared" si="5"/>
        <v>15.948752868372319</v>
      </c>
      <c r="F27" s="449">
        <f t="shared" si="6"/>
        <v>0</v>
      </c>
      <c r="G27" s="449">
        <f t="shared" si="7"/>
        <v>8185.3185659491637</v>
      </c>
      <c r="H27" s="449">
        <f t="shared" si="8"/>
        <v>2408.8405380435784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10669.012700087062</v>
      </c>
    </row>
    <row r="28" spans="1:17" ht="16.5" customHeight="1">
      <c r="A28" s="444" t="s">
        <v>525</v>
      </c>
      <c r="B28" s="445">
        <f t="shared" ca="1" si="2"/>
        <v>1.2200310371280427</v>
      </c>
      <c r="C28" s="445">
        <f t="shared" ca="1" si="3"/>
        <v>0</v>
      </c>
      <c r="D28" s="445">
        <f t="shared" si="4"/>
        <v>0</v>
      </c>
      <c r="E28" s="445">
        <f t="shared" si="5"/>
        <v>0</v>
      </c>
      <c r="F28" s="445">
        <f t="shared" si="6"/>
        <v>0</v>
      </c>
      <c r="G28" s="445">
        <f t="shared" si="7"/>
        <v>105.44866766633488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106.66869870346292</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76.864471569123054</v>
      </c>
      <c r="C32" s="445">
        <f t="shared" ca="1" si="3"/>
        <v>0</v>
      </c>
      <c r="D32" s="445">
        <f t="shared" si="4"/>
        <v>118.66936117600606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195.53383274512913</v>
      </c>
    </row>
    <row r="33" spans="1:17" s="456" customFormat="1">
      <c r="A33" s="454" t="s">
        <v>529</v>
      </c>
      <c r="B33" s="455">
        <f ca="1">SUM(B22:B32)</f>
        <v>7282.5941314024712</v>
      </c>
      <c r="C33" s="455">
        <f t="shared" ref="C33:Q33" ca="1" si="19">SUM(C22:C32)</f>
        <v>0</v>
      </c>
      <c r="D33" s="455">
        <f t="shared" ca="1" si="19"/>
        <v>10032.395431256862</v>
      </c>
      <c r="E33" s="455">
        <f t="shared" si="19"/>
        <v>384.41065488493894</v>
      </c>
      <c r="F33" s="455">
        <f t="shared" ca="1" si="19"/>
        <v>8886.4234064915363</v>
      </c>
      <c r="G33" s="455">
        <f t="shared" si="19"/>
        <v>8290.7672336154992</v>
      </c>
      <c r="H33" s="455">
        <f t="shared" si="19"/>
        <v>2408.8405380435784</v>
      </c>
      <c r="I33" s="455">
        <f t="shared" si="19"/>
        <v>0</v>
      </c>
      <c r="J33" s="455">
        <f t="shared" si="19"/>
        <v>112.14836037003704</v>
      </c>
      <c r="K33" s="455">
        <f t="shared" si="19"/>
        <v>0</v>
      </c>
      <c r="L33" s="455">
        <f t="shared" ca="1" si="19"/>
        <v>0</v>
      </c>
      <c r="M33" s="455">
        <f t="shared" si="19"/>
        <v>0</v>
      </c>
      <c r="N33" s="455">
        <f t="shared" ca="1" si="19"/>
        <v>0</v>
      </c>
      <c r="O33" s="455">
        <f t="shared" si="19"/>
        <v>0</v>
      </c>
      <c r="P33" s="455">
        <f t="shared" si="19"/>
        <v>0</v>
      </c>
      <c r="Q33" s="455">
        <f t="shared" ca="1" si="19"/>
        <v>37397.579756064923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4704.4349408472553</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4704.4349408472553</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0.1933910436075823</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0.1933910436075823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2022-08-09T08:14:21Z</dcterms:modified>
</cp:coreProperties>
</file>