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3E399050-B65B-4EF6-8CA1-39FE270B3EF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M10" i="14" s="1"/>
  <c r="S38" i="18"/>
  <c r="R38" i="18"/>
  <c r="Q38" i="18"/>
  <c r="P38" i="18"/>
  <c r="O38" i="18"/>
  <c r="N38" i="18"/>
  <c r="M38" i="18"/>
  <c r="W37" i="18"/>
  <c r="V37" i="18"/>
  <c r="U37" i="18"/>
  <c r="T37" i="18"/>
  <c r="S37" i="18"/>
  <c r="R37" i="18"/>
  <c r="Q37" i="18"/>
  <c r="P37" i="18"/>
  <c r="O37" i="18"/>
  <c r="C16" i="16" s="1"/>
  <c r="C18" i="16" s="1"/>
  <c r="D13" i="14"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B10"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J9" i="15"/>
  <c r="B28" i="15"/>
  <c r="C28" i="15"/>
  <c r="N8" i="15" s="1"/>
  <c r="B27" i="15"/>
  <c r="C27" i="15" s="1"/>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H20"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D13" i="15"/>
  <c r="D16" i="15" s="1"/>
  <c r="B67" i="22"/>
  <c r="M11" i="22"/>
  <c r="G10" i="22"/>
  <c r="M9" i="22"/>
  <c r="M5" i="22" s="1"/>
  <c r="G8" i="22"/>
  <c r="M7" i="22"/>
  <c r="G6" i="22"/>
  <c r="G11" i="22"/>
  <c r="M8" i="22"/>
  <c r="G7" i="22"/>
  <c r="M10" i="22"/>
  <c r="G9" i="22"/>
  <c r="M6" i="22"/>
  <c r="B12" i="48"/>
  <c r="Q12" i="48"/>
  <c r="O9" i="14"/>
  <c r="B7" i="15"/>
  <c r="O5" i="16"/>
  <c r="C35" i="13"/>
  <c r="B11" i="15"/>
  <c r="B11" i="16"/>
  <c r="J9" i="14"/>
  <c r="J16" i="14"/>
  <c r="B45" i="18"/>
  <c r="C49" i="18" s="1"/>
  <c r="B16" i="16"/>
  <c r="K9" i="14"/>
  <c r="H77" i="14"/>
  <c r="J11" i="48"/>
  <c r="J29" i="48"/>
  <c r="M9" i="14"/>
  <c r="L11" i="48"/>
  <c r="O19" i="14"/>
  <c r="O22" i="14"/>
  <c r="N10" i="48"/>
  <c r="N28" i="48"/>
  <c r="J19" i="14"/>
  <c r="J22" i="14"/>
  <c r="I10" i="48"/>
  <c r="I28" i="48"/>
  <c r="J19" i="19"/>
  <c r="K39" i="14"/>
  <c r="N19" i="19"/>
  <c r="O39" i="14"/>
  <c r="C45" i="18"/>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E14" i="16"/>
  <c r="B8" i="15"/>
  <c r="J8" i="15"/>
  <c r="F12" i="15"/>
  <c r="I20" i="15"/>
  <c r="J40" i="14"/>
  <c r="B9" i="16"/>
  <c r="N9" i="16"/>
  <c r="E8" i="15"/>
  <c r="B10" i="15"/>
  <c r="E9" i="16"/>
  <c r="B6" i="15"/>
  <c r="D5" i="16"/>
  <c r="D18" i="16" s="1"/>
  <c r="F10" i="16"/>
  <c r="B15" i="16"/>
  <c r="F14" i="16"/>
  <c r="J6" i="15"/>
  <c r="B12" i="15"/>
  <c r="J12" i="15"/>
  <c r="B7" i="16"/>
  <c r="N11" i="16"/>
  <c r="N6" i="15"/>
  <c r="B8" i="16"/>
  <c r="J8" i="16"/>
  <c r="B10" i="16"/>
  <c r="B14" i="16"/>
  <c r="E15" i="16"/>
  <c r="F7" i="16"/>
  <c r="N7" i="16"/>
  <c r="E9" i="15"/>
  <c r="C34" i="16"/>
  <c r="Q13" i="14"/>
  <c r="B9" i="15"/>
  <c r="E11" i="48"/>
  <c r="E29" i="48"/>
  <c r="F9" i="14"/>
  <c r="D9" i="14"/>
  <c r="E19" i="19"/>
  <c r="F39" i="14"/>
  <c r="C11" i="48"/>
  <c r="D19" i="19"/>
  <c r="E39" i="14"/>
  <c r="C9" i="14"/>
  <c r="B11" i="48"/>
  <c r="E5" i="22"/>
  <c r="E14" i="22" s="1"/>
  <c r="F20" i="14" s="1"/>
  <c r="D5" i="22"/>
  <c r="D14" i="22" s="1"/>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4"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P25" i="48"/>
  <c r="E5" i="17"/>
  <c r="E8" i="17" s="1"/>
  <c r="F24" i="14" s="1"/>
  <c r="F26" i="14" s="1"/>
  <c r="C8" i="17"/>
  <c r="G25" i="48"/>
  <c r="I25" i="48"/>
  <c r="D88" i="14"/>
  <c r="H88" i="14"/>
  <c r="N90" i="14"/>
  <c r="F88" i="14"/>
  <c r="F18" i="59" s="1"/>
  <c r="E77" i="14"/>
  <c r="D20" i="18"/>
  <c r="L20" i="18"/>
  <c r="G77" i="14"/>
  <c r="G9" i="59" s="1"/>
  <c r="O90" i="14"/>
  <c r="F20" i="18"/>
  <c r="D11" i="14"/>
  <c r="C4" i="48"/>
  <c r="O18" i="18"/>
  <c r="N46" i="14"/>
  <c r="G51" i="22"/>
  <c r="G50" i="22" s="1"/>
  <c r="G54" i="22" s="1"/>
  <c r="G10" i="48" s="1"/>
  <c r="G28" i="48" s="1"/>
  <c r="M51" i="22"/>
  <c r="M50" i="22" s="1"/>
  <c r="M54" i="22"/>
  <c r="I5" i="48"/>
  <c r="K33" i="48"/>
  <c r="J27" i="14"/>
  <c r="M24" i="48"/>
  <c r="M32" i="48"/>
  <c r="K15" i="48"/>
  <c r="N78" i="14"/>
  <c r="N9" i="59"/>
  <c r="C89" i="14"/>
  <c r="C19" i="59" s="1"/>
  <c r="G10" i="59"/>
  <c r="H90" i="14"/>
  <c r="H18" i="59"/>
  <c r="E78" i="14"/>
  <c r="E9" i="59"/>
  <c r="E10" i="59"/>
  <c r="O9" i="59"/>
  <c r="L22" i="16"/>
  <c r="M43" i="14" s="1"/>
  <c r="D10" i="14"/>
  <c r="D16" i="14" s="1"/>
  <c r="B77" i="14"/>
  <c r="B9" i="59" s="1"/>
  <c r="J46" i="14"/>
  <c r="J61" i="14"/>
  <c r="L46" i="14"/>
  <c r="L61" i="14"/>
  <c r="L16" i="14"/>
  <c r="L27" i="14"/>
  <c r="P8" i="48"/>
  <c r="P26" i="48" s="1"/>
  <c r="G31" i="20"/>
  <c r="H48" i="14"/>
  <c r="G12" i="22"/>
  <c r="K24" i="14"/>
  <c r="K26" i="14" s="1"/>
  <c r="O18" i="16"/>
  <c r="N5" i="13"/>
  <c r="N8" i="13"/>
  <c r="N4" i="48" s="1"/>
  <c r="N22" i="48"/>
  <c r="H13" i="48"/>
  <c r="H31" i="48"/>
  <c r="H12" i="22"/>
  <c r="E5" i="13"/>
  <c r="E8" i="13" s="1"/>
  <c r="N8" i="17"/>
  <c r="N12" i="17"/>
  <c r="O54" i="14" s="1"/>
  <c r="O56" i="14" s="1"/>
  <c r="E24" i="14"/>
  <c r="E26" i="14" s="1"/>
  <c r="B9" i="48"/>
  <c r="F7" i="48"/>
  <c r="F25" i="48" s="1"/>
  <c r="D48" i="18"/>
  <c r="O9" i="18"/>
  <c r="M29" i="48"/>
  <c r="D7" i="48"/>
  <c r="D25" i="48"/>
  <c r="H48" i="18"/>
  <c r="G48" i="18"/>
  <c r="L28" i="48"/>
  <c r="H49" i="18"/>
  <c r="F48" i="18"/>
  <c r="B48" i="18"/>
  <c r="C8" i="18" s="1"/>
  <c r="L31" i="48"/>
  <c r="L24" i="48"/>
  <c r="L22" i="48"/>
  <c r="M23" i="48"/>
  <c r="M22" i="48"/>
  <c r="I18" i="14"/>
  <c r="D9" i="48"/>
  <c r="D27" i="48" s="1"/>
  <c r="F22" i="14"/>
  <c r="L30" i="48"/>
  <c r="B20" i="18"/>
  <c r="L29" i="48"/>
  <c r="M31" i="20"/>
  <c r="N48" i="14"/>
  <c r="N18" i="14"/>
  <c r="M13" i="48"/>
  <c r="M31" i="48"/>
  <c r="H31" i="20"/>
  <c r="I48" i="14"/>
  <c r="G13" i="48"/>
  <c r="G31" i="48"/>
  <c r="H18" i="14"/>
  <c r="M14" i="22"/>
  <c r="M9" i="48" s="1"/>
  <c r="O20" i="15"/>
  <c r="P40" i="14" s="1"/>
  <c r="P10" i="14"/>
  <c r="P20" i="15"/>
  <c r="Q40" i="14"/>
  <c r="Q10" i="14"/>
  <c r="F4" i="48"/>
  <c r="F22" i="48"/>
  <c r="B5" i="16"/>
  <c r="B18" i="16" s="1"/>
  <c r="C13" i="14" s="1"/>
  <c r="F12" i="13"/>
  <c r="G41" i="14"/>
  <c r="P5" i="48"/>
  <c r="P23" i="48" s="1"/>
  <c r="N13" i="16"/>
  <c r="N12" i="16"/>
  <c r="J12" i="16"/>
  <c r="F12" i="16"/>
  <c r="E12" i="16"/>
  <c r="Q11" i="48"/>
  <c r="O5" i="48"/>
  <c r="O23" i="48" s="1"/>
  <c r="R9" i="14"/>
  <c r="O29" i="48"/>
  <c r="H23" i="48"/>
  <c r="L27" i="48"/>
  <c r="M30" i="48"/>
  <c r="M26" i="48"/>
  <c r="M25" i="48"/>
  <c r="J5" i="13"/>
  <c r="J8" i="13"/>
  <c r="C5" i="48"/>
  <c r="I23" i="48"/>
  <c r="I33" i="48"/>
  <c r="I15" i="48"/>
  <c r="O8" i="48"/>
  <c r="O26" i="48" s="1"/>
  <c r="E12" i="17"/>
  <c r="F54" i="14" s="1"/>
  <c r="F56" i="14" s="1"/>
  <c r="E7" i="48"/>
  <c r="E25" i="48" s="1"/>
  <c r="I8" i="18"/>
  <c r="I10" i="18" s="1"/>
  <c r="D76" i="14"/>
  <c r="D8" i="59"/>
  <c r="D10" i="59" s="1"/>
  <c r="N7" i="48"/>
  <c r="N25" i="48" s="1"/>
  <c r="O24" i="14"/>
  <c r="O26" i="14" s="1"/>
  <c r="N19" i="14"/>
  <c r="C20" i="14"/>
  <c r="E18" i="22"/>
  <c r="F50" i="14" s="1"/>
  <c r="F52" i="14" s="1"/>
  <c r="E9" i="48"/>
  <c r="E27" i="48" s="1"/>
  <c r="E10" i="14"/>
  <c r="I76" i="14"/>
  <c r="I8" i="59" s="1"/>
  <c r="I10" i="59" s="1"/>
  <c r="R18" i="14"/>
  <c r="Q13" i="48"/>
  <c r="I20" i="14"/>
  <c r="I22" i="14" s="1"/>
  <c r="I27" i="14" s="1"/>
  <c r="B8" i="48"/>
  <c r="J63" i="14"/>
  <c r="L63" i="14"/>
  <c r="L5" i="48"/>
  <c r="L23" i="48" s="1"/>
  <c r="N12" i="13"/>
  <c r="O41" i="14" s="1"/>
  <c r="O11" i="14"/>
  <c r="F11" i="14"/>
  <c r="K11" i="14"/>
  <c r="C10" i="18"/>
  <c r="H18" i="22"/>
  <c r="I50" i="14" s="1"/>
  <c r="I52" i="14" s="1"/>
  <c r="I61" i="14" s="1"/>
  <c r="I63" i="14" s="1"/>
  <c r="H9" i="48"/>
  <c r="H15" i="48"/>
  <c r="H27" i="48"/>
  <c r="H33" i="48" s="1"/>
  <c r="E56" i="14"/>
  <c r="M18" i="22" l="1"/>
  <c r="N50" i="14" s="1"/>
  <c r="O22" i="16"/>
  <c r="P43" i="14" s="1"/>
  <c r="P13" i="14"/>
  <c r="P16" i="14" s="1"/>
  <c r="P27" i="14" s="1"/>
  <c r="C7" i="48"/>
  <c r="D24" i="14"/>
  <c r="H78" i="14"/>
  <c r="H9" i="59"/>
  <c r="H10" i="59" s="1"/>
  <c r="M15" i="48"/>
  <c r="M27" i="48"/>
  <c r="N22" i="14"/>
  <c r="N27" i="14" s="1"/>
  <c r="J4" i="48"/>
  <c r="J12" i="13"/>
  <c r="K41" i="14" s="1"/>
  <c r="E12" i="13"/>
  <c r="F41" i="14" s="1"/>
  <c r="E4" i="48"/>
  <c r="M10" i="48"/>
  <c r="M28" i="48" s="1"/>
  <c r="M58" i="22"/>
  <c r="N49" i="14" s="1"/>
  <c r="N52" i="14" s="1"/>
  <c r="N61" i="14" s="1"/>
  <c r="N63" i="14" s="1"/>
  <c r="D18" i="59"/>
  <c r="B88" i="14"/>
  <c r="B18" i="59" s="1"/>
  <c r="C88" i="14"/>
  <c r="C18" i="59" s="1"/>
  <c r="Q88" i="14"/>
  <c r="P18" i="59" s="1"/>
  <c r="D18" i="22"/>
  <c r="E50" i="14" s="1"/>
  <c r="E52" i="14" s="1"/>
  <c r="E20" i="14"/>
  <c r="C11" i="14"/>
  <c r="B4" i="48"/>
  <c r="D12" i="13"/>
  <c r="E41" i="14" s="1"/>
  <c r="E11" i="14"/>
  <c r="D4" i="48"/>
  <c r="Q11" i="14"/>
  <c r="Q16" i="14" s="1"/>
  <c r="Q27" i="14" s="1"/>
  <c r="P12" i="13"/>
  <c r="Q41" i="14" s="1"/>
  <c r="C22" i="14"/>
  <c r="Q46" i="14"/>
  <c r="Q61" i="14" s="1"/>
  <c r="Q63" i="14" s="1"/>
  <c r="I78" i="14"/>
  <c r="N20" i="14"/>
  <c r="D78" i="14"/>
  <c r="B5" i="15"/>
  <c r="B16" i="15" s="1"/>
  <c r="D22" i="16"/>
  <c r="E43" i="14" s="1"/>
  <c r="D8" i="48"/>
  <c r="D26" i="48" s="1"/>
  <c r="E13" i="14"/>
  <c r="H19" i="14"/>
  <c r="G58" i="22"/>
  <c r="H49" i="14" s="1"/>
  <c r="P15" i="48"/>
  <c r="P22" i="48"/>
  <c r="P33" i="48" s="1"/>
  <c r="B49" i="18"/>
  <c r="C17" i="18" s="1"/>
  <c r="G49" i="18"/>
  <c r="I49" i="18"/>
  <c r="H17" i="18" s="1"/>
  <c r="E49" i="18"/>
  <c r="E17" i="18" s="1"/>
  <c r="D49" i="18"/>
  <c r="J17" i="18" s="1"/>
  <c r="F49" i="18"/>
  <c r="G5" i="22"/>
  <c r="G14" i="22" s="1"/>
  <c r="D20" i="15"/>
  <c r="E40" i="14" s="1"/>
  <c r="E46" i="14" s="1"/>
  <c r="E61" i="14" s="1"/>
  <c r="D5" i="48"/>
  <c r="D23" i="48" s="1"/>
  <c r="J12" i="17"/>
  <c r="K54" i="14" s="1"/>
  <c r="K56" i="14" s="1"/>
  <c r="J7" i="48"/>
  <c r="J25" i="48" s="1"/>
  <c r="J13" i="16"/>
  <c r="F13" i="16"/>
  <c r="E13" i="16"/>
  <c r="C77" i="14"/>
  <c r="C9" i="59" s="1"/>
  <c r="G90" i="14"/>
  <c r="C8" i="48"/>
  <c r="M13" i="14"/>
  <c r="M16" i="14" s="1"/>
  <c r="L8" i="48"/>
  <c r="L26" i="48" s="1"/>
  <c r="O8" i="59"/>
  <c r="O10" i="59" s="1"/>
  <c r="O78" i="14"/>
  <c r="O4" i="48"/>
  <c r="O12" i="13"/>
  <c r="P41" i="14" s="1"/>
  <c r="P46" i="14" s="1"/>
  <c r="P61" i="14" s="1"/>
  <c r="P63" i="14" s="1"/>
  <c r="F7" i="15"/>
  <c r="J7" i="15"/>
  <c r="J5" i="15" s="1"/>
  <c r="J16" i="15" s="1"/>
  <c r="E7" i="15"/>
  <c r="N9" i="15"/>
  <c r="F9" i="15"/>
  <c r="F11" i="16"/>
  <c r="J11" i="16"/>
  <c r="E11" i="16"/>
  <c r="E18" i="59"/>
  <c r="E20" i="59" s="1"/>
  <c r="E90" i="14"/>
  <c r="L6" i="17"/>
  <c r="L5" i="17" s="1"/>
  <c r="L8" i="17" s="1"/>
  <c r="L20" i="15"/>
  <c r="M40" i="14" s="1"/>
  <c r="M46" i="14" s="1"/>
  <c r="G78" i="14"/>
  <c r="O20" i="59"/>
  <c r="E10" i="15"/>
  <c r="F10" i="15"/>
  <c r="J10" i="15"/>
  <c r="N10" i="15"/>
  <c r="E7" i="16"/>
  <c r="J7" i="16"/>
  <c r="F15" i="16"/>
  <c r="J15" i="16"/>
  <c r="N15" i="16"/>
  <c r="N5" i="16" s="1"/>
  <c r="N18" i="16" s="1"/>
  <c r="G24" i="14"/>
  <c r="G26" i="14" s="1"/>
  <c r="F12" i="17"/>
  <c r="G54" i="14" s="1"/>
  <c r="G56" i="14" s="1"/>
  <c r="K8" i="59"/>
  <c r="K10" i="59" s="1"/>
  <c r="K78" i="14"/>
  <c r="L18" i="59"/>
  <c r="L90" i="14"/>
  <c r="Q77" i="14"/>
  <c r="P9" i="59" s="1"/>
  <c r="Q89" i="14"/>
  <c r="P19" i="59" s="1"/>
  <c r="I48" i="18"/>
  <c r="H8" i="18" s="1"/>
  <c r="E48" i="18"/>
  <c r="E8" i="18" s="1"/>
  <c r="C48" i="18"/>
  <c r="J8" i="18" s="1"/>
  <c r="G20" i="59"/>
  <c r="E6" i="15"/>
  <c r="F6" i="15"/>
  <c r="J10" i="16"/>
  <c r="E10" i="16"/>
  <c r="I19" i="59"/>
  <c r="B89" i="14"/>
  <c r="B19" i="59" s="1"/>
  <c r="O19" i="18"/>
  <c r="F16" i="16"/>
  <c r="K20" i="59"/>
  <c r="E11" i="15"/>
  <c r="J11" i="15"/>
  <c r="F11" i="15"/>
  <c r="K90" i="14"/>
  <c r="L20" i="59"/>
  <c r="D14" i="48"/>
  <c r="N8" i="48" l="1"/>
  <c r="N26" i="48" s="1"/>
  <c r="N22" i="16"/>
  <c r="O43" i="14" s="1"/>
  <c r="O13" i="14"/>
  <c r="J20" i="15"/>
  <c r="K40" i="14" s="1"/>
  <c r="K10" i="14"/>
  <c r="J5" i="48"/>
  <c r="J23" i="48" s="1"/>
  <c r="J87" i="14"/>
  <c r="J20" i="18"/>
  <c r="E5" i="15"/>
  <c r="E16" i="15" s="1"/>
  <c r="H10" i="18"/>
  <c r="M76" i="14"/>
  <c r="J5" i="16"/>
  <c r="J18" i="16" s="1"/>
  <c r="F5" i="16"/>
  <c r="F18" i="16" s="1"/>
  <c r="D87" i="14"/>
  <c r="C20" i="18"/>
  <c r="E22" i="48"/>
  <c r="J22" i="48"/>
  <c r="M33" i="48"/>
  <c r="D26" i="14"/>
  <c r="D27" i="14" s="1"/>
  <c r="B20" i="6" s="1"/>
  <c r="B22" i="6" s="1"/>
  <c r="E5" i="16"/>
  <c r="E18" i="16" s="1"/>
  <c r="E20" i="18"/>
  <c r="F87" i="14"/>
  <c r="Q4" i="48"/>
  <c r="C15" i="48"/>
  <c r="E16" i="14"/>
  <c r="D32" i="48"/>
  <c r="Q14" i="48"/>
  <c r="J76" i="14"/>
  <c r="J10" i="18"/>
  <c r="N5" i="15"/>
  <c r="N16" i="15" s="1"/>
  <c r="G9" i="48"/>
  <c r="H20" i="14"/>
  <c r="H22" i="14" s="1"/>
  <c r="H27" i="14" s="1"/>
  <c r="G18" i="22"/>
  <c r="H50" i="14" s="1"/>
  <c r="H20" i="18"/>
  <c r="M87" i="14"/>
  <c r="C10" i="14"/>
  <c r="B5" i="48"/>
  <c r="D22" i="48"/>
  <c r="D33" i="48" s="1"/>
  <c r="D15" i="48"/>
  <c r="R11" i="14"/>
  <c r="Q10" i="48"/>
  <c r="F5" i="15"/>
  <c r="F16" i="15" s="1"/>
  <c r="F76" i="14"/>
  <c r="E10" i="18"/>
  <c r="O8" i="18"/>
  <c r="O10" i="18" s="1"/>
  <c r="L7" i="48"/>
  <c r="Q7" i="48" s="1"/>
  <c r="L12" i="17"/>
  <c r="M54" i="14" s="1"/>
  <c r="M56" i="14" s="1"/>
  <c r="M61" i="14" s="1"/>
  <c r="M63" i="14" s="1"/>
  <c r="M24" i="14"/>
  <c r="M26" i="14" s="1"/>
  <c r="O15" i="48"/>
  <c r="O22" i="48"/>
  <c r="O33" i="48" s="1"/>
  <c r="M27" i="14"/>
  <c r="I17" i="18"/>
  <c r="H52" i="14"/>
  <c r="H61" i="14" s="1"/>
  <c r="R19" i="14"/>
  <c r="R22" i="14" s="1"/>
  <c r="R20" i="14"/>
  <c r="E22" i="14"/>
  <c r="E27" i="14" s="1"/>
  <c r="E63" i="14" s="1"/>
  <c r="H63" i="14" l="1"/>
  <c r="M17" i="59"/>
  <c r="M20" i="59" s="1"/>
  <c r="M90" i="14"/>
  <c r="G27" i="48"/>
  <c r="G33" i="48" s="1"/>
  <c r="G15" i="48"/>
  <c r="Q9" i="48"/>
  <c r="D90" i="14"/>
  <c r="D17" i="59"/>
  <c r="D20" i="59" s="1"/>
  <c r="C87" i="14"/>
  <c r="Q87" i="14"/>
  <c r="M78" i="14"/>
  <c r="M8" i="59"/>
  <c r="M10" i="59" s="1"/>
  <c r="I87" i="14"/>
  <c r="I20" i="18"/>
  <c r="N5" i="48"/>
  <c r="N20" i="15"/>
  <c r="O40" i="14" s="1"/>
  <c r="O46" i="14" s="1"/>
  <c r="O61" i="14" s="1"/>
  <c r="O63" i="14" s="1"/>
  <c r="O10" i="14"/>
  <c r="O16" i="14" s="1"/>
  <c r="O27" i="14" s="1"/>
  <c r="F17" i="59"/>
  <c r="F20" i="59" s="1"/>
  <c r="F90" i="14"/>
  <c r="E8" i="48"/>
  <c r="F13" i="14"/>
  <c r="E22" i="16"/>
  <c r="F43" i="14" s="1"/>
  <c r="J90" i="14"/>
  <c r="J17" i="59"/>
  <c r="J20" i="59" s="1"/>
  <c r="F78" i="14"/>
  <c r="F8" i="59"/>
  <c r="F10" i="59" s="1"/>
  <c r="C76" i="14"/>
  <c r="Q76" i="14"/>
  <c r="R24" i="14"/>
  <c r="R26" i="14" s="1"/>
  <c r="O17" i="18"/>
  <c r="O20" i="18" s="1"/>
  <c r="F22" i="16"/>
  <c r="G43" i="14" s="1"/>
  <c r="G13" i="14"/>
  <c r="F8" i="48"/>
  <c r="F26" i="48" s="1"/>
  <c r="F10" i="14"/>
  <c r="F16" i="14" s="1"/>
  <c r="F27" i="14" s="1"/>
  <c r="E20" i="15"/>
  <c r="F40" i="14" s="1"/>
  <c r="E5" i="48"/>
  <c r="Q5" i="48" s="1"/>
  <c r="L15" i="48"/>
  <c r="L25" i="48"/>
  <c r="L33" i="48" s="1"/>
  <c r="G10" i="14"/>
  <c r="G16" i="14" s="1"/>
  <c r="G27" i="14" s="1"/>
  <c r="F5" i="48"/>
  <c r="F20" i="15"/>
  <c r="G40" i="14" s="1"/>
  <c r="G46" i="14" s="1"/>
  <c r="G61" i="14" s="1"/>
  <c r="G63" i="14" s="1"/>
  <c r="C16" i="14"/>
  <c r="C27" i="14" s="1"/>
  <c r="B3" i="6" s="1"/>
  <c r="J78" i="14"/>
  <c r="J8" i="59"/>
  <c r="J10" i="59" s="1"/>
  <c r="B76" i="14"/>
  <c r="B15" i="48"/>
  <c r="C22" i="59"/>
  <c r="C10" i="13"/>
  <c r="C17" i="19"/>
  <c r="C19" i="19" s="1"/>
  <c r="D39" i="14" s="1"/>
  <c r="C10" i="17"/>
  <c r="C12" i="17" s="1"/>
  <c r="D54" i="14" s="1"/>
  <c r="D56" i="14" s="1"/>
  <c r="C18" i="15"/>
  <c r="C20" i="15" s="1"/>
  <c r="D40" i="14" s="1"/>
  <c r="C29" i="20"/>
  <c r="C17" i="49"/>
  <c r="C56" i="22"/>
  <c r="C58" i="22" s="1"/>
  <c r="D49" i="14" s="1"/>
  <c r="D52" i="14" s="1"/>
  <c r="C16" i="22"/>
  <c r="C20" i="16"/>
  <c r="C22" i="16" s="1"/>
  <c r="D43" i="14" s="1"/>
  <c r="J22" i="16"/>
  <c r="K43" i="14" s="1"/>
  <c r="K46" i="14" s="1"/>
  <c r="K61" i="14" s="1"/>
  <c r="K63" i="14" s="1"/>
  <c r="K13" i="14"/>
  <c r="J8" i="48"/>
  <c r="K16" i="14"/>
  <c r="K27" i="14" s="1"/>
  <c r="C12" i="13" l="1"/>
  <c r="D41" i="14" s="1"/>
  <c r="C17" i="48"/>
  <c r="J26" i="48"/>
  <c r="J33" i="48" s="1"/>
  <c r="J15" i="48"/>
  <c r="F23" i="48"/>
  <c r="F33" i="48" s="1"/>
  <c r="F15" i="48"/>
  <c r="R13" i="14"/>
  <c r="I17" i="59"/>
  <c r="I20" i="59" s="1"/>
  <c r="B87" i="14"/>
  <c r="I90" i="14"/>
  <c r="Q90" i="14"/>
  <c r="B17" i="6" s="1"/>
  <c r="P17" i="59"/>
  <c r="P20" i="59" s="1"/>
  <c r="R10" i="14"/>
  <c r="E23" i="48"/>
  <c r="E15" i="48"/>
  <c r="P8" i="59"/>
  <c r="P10" i="59" s="1"/>
  <c r="Q78" i="14"/>
  <c r="B9" i="6" s="1"/>
  <c r="E26" i="48"/>
  <c r="Q8" i="48"/>
  <c r="Q15" i="48" s="1"/>
  <c r="C90" i="14"/>
  <c r="C17" i="59"/>
  <c r="C20" i="59" s="1"/>
  <c r="D46" i="14"/>
  <c r="D61" i="14" s="1"/>
  <c r="D63" i="14" s="1"/>
  <c r="B78" i="14"/>
  <c r="B8" i="59"/>
  <c r="B10" i="59" s="1"/>
  <c r="F46" i="14"/>
  <c r="F61" i="14" s="1"/>
  <c r="F63" i="14" s="1"/>
  <c r="C8" i="59"/>
  <c r="C10" i="59" s="1"/>
  <c r="C78" i="14"/>
  <c r="N15" i="48"/>
  <c r="N23" i="48"/>
  <c r="N33" i="48" s="1"/>
  <c r="E33" i="48" l="1"/>
  <c r="C24" i="48"/>
  <c r="C29" i="48"/>
  <c r="C30" i="48"/>
  <c r="C31" i="48"/>
  <c r="C28" i="48"/>
  <c r="C27" i="48"/>
  <c r="C22" i="48"/>
  <c r="C33" i="48" s="1"/>
  <c r="C32" i="48"/>
  <c r="C23" i="48"/>
  <c r="C25" i="48"/>
  <c r="C26" i="48"/>
  <c r="B4" i="6"/>
  <c r="B12" i="6" s="1"/>
  <c r="R16" i="14"/>
  <c r="R27" i="14" s="1"/>
  <c r="B17" i="59"/>
  <c r="B20" i="59" s="1"/>
  <c r="B90" i="14"/>
  <c r="B18" i="15" l="1"/>
  <c r="B20" i="15" s="1"/>
  <c r="B56" i="22"/>
  <c r="B58" i="22" s="1"/>
  <c r="C49" i="14" s="1"/>
  <c r="R49" i="14" s="1"/>
  <c r="B20" i="16"/>
  <c r="B22" i="16" s="1"/>
  <c r="C43" i="14" s="1"/>
  <c r="R43" i="14" s="1"/>
  <c r="B10" i="13"/>
  <c r="C55" i="14"/>
  <c r="R55" i="14" s="1"/>
  <c r="C12" i="59"/>
  <c r="B17" i="19"/>
  <c r="B19" i="19" s="1"/>
  <c r="C39" i="14" s="1"/>
  <c r="B17" i="49"/>
  <c r="B19" i="49" s="1"/>
  <c r="C42" i="14" s="1"/>
  <c r="R42" i="14" s="1"/>
  <c r="B16" i="22"/>
  <c r="B18" i="22" s="1"/>
  <c r="C50" i="14" s="1"/>
  <c r="R50" i="14" s="1"/>
  <c r="B29" i="20"/>
  <c r="B31" i="20" s="1"/>
  <c r="C48" i="14" s="1"/>
  <c r="B10" i="17"/>
  <c r="B12" i="17" s="1"/>
  <c r="C54" i="14" s="1"/>
  <c r="B10" i="9"/>
  <c r="B12" i="9" s="1"/>
  <c r="B17" i="48" l="1"/>
  <c r="B12" i="13"/>
  <c r="C41" i="14" s="1"/>
  <c r="R41" i="14" s="1"/>
  <c r="C56" i="14"/>
  <c r="R54" i="14"/>
  <c r="R56" i="14" s="1"/>
  <c r="R39" i="14"/>
  <c r="C52" i="14"/>
  <c r="R48" i="14"/>
  <c r="R52" i="14" s="1"/>
  <c r="C40" i="14"/>
  <c r="R40" i="14" s="1"/>
  <c r="R46" i="14" l="1"/>
  <c r="R61" i="14" s="1"/>
  <c r="C46" i="14"/>
  <c r="C61" i="14" s="1"/>
  <c r="C63" i="14" s="1"/>
  <c r="B29" i="48"/>
  <c r="Q29" i="48" s="1"/>
  <c r="B27" i="48"/>
  <c r="Q27" i="48" s="1"/>
  <c r="B32" i="48"/>
  <c r="Q32" i="48" s="1"/>
  <c r="B24" i="48"/>
  <c r="Q24" i="48" s="1"/>
  <c r="B25" i="48"/>
  <c r="Q25" i="48" s="1"/>
  <c r="B31" i="48"/>
  <c r="Q31" i="48" s="1"/>
  <c r="B30" i="48"/>
  <c r="Q30" i="48" s="1"/>
  <c r="B26" i="48"/>
  <c r="Q26" i="48" s="1"/>
  <c r="B28" i="48"/>
  <c r="Q28" i="48" s="1"/>
  <c r="B22" i="48"/>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<sst xmlns="http://schemas.openxmlformats.org/spreadsheetml/2006/main" count="2365" uniqueCount="856">
  <si>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</si>
  <si>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</si>
  <si>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</si>
  <si>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</si>
  <si>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</si>
  <si>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</si>
  <si>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</si>
  <si>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</si>
  <si>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</si>
  <si>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</si>
  <si>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</si>
  <si>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</si>
  <si>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</si>
  <si>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</si>
  <si>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</si>
  <si>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</si>
  <si>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</si>
  <si>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</si>
  <si>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</si>
  <si>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</si>
  <si>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</si>
  <si>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</si>
  <si>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</si>
  <si>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</si>
  <si>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</si>
  <si>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</si>
  <si>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</si>
  <si>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</si>
  <si>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</si>
  <si>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</si>
  <si>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</si>
  <si>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</si>
  <si>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</si>
  <si>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</si>
  <si>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</si>
  <si>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</si>
  <si>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</si>
  <si>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</si>
  <si>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</si>
  <si>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</si>
  <si>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</si>
  <si>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</si>
  <si>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</si>
  <si>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</si>
  <si>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</si>
  <si>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</si>
  <si>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</si>
  <si>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</si>
  <si>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</si>
  <si>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</si>
  <si>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</si>
  <si>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</si>
  <si>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</si>
  <si>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</si>
  <si>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</si>
  <si>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</si>
  <si>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</si>
  <si>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</si>
  <si>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</si>
  <si>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</si>
  <si>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</si>
  <si>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</si>
  <si>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</si>
  <si>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</si>
  <si>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</si>
  <si>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</si>
  <si>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</si>
  <si>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</si>
  <si>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</si>
  <si>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</si>
  <si>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</si>
  <si>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</si>
  <si>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</si>
  <si>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</si>
  <si>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</si>
  <si>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</si>
  <si>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</si>
  <si>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</si>
  <si>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</si>
  <si>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</si>
  <si>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</si>
  <si>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</si>
  <si>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</si>
  <si>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</si>
  <si>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</si>
  <si>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</si>
  <si>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</si>
  <si>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</si>
  <si>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</si>
  <si>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</si>
  <si>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</si>
  <si>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</si>
  <si>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</si>
  <si>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</si>
  <si>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</si>
  <si>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</si>
  <si>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</si>
  <si>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</si>
  <si>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</si>
  <si>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</si>
  <si>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</si>
  <si>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</si>
  <si>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</si>
  <si>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</si>
  <si>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</si>
  <si>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</si>
  <si>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</si>
  <si>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</si>
  <si>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</si>
  <si>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</si>
  <si>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</si>
  <si>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</si>
  <si>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</si>
  <si>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</si>
  <si>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</si>
  <si>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</si>
  <si>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</si>
  <si>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</si>
  <si>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</si>
  <si>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</si>
  <si>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</si>
  <si>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</si>
  <si>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</si>
  <si>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</si>
  <si>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</si>
  <si>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</si>
  <si>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</si>
  <si>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</si>
  <si>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</si>
  <si>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</si>
  <si>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</si>
  <si>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</si>
  <si>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</si>
  <si>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</si>
  <si>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</si>
  <si>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</si>
  <si>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</si>
  <si>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</si>
  <si>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</si>
  <si>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</si>
  <si>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</si>
  <si>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</si>
  <si>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</si>
  <si>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</si>
  <si>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</si>
  <si>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</si>
  <si>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</si>
  <si>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</si>
  <si>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</si>
  <si>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</si>
  <si>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</si>
  <si>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</si>
  <si>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</si>
  <si>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</si>
  <si>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</si>
  <si>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</si>
  <si>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</si>
  <si>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</si>
  <si>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</si>
  <si>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</si>
  <si>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</si>
  <si>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</si>
  <si>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</si>
  <si>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</si>
  <si>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</si>
  <si>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</si>
  <si>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</si>
  <si>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</si>
  <si>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</si>
  <si>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</si>
  <si>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</si>
  <si>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</si>
  <si>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</si>
  <si>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</si>
  <si>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</si>
  <si>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</si>
  <si>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</si>
  <si>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</si>
  <si>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</si>
  <si>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</si>
  <si>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</si>
  <si>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</si>
  <si>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</si>
  <si>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</si>
  <si>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</si>
  <si>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</si>
  <si>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</si>
  <si>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</si>
  <si>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</si>
  <si>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</si>
  <si>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</si>
  <si>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</si>
  <si>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</si>
  <si>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</si>
  <si>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</si>
  <si>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</si>
  <si>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</si>
  <si>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</si>
  <si>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</si>
  <si>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</si>
  <si>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</si>
  <si>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</si>
  <si>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</si>
  <si>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</si>
  <si>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</si>
  <si>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</si>
  <si>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</si>
  <si>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</si>
  <si>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</si>
  <si>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</si>
  <si>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</si>
  <si>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</si>
  <si>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</si>
  <si>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</si>
  <si>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</si>
  <si>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</si>
  <si>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</si>
  <si>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</si>
  <si>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</si>
  <si>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</si>
  <si>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</si>
  <si>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</si>
  <si>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</si>
  <si>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</si>
  <si>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</si>
  <si>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</si>
  <si>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</si>
  <si>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</si>
  <si>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</si>
  <si>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</si>
  <si>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</si>
  <si>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</si>
  <si>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</si>
  <si>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</si>
  <si>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</si>
  <si>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</si>
  <si>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</si>
  <si>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</si>
  <si>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</si>
  <si>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</si>
  <si>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</si>
  <si>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</si>
  <si>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</si>
  <si>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</si>
  <si>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</si>
  <si>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</si>
  <si>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</si>
  <si>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</si>
  <si>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</si>
  <si>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</si>
  <si>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</si>
  <si>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</si>
  <si>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</si>
  <si>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</si>
  <si>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</si>
  <si>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</si>
  <si>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</si>
  <si>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</si>
  <si>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</si>
  <si>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</si>
  <si>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</si>
  <si>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</si>
  <si>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</si>
  <si>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</si>
  <si>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</si>
  <si>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</si>
  <si>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</si>
  <si>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</si>
  <si>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</si>
  <si>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</si>
  <si>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</si>
  <si>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</si>
  <si>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</si>
  <si>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</si>
  <si>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</si>
  <si>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</si>
  <si>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</si>
  <si>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</si>
  <si>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</si>
  <si>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</si>
  <si>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</si>
  <si>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</si>
  <si>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</si>
  <si>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</si>
  <si>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</si>
  <si>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</si>
  <si>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</si>
  <si>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</si>
  <si>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</si>
  <si>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</si>
  <si>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</si>
  <si>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</si>
  <si>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</si>
  <si>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</si>
  <si>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</si>
  <si>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</si>
  <si>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</si>
  <si>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</si>
  <si>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</si>
  <si>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</si>
  <si>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</si>
  <si>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</si>
  <si>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</si>
  <si>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</si>
  <si>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</si>
  <si>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</si>
  <si>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</si>
  <si>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</si>
  <si>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</si>
  <si>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</si>
  <si>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</si>
  <si>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</si>
  <si>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</si>
  <si>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</si>
  <si>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</si>
  <si>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</si>
  <si>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</si>
  <si>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</si>
  <si>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</si>
  <si>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</si>
  <si>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</si>
  <si>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</si>
  <si>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</si>
  <si>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</si>
  <si>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</si>
  <si>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</si>
  <si>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</si>
  <si>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</si>
  <si>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</si>
  <si>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</si>
  <si>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</si>
  <si>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</si>
  <si>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</si>
  <si>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</si>
  <si>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</si>
  <si>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</si>
  <si>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</si>
  <si>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</si>
  <si>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</si>
  <si>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</si>
  <si>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</si>
  <si>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</si>
  <si>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</si>
  <si>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</si>
  <si>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</si>
  <si>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</si>
  <si>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</si>
  <si>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</si>
  <si>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</si>
  <si>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</si>
  <si>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</si>
  <si>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</si>
  <si>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</si>
  <si>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</si>
  <si>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</si>
  <si>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</si>
  <si>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</si>
  <si>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</si>
  <si>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</si>
  <si>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</si>
  <si>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</si>
  <si>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</si>
  <si>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</si>
  <si>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</si>
  <si>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</si>
  <si>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</si>
  <si>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</si>
  <si>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</si>
  <si>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</si>
  <si>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</si>
  <si>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</si>
  <si>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</si>
  <si>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</si>
  <si>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</si>
  <si>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</si>
  <si>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</si>
  <si>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</si>
  <si>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</si>
  <si>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</si>
  <si>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</si>
  <si>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</si>
  <si>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</si>
  <si>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</si>
  <si>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</si>
  <si>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</si>
  <si>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</si>
  <si>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</si>
  <si>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</si>
  <si>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</si>
  <si>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</si>
  <si>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</si>
  <si>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</si>
  <si>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</si>
  <si>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</si>
  <si>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</si>
  <si>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</si>
  <si>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</si>
  <si>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</si>
  <si>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</si>
  <si>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</si>
  <si>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</si>
  <si>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</si>
  <si>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</si>
  <si>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</si>
  <si>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</si>
  <si>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</si>
  <si>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</si>
  <si>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</si>
  <si>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</si>
  <si>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</si>
  <si>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</si>
  <si>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</si>
  <si>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</si>
  <si>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</si>
  <si>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</si>
  <si>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</si>
  <si>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</si>
  <si>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</si>
  <si>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</si>
  <si>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</si>
  <si>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</si>
  <si>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</si>
  <si>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</si>
  <si>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</si>
  <si>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</si>
  <si>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</si>
  <si>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</si>
  <si>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</si>
  <si>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</si>
  <si>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</si>
  <si>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</si>
  <si>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</si>
  <si>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</si>
  <si>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</si>
  <si>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</si>
  <si>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</si>
  <si>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</si>
  <si>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</si>
  <si>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</si>
  <si>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</si>
  <si>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</si>
  <si>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</si>
  <si>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</si>
  <si>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</si>
  <si>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</si>
  <si>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</si>
  <si>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</si>
  <si>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</si>
  <si>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</si>
  <si>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</si>
  <si>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</si>
  <si>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</si>
  <si>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</si>
  <si>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</si>
  <si>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</si>
  <si>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</si>
  <si>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</si>
  <si>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</si>
  <si>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</si>
  <si>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</si>
  <si>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</si>
  <si>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</si>
  <si>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</si>
  <si>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</si>
  <si>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</si>
  <si>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</si>
  <si>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</si>
  <si>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</si>
  <si>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</si>
  <si>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</si>
  <si>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</si>
  <si>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</si>
  <si>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</si>
  <si>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</si>
  <si>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</si>
  <si>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</si>
  <si>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</si>
  <si>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</si>
  <si>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</si>
  <si>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</si>
  <si>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</si>
  <si>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</si>
  <si>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</si>
  <si>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</si>
  <si>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</si>
  <si>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</si>
  <si>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</si>
  <si>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</si>
  <si>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</si>
  <si>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</si>
  <si>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</si>
  <si>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</si>
  <si>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</si>
  <si>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</si>
  <si>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</si>
  <si>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</si>
  <si>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</si>
  <si>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</si>
  <si>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</si>
  <si>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</si>
  <si>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</si>
  <si>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</si>
  <si>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</si>
  <si>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</si>
  <si>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</si>
  <si>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</si>
  <si>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</si>
  <si>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</si>
  <si>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</si>
  <si>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</si>
  <si>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</si>
  <si>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</si>
  <si>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</si>
  <si>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</si>
  <si>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</si>
  <si>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</si>
  <si>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</si>
  <si>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</si>
  <si>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</si>
  <si>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</si>
  <si>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</si>
  <si>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</si>
  <si>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</si>
  <si>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</si>
  <si>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</si>
  <si>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</si>
  <si>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</si>
  <si>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</si>
  <si>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</si>
  <si>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</si>
  <si>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</si>
  <si>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</si>
  <si>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</si>
  <si>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</si>
  <si>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</si>
  <si>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</si>
  <si>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</si>
  <si>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</si>
  <si>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</si>
  <si>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</si>
  <si>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</si>
  <si>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</si>
  <si>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</si>
  <si>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</si>
  <si>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</si>
  <si>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</si>
  <si>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</si>
  <si>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</si>
  <si>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</si>
  <si>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</si>
  <si>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</si>
  <si>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</si>
  <si>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</si>
  <si>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</si>
  <si>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</si>
  <si>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</si>
  <si>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</si>
  <si>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</si>
  <si>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</si>
  <si>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</si>
  <si>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</si>
  <si>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</si>
  <si>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</si>
  <si>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</si>
  <si>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</si>
  <si>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</si>
  <si>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</si>
  <si>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</si>
  <si>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</si>
  <si>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</si>
  <si>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</si>
  <si>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</si>
  <si>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</si>
  <si>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</si>
  <si>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</si>
  <si>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</si>
  <si>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</si>
  <si>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</si>
  <si>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</si>
  <si>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</si>
  <si>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</si>
  <si>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</si>
  <si>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</si>
  <si>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</si>
  <si>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</si>
  <si>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</si>
  <si>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</si>
  <si>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</si>
  <si>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</si>
  <si>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</si>
  <si>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</si>
  <si>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</si>
  <si>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</si>
  <si>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</si>
  <si>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</si>
  <si>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</si>
  <si>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</si>
  <si>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</si>
  <si>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</si>
  <si>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</si>
  <si>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</si>
  <si>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</si>
  <si>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</si>
  <si>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</si>
  <si>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</si>
  <si>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</si>
  <si>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</si>
  <si>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</si>
  <si>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</si>
  <si>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</si>
  <si>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</si>
  <si>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</si>
  <si>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</si>
  <si>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</si>
  <si>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</si>
  <si>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</si>
  <si>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</si>
  <si>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</si>
  <si>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</si>
  <si>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</si>
  <si>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</si>
  <si>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</si>
  <si>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</si>
  <si>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</si>
  <si>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</si>
  <si>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</si>
  <si>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</si>
  <si>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</si>
  <si>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</si>
  <si>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</si>
  <si>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</si>
  <si>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</si>
  <si>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</si>
  <si>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</si>
  <si>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</si>
  <si>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</si>
  <si>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</si>
  <si>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</si>
  <si>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</si>
  <si>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</si>
  <si>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</si>
  <si>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</si>
  <si>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</si>
  <si>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</si>
  <si>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</si>
  <si>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</si>
  <si>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</si>
  <si>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</si>
  <si>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</si>
  <si>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</si>
  <si>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</si>
  <si>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</si>
  <si>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</si>
  <si>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</si>
  <si>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</si>
  <si>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</si>
  <si>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</si>
  <si>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</si>
  <si>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</si>
  <si>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</si>
  <si>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</si>
  <si>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</si>
  <si>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</si>
  <si>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</si>
  <si>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</si>
  <si>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</si>
  <si>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</si>
  <si>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</si>
  <si>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</si>
  <si>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</si>
  <si>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</si>
  <si>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</si>
  <si>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</si>
  <si>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</si>
  <si>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</si>
  <si>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</si>
  <si>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</si>
  <si>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</si>
  <si>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</si>
  <si>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</si>
  <si>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</si>
  <si>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</si>
  <si>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</si>
  <si>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</si>
  <si>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</si>
  <si>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</si>
  <si>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</si>
  <si>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</si>
  <si>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</si>
  <si>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</si>
  <si>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</si>
  <si>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</si>
  <si>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</si>
  <si>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</si>
  <si>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</si>
  <si>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</si>
  <si>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</si>
  <si>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</si>
  <si>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</si>
  <si>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</si>
  <si>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</si>
  <si>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</si>
  <si>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</si>
  <si>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</si>
  <si>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</si>
  <si>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</si>
  <si>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</si>
  <si>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</si>
  <si>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</si>
  <si>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</si>
  <si>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</si>
  <si>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</si>
  <si>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</si>
  <si>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</si>
  <si>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</si>
  <si>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</si>
  <si>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</si>
  <si>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</si>
  <si>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</si>
  <si>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</si>
  <si>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</si>
  <si>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</si>
  <si>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</si>
  <si>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</si>
  <si>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</si>
  <si>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</si>
  <si>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</si>
  <si>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</si>
  <si>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</si>
  <si>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</si>
  <si>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</si>
  <si>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</si>
  <si>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</si>
  <si>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</si>
  <si>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</si>
  <si>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</si>
  <si>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</si>
  <si>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</si>
  <si>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</si>
  <si>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</si>
  <si>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</si>
  <si>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</si>
  <si>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</si>
  <si>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</si>
  <si>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</si>
  <si>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</si>
  <si>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</si>
  <si>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</si>
  <si>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</si>
  <si>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</si>
  <si>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</si>
  <si>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</si>
  <si>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</si>
  <si>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</si>
  <si>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</si>
  <si>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</si>
  <si>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</si>
  <si>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</si>
  <si>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</si>
  <si>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</si>
  <si>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</si>
  <si>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</si>
  <si>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</si>
  <si>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</si>
  <si>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</si>
  <si>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</si>
  <si>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</si>
  <si>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</si>
  <si>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</si>
  <si>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</si>
  <si>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</si>
  <si>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</si>
  <si>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</si>
  <si>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</si>
  <si>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</si>
  <si>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</si>
  <si>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</si>
  <si>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</si>
  <si>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</si>
  <si>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</si>
  <si>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</si>
  <si>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</si>
  <si>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</si>
  <si>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</si>
  <si>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</si>
  <si>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</si>
  <si>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</si>
  <si>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</si>
  <si>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</si>
  <si>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</si>
  <si>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</si>
  <si>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</si>
  <si>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</si>
  <si>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</si>
  <si>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</si>
  <si>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</si>
  <si>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</si>
  <si>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</si>
  <si>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</si>
  <si>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</si>
  <si>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</si>
  <si>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</si>
  <si>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</si>
  <si>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</si>
  <si>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</si>
  <si>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</si>
  <si>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</si>
  <si>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</si>
  <si>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</si>
  <si>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</si>
  <si>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</si>
  <si>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</si>
  <si>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</si>
  <si>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</si>
  <si>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</si>
  <si>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</si>
  <si>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</si>
  <si>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</si>
  <si>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</si>
  <si>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</si>
  <si>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</si>
  <si>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</si>
  <si>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</si>
  <si>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</si>
  <si>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</si>
  <si>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</si>
  <si>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</si>
  <si>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</si>
  <si>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</si>
  <si>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</si>
  <si>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</si>
  <si>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</si>
  <si>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</si>
  <si>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</si>
  <si>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</si>
  <si>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</si>
  <si>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</si>
  <si>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</si>
  <si>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</si>
  <si>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</si>
  <si>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</si>
  <si>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</si>
  <si>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</si>
  <si>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</si>
  <si>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</si>
  <si>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</si>
  <si>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</si>
  <si>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</si>
  <si>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</si>
  <si>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</si>
  <si>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</si>
  <si>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</si>
  <si>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34040</t>
  </si>
  <si>
    <t>WAREGEM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</si>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</sst>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F21522E-5BF8-4A27-B6CF-2375E7ABBD3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301943.01131118322</c:v>
                </c:pt>
                <c:pt idx="1">
                  <c:v>204259.3027620473</c:v>
                </c:pt>
                <c:pt idx="2">
                  <c:v>2732.7669999999998</c:v>
                </c:pt>
                <c:pt idx="3">
                  <c:v>9601.4577799203853</c:v>
                </c:pt>
                <c:pt idx="4">
                  <c:v>541470.76503991196</c:v>
                </c:pt>
                <c:pt idx="5">
                  <c:v>374922.75901394209</c:v>
                </c:pt>
                <c:pt idx="6">
                  <c:v>1905.1497475348046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301943.01131118322</c:v>
                </c:pt>
                <c:pt idx="1">
                  <c:v>204259.3027620473</c:v>
                </c:pt>
                <c:pt idx="2">
                  <c:v>2732.7669999999998</c:v>
                </c:pt>
                <c:pt idx="3">
                  <c:v>9601.4577799203853</c:v>
                </c:pt>
                <c:pt idx="4">
                  <c:v>541470.76503991196</c:v>
                </c:pt>
                <c:pt idx="5">
                  <c:v>374922.75901394209</c:v>
                </c:pt>
                <c:pt idx="6">
                  <c:v>1905.1497475348046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60938.501370305326</c:v>
                </c:pt>
                <c:pt idx="1">
                  <c:v>40726.679748569142</c:v>
                </c:pt>
                <c:pt idx="2">
                  <c:v>532.38163078715957</c:v>
                </c:pt>
                <c:pt idx="3">
                  <c:v>2369.5653688389771</c:v>
                </c:pt>
                <c:pt idx="4">
                  <c:v>99265.9452918483</c:v>
                </c:pt>
                <c:pt idx="5">
                  <c:v>93283.4443281024</c:v>
                </c:pt>
                <c:pt idx="6">
                  <c:v>479.41839767568126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60938.501370305326</c:v>
                </c:pt>
                <c:pt idx="1">
                  <c:v>40726.679748569142</c:v>
                </c:pt>
                <c:pt idx="2">
                  <c:v>532.38163078715957</c:v>
                </c:pt>
                <c:pt idx="3">
                  <c:v>2369.5653688389771</c:v>
                </c:pt>
                <c:pt idx="4">
                  <c:v>99265.9452918483</c:v>
                </c:pt>
                <c:pt idx="5">
                  <c:v>93283.4443281024</c:v>
                </c:pt>
                <c:pt idx="6">
                  <c:v>479.41839767568126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34040</v>
      </c>
      <c r="B6" s="382"/>
      <c r="C6" s="383"/>
    </row>
    <row r="7" spans="1:7" s="380" customFormat="1" ht="15.75" customHeight="1">
      <c r="A7" s="384" t="str">
        <f>txtMunicipality</f>
        <v>WAREGEM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0.19481413189897256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0.19481413189897256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16495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1589.07</v>
      </c>
      <c r="C14" s="324"/>
      <c r="D14" s="324"/>
      <c r="E14" s="324"/>
      <c r="F14" s="324"/>
    </row>
    <row r="15" spans="1:6">
      <c r="A15" s="1265" t="s">
        <v>177</v>
      </c>
      <c r="B15" s="1266">
        <v>22</v>
      </c>
      <c r="C15" s="324"/>
      <c r="D15" s="324"/>
      <c r="E15" s="324"/>
      <c r="F15" s="324"/>
    </row>
    <row r="16" spans="1:6">
      <c r="A16" s="1265" t="s">
        <v>6</v>
      </c>
      <c r="B16" s="1266">
        <v>714</v>
      </c>
      <c r="C16" s="324"/>
      <c r="D16" s="324"/>
      <c r="E16" s="324"/>
      <c r="F16" s="324"/>
    </row>
    <row r="17" spans="1:6">
      <c r="A17" s="1265" t="s">
        <v>7</v>
      </c>
      <c r="B17" s="1266">
        <v>468</v>
      </c>
      <c r="C17" s="324"/>
      <c r="D17" s="324"/>
      <c r="E17" s="324"/>
      <c r="F17" s="324"/>
    </row>
    <row r="18" spans="1:6">
      <c r="A18" s="1265" t="s">
        <v>8</v>
      </c>
      <c r="B18" s="1266">
        <v>741</v>
      </c>
      <c r="C18" s="324"/>
      <c r="D18" s="324"/>
      <c r="E18" s="324"/>
      <c r="F18" s="324"/>
    </row>
    <row r="19" spans="1:6">
      <c r="A19" s="1265" t="s">
        <v>9</v>
      </c>
      <c r="B19" s="1266">
        <v>761</v>
      </c>
      <c r="C19" s="324"/>
      <c r="D19" s="324"/>
      <c r="E19" s="324"/>
      <c r="F19" s="324"/>
    </row>
    <row r="20" spans="1:6">
      <c r="A20" s="1265" t="s">
        <v>10</v>
      </c>
      <c r="B20" s="1266">
        <v>532</v>
      </c>
      <c r="C20" s="324"/>
      <c r="D20" s="324"/>
      <c r="E20" s="324"/>
      <c r="F20" s="324"/>
    </row>
    <row r="21" spans="1:6">
      <c r="A21" s="1265" t="s">
        <v>11</v>
      </c>
      <c r="B21" s="1266">
        <v>425</v>
      </c>
      <c r="C21" s="324"/>
      <c r="D21" s="324"/>
      <c r="E21" s="324"/>
      <c r="F21" s="324"/>
    </row>
    <row r="22" spans="1:6">
      <c r="A22" s="1265" t="s">
        <v>12</v>
      </c>
      <c r="B22" s="1266">
        <v>4534</v>
      </c>
      <c r="C22" s="324"/>
      <c r="D22" s="324"/>
      <c r="E22" s="324"/>
      <c r="F22" s="324"/>
    </row>
    <row r="23" spans="1:6">
      <c r="A23" s="1265" t="s">
        <v>13</v>
      </c>
      <c r="B23" s="1266">
        <v>35</v>
      </c>
      <c r="C23" s="324"/>
      <c r="D23" s="324"/>
      <c r="E23" s="324"/>
      <c r="F23" s="324"/>
    </row>
    <row r="24" spans="1:6">
      <c r="A24" s="1265" t="s">
        <v>14</v>
      </c>
      <c r="B24" s="1266">
        <v>4</v>
      </c>
      <c r="C24" s="324"/>
      <c r="D24" s="324"/>
      <c r="E24" s="324"/>
      <c r="F24" s="324"/>
    </row>
    <row r="25" spans="1:6">
      <c r="A25" s="1265" t="s">
        <v>15</v>
      </c>
      <c r="B25" s="1266">
        <v>105</v>
      </c>
      <c r="C25" s="324"/>
      <c r="D25" s="324"/>
      <c r="E25" s="324"/>
      <c r="F25" s="324"/>
    </row>
    <row r="26" spans="1:6">
      <c r="A26" s="1265" t="s">
        <v>16</v>
      </c>
      <c r="B26" s="1266">
        <v>257</v>
      </c>
      <c r="C26" s="324"/>
      <c r="D26" s="324"/>
      <c r="E26" s="324"/>
      <c r="F26" s="324"/>
    </row>
    <row r="27" spans="1:6">
      <c r="A27" s="1265" t="s">
        <v>17</v>
      </c>
      <c r="B27" s="1266">
        <v>14</v>
      </c>
      <c r="C27" s="324"/>
      <c r="D27" s="324"/>
      <c r="E27" s="324"/>
      <c r="F27" s="324"/>
    </row>
    <row r="28" spans="1:6">
      <c r="A28" s="1265" t="s">
        <v>18</v>
      </c>
      <c r="B28" s="1267">
        <v>24768</v>
      </c>
      <c r="C28" s="324"/>
      <c r="D28" s="324"/>
      <c r="E28" s="324"/>
      <c r="F28" s="324"/>
    </row>
    <row r="29" spans="1:6">
      <c r="A29" s="1265" t="s">
        <v>653</v>
      </c>
      <c r="B29" s="1267">
        <v>108</v>
      </c>
      <c r="C29" s="324"/>
      <c r="D29" s="324"/>
      <c r="E29" s="324"/>
      <c r="F29" s="324"/>
    </row>
    <row r="30" spans="1:6">
      <c r="A30" s="1260" t="s">
        <v>654</v>
      </c>
      <c r="B30" s="1268">
        <v>61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5</v>
      </c>
      <c r="D36" s="1266">
        <v>1048751.1187855101</v>
      </c>
      <c r="E36" s="1266">
        <v>17</v>
      </c>
      <c r="F36" s="1266">
        <v>103082.612941778</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8617.0879669759997</v>
      </c>
    </row>
    <row r="39" spans="1:6">
      <c r="A39" s="1265" t="s">
        <v>29</v>
      </c>
      <c r="B39" s="1265" t="s">
        <v>30</v>
      </c>
      <c r="C39" s="1266">
        <v>10722</v>
      </c>
      <c r="D39" s="1266">
        <v>144502658.88307399</v>
      </c>
      <c r="E39" s="1266">
        <v>16015</v>
      </c>
      <c r="F39" s="1266">
        <v>53747530.033801101</v>
      </c>
    </row>
    <row r="40" spans="1:6">
      <c r="A40" s="1265" t="s">
        <v>29</v>
      </c>
      <c r="B40" s="1265" t="s">
        <v>28</v>
      </c>
      <c r="C40" s="1266">
        <v>0</v>
      </c>
      <c r="D40" s="1266">
        <v>0</v>
      </c>
      <c r="E40" s="1266">
        <v>0</v>
      </c>
      <c r="F40" s="1266">
        <v>0</v>
      </c>
    </row>
    <row r="41" spans="1:6">
      <c r="A41" s="1265" t="s">
        <v>31</v>
      </c>
      <c r="B41" s="1265" t="s">
        <v>32</v>
      </c>
      <c r="C41" s="1266">
        <v>289</v>
      </c>
      <c r="D41" s="1266">
        <v>14728137.1216435</v>
      </c>
      <c r="E41" s="1266">
        <v>652</v>
      </c>
      <c r="F41" s="1266">
        <v>33019175.842829</v>
      </c>
    </row>
    <row r="42" spans="1:6">
      <c r="A42" s="1265" t="s">
        <v>31</v>
      </c>
      <c r="B42" s="1265" t="s">
        <v>33</v>
      </c>
      <c r="C42" s="1266">
        <v>6</v>
      </c>
      <c r="D42" s="1266">
        <v>2028430.4588067899</v>
      </c>
      <c r="E42" s="1266">
        <v>5</v>
      </c>
      <c r="F42" s="1266">
        <v>2320522.7030433202</v>
      </c>
    </row>
    <row r="43" spans="1:6">
      <c r="A43" s="1265" t="s">
        <v>31</v>
      </c>
      <c r="B43" s="1265" t="s">
        <v>34</v>
      </c>
      <c r="C43" s="1266">
        <v>0</v>
      </c>
      <c r="D43" s="1266">
        <v>0</v>
      </c>
      <c r="E43" s="1266">
        <v>0</v>
      </c>
      <c r="F43" s="1266">
        <v>0</v>
      </c>
    </row>
    <row r="44" spans="1:6">
      <c r="A44" s="1265" t="s">
        <v>31</v>
      </c>
      <c r="B44" s="1265" t="s">
        <v>35</v>
      </c>
      <c r="C44" s="1266">
        <v>52</v>
      </c>
      <c r="D44" s="1266">
        <v>19619568.800492998</v>
      </c>
      <c r="E44" s="1266">
        <v>109</v>
      </c>
      <c r="F44" s="1266">
        <v>13892952.462776201</v>
      </c>
    </row>
    <row r="45" spans="1:6">
      <c r="A45" s="1265" t="s">
        <v>31</v>
      </c>
      <c r="B45" s="1265" t="s">
        <v>36</v>
      </c>
      <c r="C45" s="1266">
        <v>9</v>
      </c>
      <c r="D45" s="1266">
        <v>61034079.739153102</v>
      </c>
      <c r="E45" s="1266">
        <v>21</v>
      </c>
      <c r="F45" s="1266">
        <v>98368333.5591539</v>
      </c>
    </row>
    <row r="46" spans="1:6">
      <c r="A46" s="1265" t="s">
        <v>31</v>
      </c>
      <c r="B46" s="1265" t="s">
        <v>37</v>
      </c>
      <c r="C46" s="1266">
        <v>0</v>
      </c>
      <c r="D46" s="1266">
        <v>0</v>
      </c>
      <c r="E46" s="1266">
        <v>0</v>
      </c>
      <c r="F46" s="1266">
        <v>0</v>
      </c>
    </row>
    <row r="47" spans="1:6">
      <c r="A47" s="1265" t="s">
        <v>31</v>
      </c>
      <c r="B47" s="1265" t="s">
        <v>38</v>
      </c>
      <c r="C47" s="1266">
        <v>7</v>
      </c>
      <c r="D47" s="1266">
        <v>456689.00022876501</v>
      </c>
      <c r="E47" s="1266">
        <v>18</v>
      </c>
      <c r="F47" s="1266">
        <v>1732347.76329761</v>
      </c>
    </row>
    <row r="48" spans="1:6">
      <c r="A48" s="1265" t="s">
        <v>31</v>
      </c>
      <c r="B48" s="1265" t="s">
        <v>28</v>
      </c>
      <c r="C48" s="1266">
        <v>0</v>
      </c>
      <c r="D48" s="1266">
        <v>0</v>
      </c>
      <c r="E48" s="1266">
        <v>0</v>
      </c>
      <c r="F48" s="1266">
        <v>0</v>
      </c>
    </row>
    <row r="49" spans="1:6">
      <c r="A49" s="1265" t="s">
        <v>31</v>
      </c>
      <c r="B49" s="1265" t="s">
        <v>39</v>
      </c>
      <c r="C49" s="1266">
        <v>24</v>
      </c>
      <c r="D49" s="1266">
        <v>20023071.648345601</v>
      </c>
      <c r="E49" s="1266">
        <v>77</v>
      </c>
      <c r="F49" s="1266">
        <v>59320711.607227303</v>
      </c>
    </row>
    <row r="50" spans="1:6">
      <c r="A50" s="1265" t="s">
        <v>31</v>
      </c>
      <c r="B50" s="1265" t="s">
        <v>40</v>
      </c>
      <c r="C50" s="1266">
        <v>25</v>
      </c>
      <c r="D50" s="1266">
        <v>96099854.054248303</v>
      </c>
      <c r="E50" s="1266">
        <v>39</v>
      </c>
      <c r="F50" s="1266">
        <v>37422893.389789604</v>
      </c>
    </row>
    <row r="51" spans="1:6">
      <c r="A51" s="1265" t="s">
        <v>41</v>
      </c>
      <c r="B51" s="1265" t="s">
        <v>42</v>
      </c>
      <c r="C51" s="1266">
        <v>25</v>
      </c>
      <c r="D51" s="1266">
        <v>1819480.84509656</v>
      </c>
      <c r="E51" s="1266">
        <v>83</v>
      </c>
      <c r="F51" s="1266">
        <v>1694116.8025617099</v>
      </c>
    </row>
    <row r="52" spans="1:6">
      <c r="A52" s="1265" t="s">
        <v>41</v>
      </c>
      <c r="B52" s="1265" t="s">
        <v>28</v>
      </c>
      <c r="C52" s="1266">
        <v>0</v>
      </c>
      <c r="D52" s="1266">
        <v>0</v>
      </c>
      <c r="E52" s="1266">
        <v>0</v>
      </c>
      <c r="F52" s="1266">
        <v>0</v>
      </c>
    </row>
    <row r="53" spans="1:6">
      <c r="A53" s="1265" t="s">
        <v>43</v>
      </c>
      <c r="B53" s="1265" t="s">
        <v>44</v>
      </c>
      <c r="C53" s="1266">
        <v>226</v>
      </c>
      <c r="D53" s="1266">
        <v>4989828.2745867101</v>
      </c>
      <c r="E53" s="1266">
        <v>528</v>
      </c>
      <c r="F53" s="1266">
        <v>2648550.6870514601</v>
      </c>
    </row>
    <row r="54" spans="1:6">
      <c r="A54" s="1265" t="s">
        <v>45</v>
      </c>
      <c r="B54" s="1265" t="s">
        <v>46</v>
      </c>
      <c r="C54" s="1266">
        <v>0</v>
      </c>
      <c r="D54" s="1266">
        <v>0</v>
      </c>
      <c r="E54" s="1266">
        <v>1</v>
      </c>
      <c r="F54" s="1266">
        <v>2732767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166</v>
      </c>
      <c r="D57" s="1266">
        <v>10110620.8267054</v>
      </c>
      <c r="E57" s="1266">
        <v>266</v>
      </c>
      <c r="F57" s="1266">
        <v>8033397.4658463504</v>
      </c>
    </row>
    <row r="58" spans="1:6">
      <c r="A58" s="1265" t="s">
        <v>48</v>
      </c>
      <c r="B58" s="1265" t="s">
        <v>50</v>
      </c>
      <c r="C58" s="1266">
        <v>109</v>
      </c>
      <c r="D58" s="1266">
        <v>11505286.4300352</v>
      </c>
      <c r="E58" s="1266">
        <v>158</v>
      </c>
      <c r="F58" s="1266">
        <v>7376525.1298686201</v>
      </c>
    </row>
    <row r="59" spans="1:6">
      <c r="A59" s="1265" t="s">
        <v>48</v>
      </c>
      <c r="B59" s="1265" t="s">
        <v>51</v>
      </c>
      <c r="C59" s="1266">
        <v>404</v>
      </c>
      <c r="D59" s="1266">
        <v>22300197.224238802</v>
      </c>
      <c r="E59" s="1266">
        <v>801</v>
      </c>
      <c r="F59" s="1266">
        <v>36247468.213987596</v>
      </c>
    </row>
    <row r="60" spans="1:6">
      <c r="A60" s="1265" t="s">
        <v>48</v>
      </c>
      <c r="B60" s="1265" t="s">
        <v>52</v>
      </c>
      <c r="C60" s="1266">
        <v>155</v>
      </c>
      <c r="D60" s="1266">
        <v>7898836.28867561</v>
      </c>
      <c r="E60" s="1266">
        <v>196</v>
      </c>
      <c r="F60" s="1266">
        <v>5663314.4067605697</v>
      </c>
    </row>
    <row r="61" spans="1:6">
      <c r="A61" s="1265" t="s">
        <v>48</v>
      </c>
      <c r="B61" s="1265" t="s">
        <v>53</v>
      </c>
      <c r="C61" s="1266">
        <v>538</v>
      </c>
      <c r="D61" s="1266">
        <v>62901187.156799302</v>
      </c>
      <c r="E61" s="1266">
        <v>1321</v>
      </c>
      <c r="F61" s="1266">
        <v>17974097.659694299</v>
      </c>
    </row>
    <row r="62" spans="1:6">
      <c r="A62" s="1265" t="s">
        <v>48</v>
      </c>
      <c r="B62" s="1265" t="s">
        <v>54</v>
      </c>
      <c r="C62" s="1266">
        <v>30</v>
      </c>
      <c r="D62" s="1266">
        <v>4662968.8179182503</v>
      </c>
      <c r="E62" s="1266">
        <v>51</v>
      </c>
      <c r="F62" s="1266">
        <v>2398144.0780924498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91647.516457412406</v>
      </c>
      <c r="E65" s="1266">
        <v>1</v>
      </c>
      <c r="F65" s="1266">
        <v>3154.4031983082</v>
      </c>
    </row>
    <row r="66" spans="1:6">
      <c r="A66" s="1265" t="s">
        <v>55</v>
      </c>
      <c r="B66" s="1265" t="s">
        <v>57</v>
      </c>
      <c r="C66" s="1266">
        <v>0</v>
      </c>
      <c r="D66" s="1266">
        <v>0</v>
      </c>
      <c r="E66" s="1266">
        <v>22</v>
      </c>
      <c r="F66" s="1266">
        <v>1133044.9953123699</v>
      </c>
    </row>
    <row r="67" spans="1:6">
      <c r="A67" s="1265" t="s">
        <v>55</v>
      </c>
      <c r="B67" s="1265" t="s">
        <v>58</v>
      </c>
      <c r="C67" s="1266">
        <v>0</v>
      </c>
      <c r="D67" s="1266">
        <v>0</v>
      </c>
      <c r="E67" s="1266">
        <v>0</v>
      </c>
      <c r="F67" s="1266">
        <v>0</v>
      </c>
    </row>
    <row r="68" spans="1:6">
      <c r="A68" s="1260" t="s">
        <v>55</v>
      </c>
      <c r="B68" s="1260" t="s">
        <v>59</v>
      </c>
      <c r="C68" s="1268">
        <v>13</v>
      </c>
      <c r="D68" s="1268">
        <v>311604.67108379898</v>
      </c>
      <c r="E68" s="1268">
        <v>39</v>
      </c>
      <c r="F68" s="1268">
        <v>306883.08612305298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87201051</v>
      </c>
      <c r="E73" s="443"/>
      <c r="F73" s="324"/>
    </row>
    <row r="74" spans="1:6">
      <c r="A74" s="1265" t="s">
        <v>63</v>
      </c>
      <c r="B74" s="1265" t="s">
        <v>607</v>
      </c>
      <c r="C74" s="1278" t="s">
        <v>609</v>
      </c>
      <c r="D74" s="1266">
        <v>9951313.6123810001</v>
      </c>
      <c r="E74" s="443"/>
      <c r="F74" s="324"/>
    </row>
    <row r="75" spans="1:6">
      <c r="A75" s="1265" t="s">
        <v>64</v>
      </c>
      <c r="B75" s="1265" t="s">
        <v>606</v>
      </c>
      <c r="C75" s="1278" t="s">
        <v>610</v>
      </c>
      <c r="D75" s="1266">
        <v>32333782</v>
      </c>
      <c r="E75" s="443"/>
      <c r="F75" s="324"/>
    </row>
    <row r="76" spans="1:6">
      <c r="A76" s="1265" t="s">
        <v>64</v>
      </c>
      <c r="B76" s="1265" t="s">
        <v>607</v>
      </c>
      <c r="C76" s="1278" t="s">
        <v>611</v>
      </c>
      <c r="D76" s="1266">
        <v>2082965.612381001</v>
      </c>
      <c r="E76" s="443"/>
      <c r="F76" s="324"/>
    </row>
    <row r="77" spans="1:6">
      <c r="A77" s="1265" t="s">
        <v>65</v>
      </c>
      <c r="B77" s="1265" t="s">
        <v>606</v>
      </c>
      <c r="C77" s="1278" t="s">
        <v>612</v>
      </c>
      <c r="D77" s="1266">
        <v>189515514</v>
      </c>
      <c r="E77" s="443"/>
      <c r="F77" s="324"/>
    </row>
    <row r="78" spans="1:6">
      <c r="A78" s="1260" t="s">
        <v>65</v>
      </c>
      <c r="B78" s="1260" t="s">
        <v>607</v>
      </c>
      <c r="C78" s="1260" t="s">
        <v>613</v>
      </c>
      <c r="D78" s="1268">
        <v>48516304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528816.77523799799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8289.5789225742155</v>
      </c>
      <c r="C90" s="324"/>
      <c r="D90" s="324"/>
      <c r="E90" s="324"/>
      <c r="F90" s="324"/>
    </row>
    <row r="91" spans="1:6">
      <c r="A91" s="1265" t="s">
        <v>67</v>
      </c>
      <c r="B91" s="1266">
        <v>11342.740206171462</v>
      </c>
      <c r="C91" s="324"/>
      <c r="D91" s="324"/>
      <c r="E91" s="324"/>
      <c r="F91" s="324"/>
    </row>
    <row r="92" spans="1:6">
      <c r="A92" s="1260" t="s">
        <v>68</v>
      </c>
      <c r="B92" s="1261">
        <v>27381.830123122738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5216</v>
      </c>
      <c r="C97" s="324"/>
      <c r="D97" s="324"/>
      <c r="E97" s="324"/>
      <c r="F97" s="324"/>
    </row>
    <row r="98" spans="1:6">
      <c r="A98" s="1265" t="s">
        <v>71</v>
      </c>
      <c r="B98" s="1266">
        <v>2</v>
      </c>
      <c r="C98" s="324"/>
      <c r="D98" s="324"/>
      <c r="E98" s="324"/>
      <c r="F98" s="324"/>
    </row>
    <row r="99" spans="1:6">
      <c r="A99" s="1265" t="s">
        <v>72</v>
      </c>
      <c r="B99" s="1266">
        <v>157</v>
      </c>
      <c r="C99" s="324"/>
      <c r="D99" s="324"/>
      <c r="E99" s="324"/>
      <c r="F99" s="324"/>
    </row>
    <row r="100" spans="1:6">
      <c r="A100" s="1265" t="s">
        <v>73</v>
      </c>
      <c r="B100" s="1266">
        <v>1363</v>
      </c>
      <c r="C100" s="324"/>
      <c r="D100" s="324"/>
      <c r="E100" s="324"/>
      <c r="F100" s="324"/>
    </row>
    <row r="101" spans="1:6">
      <c r="A101" s="1265" t="s">
        <v>74</v>
      </c>
      <c r="B101" s="1266">
        <v>179</v>
      </c>
      <c r="C101" s="324"/>
      <c r="D101" s="324"/>
      <c r="E101" s="324"/>
      <c r="F101" s="324"/>
    </row>
    <row r="102" spans="1:6">
      <c r="A102" s="1265" t="s">
        <v>75</v>
      </c>
      <c r="B102" s="1266">
        <v>330</v>
      </c>
      <c r="C102" s="324"/>
      <c r="D102" s="324"/>
      <c r="E102" s="324"/>
      <c r="F102" s="324"/>
    </row>
    <row r="103" spans="1:6">
      <c r="A103" s="1265" t="s">
        <v>76</v>
      </c>
      <c r="B103" s="1266">
        <v>222</v>
      </c>
      <c r="C103" s="324"/>
      <c r="D103" s="324"/>
      <c r="E103" s="324"/>
      <c r="F103" s="324"/>
    </row>
    <row r="104" spans="1:6">
      <c r="A104" s="1265" t="s">
        <v>77</v>
      </c>
      <c r="B104" s="1266">
        <v>6001</v>
      </c>
      <c r="C104" s="324"/>
      <c r="D104" s="324"/>
      <c r="E104" s="324"/>
      <c r="F104" s="324"/>
    </row>
    <row r="105" spans="1:6">
      <c r="A105" s="1260" t="s">
        <v>78</v>
      </c>
      <c r="B105" s="1268">
        <v>20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6</v>
      </c>
      <c r="C121" s="1266">
        <v>0</v>
      </c>
      <c r="D121" s="324"/>
      <c r="E121" s="324"/>
      <c r="F121" s="324"/>
    </row>
    <row r="122" spans="1:6">
      <c r="A122" s="1265" t="s">
        <v>86</v>
      </c>
      <c r="B122" s="1266">
        <v>1</v>
      </c>
      <c r="C122" s="1266">
        <v>0</v>
      </c>
      <c r="D122" s="324"/>
      <c r="E122" s="324"/>
      <c r="F122" s="324"/>
    </row>
    <row r="123" spans="1:6">
      <c r="A123" s="1265" t="s">
        <v>87</v>
      </c>
      <c r="B123" s="1266">
        <v>74</v>
      </c>
      <c r="C123" s="1266">
        <v>65</v>
      </c>
      <c r="D123" s="324"/>
      <c r="E123" s="324"/>
      <c r="F123" s="324"/>
    </row>
    <row r="124" spans="1:6">
      <c r="A124" s="1265" t="s">
        <v>88</v>
      </c>
      <c r="B124" s="1266">
        <v>7</v>
      </c>
      <c r="C124" s="1266">
        <v>3</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468</v>
      </c>
      <c r="C129" s="324"/>
      <c r="D129" s="324"/>
      <c r="E129" s="324"/>
      <c r="F129" s="324"/>
    </row>
    <row r="130" spans="1:6">
      <c r="A130" s="1265" t="s">
        <v>284</v>
      </c>
      <c r="B130" s="1266">
        <v>10</v>
      </c>
      <c r="C130" s="324"/>
      <c r="D130" s="324"/>
      <c r="E130" s="324"/>
      <c r="F130" s="324"/>
    </row>
    <row r="131" spans="1:6">
      <c r="A131" s="1265" t="s">
        <v>285</v>
      </c>
      <c r="B131" s="1266">
        <v>14</v>
      </c>
      <c r="C131" s="324"/>
      <c r="D131" s="324"/>
      <c r="E131" s="324"/>
      <c r="F131" s="324"/>
    </row>
    <row r="132" spans="1:6">
      <c r="A132" s="1260" t="s">
        <v>286</v>
      </c>
      <c r="B132" s="1261">
        <v>43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396783.75162423018</v>
      </c>
      <c r="C3" s="43" t="s">
        <v>163</v>
      </c>
      <c r="D3" s="43"/>
      <c r="E3" s="153"/>
      <c r="F3" s="43"/>
      <c r="G3" s="43"/>
      <c r="H3" s="43"/>
      <c r="I3" s="43"/>
      <c r="J3" s="43"/>
      <c r="K3" s="96"/>
    </row>
    <row r="4" spans="1:11">
      <c r="A4" s="350" t="s">
        <v>164</v>
      </c>
      <c r="B4" s="49">
        <f>IF(ISERROR('SEAP template'!B78+'SEAP template'!C78),0,'SEAP template'!B78+'SEAP template'!C78)</f>
        <v>47014.14925186841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0.19481413189897256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2732.7669999999998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2732.7669999999998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0.19481413189897256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532.38163078715957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53747.5300338011</v>
      </c>
      <c r="C5" s="17">
        <f>IF(ISERROR('Eigen informatie GS &amp; warmtenet'!B59),0,'Eigen informatie GS &amp; warmtenet'!B59)</f>
        <v>0</v>
      </c>
      <c r="D5" s="30">
        <f>(SUM(HH_hh_gas_kWh,HH_rest_gas_kWh)/1000)*0.903</f>
        <v>130485.9009714158</v>
      </c>
      <c r="E5" s="17">
        <f>B32*B41</f>
        <v>4290.4656597887515</v>
      </c>
      <c r="F5" s="17">
        <f>B36*B45</f>
        <v>77722.364006898861</v>
      </c>
      <c r="G5" s="18"/>
      <c r="H5" s="17"/>
      <c r="I5" s="17"/>
      <c r="J5" s="17">
        <f>B35*B44+C35*C44</f>
        <v>491.63273332064909</v>
      </c>
      <c r="K5" s="17"/>
      <c r="L5" s="17"/>
      <c r="M5" s="17"/>
      <c r="N5" s="17">
        <f>B34*B43+C34*C43</f>
        <v>21492.765140042222</v>
      </c>
      <c r="O5" s="17">
        <f>B52*B53*B54</f>
        <v>1063.401605591449</v>
      </c>
      <c r="P5" s="17">
        <f>B60*B61*B62/1000-B60*B61*B62/1000/B63</f>
        <v>1306.2109541529428</v>
      </c>
    </row>
    <row r="6" spans="1:16">
      <c r="A6" s="16" t="s">
        <v>572</v>
      </c>
      <c r="B6" s="740">
        <f>kWh_PV_kleiner_dan_10kW</f>
        <v>11342.740206171462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65090.27023997256</v>
      </c>
      <c r="C8" s="21">
        <f>C5</f>
        <v>0</v>
      </c>
      <c r="D8" s="21">
        <f>D5</f>
        <v>130485.9009714158</v>
      </c>
      <c r="E8" s="21">
        <f>E5</f>
        <v>4290.4656597887515</v>
      </c>
      <c r="F8" s="21">
        <f>F5</f>
        <v>77722.364006898861</v>
      </c>
      <c r="G8" s="21"/>
      <c r="H8" s="21"/>
      <c r="I8" s="21"/>
      <c r="J8" s="21">
        <f>J5</f>
        <v>491.63273332064909</v>
      </c>
      <c r="K8" s="21"/>
      <c r="L8" s="21">
        <f>L5</f>
        <v>0</v>
      </c>
      <c r="M8" s="21">
        <f>M5</f>
        <v>0</v>
      </c>
      <c r="N8" s="21">
        <f>N5</f>
        <v>21492.765140042222</v>
      </c>
      <c r="O8" s="21">
        <f>O5</f>
        <v>1063.401605591449</v>
      </c>
      <c r="P8" s="21">
        <f>P5</f>
        <v>1306.2109541529428</v>
      </c>
    </row>
    <row r="9" spans="1:16">
      <c r="B9" s="19"/>
      <c r="C9" s="19"/>
      <c r="D9" s="253"/>
      <c r="E9" s="19"/>
      <c r="F9" s="19"/>
      <c r="G9" s="19"/>
      <c r="H9" s="19"/>
      <c r="I9" s="19"/>
      <c r="J9" s="19"/>
      <c r="K9" s="19"/>
      <c r="L9" s="19"/>
      <c r="M9" s="19"/>
      <c r="N9" s="19"/>
      <c r="O9" s="19"/>
      <c r="P9" s="19"/>
    </row>
    <row r="10" spans="1:16">
      <c r="A10" s="24" t="s">
        <v>207</v>
      </c>
      <c r="B10" s="25">
        <f ca="1">'EF ele_warmte'!B12</f>
        <v>0.19481413189897256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12680.504491869782</v>
      </c>
      <c r="C12" s="23">
        <f ca="1">C10*C8</f>
        <v>0</v>
      </c>
      <c r="D12" s="23">
        <f>D8*D10</f>
        <v>26358.151996225995</v>
      </c>
      <c r="E12" s="23">
        <f>E10*E8</f>
        <v>973.93570477204662</v>
      </c>
      <c r="F12" s="23">
        <f>F10*F8</f>
        <v>20751.871189841997</v>
      </c>
      <c r="G12" s="23"/>
      <c r="H12" s="23"/>
      <c r="I12" s="23"/>
      <c r="J12" s="23">
        <f>J10*J8</f>
        <v>174.03798759550978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16495</v>
      </c>
      <c r="C26" s="36"/>
      <c r="D26" s="224"/>
    </row>
    <row r="27" spans="1:5" s="15" customFormat="1">
      <c r="A27" s="226" t="s">
        <v>826</v>
      </c>
      <c r="B27" s="37">
        <f>SUM(HH_hh_gas_aantal,HH_rest_gas_aantal)</f>
        <v>10722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10185.9</v>
      </c>
      <c r="C31" s="34" t="s">
        <v>104</v>
      </c>
      <c r="D31" s="170"/>
    </row>
    <row r="32" spans="1:5">
      <c r="A32" s="167" t="s">
        <v>72</v>
      </c>
      <c r="B32" s="33">
        <f>IF((B21*($B$26-($B$27-0.05*$B$27)-$B$60))&lt;0,0,(B21*($B$26-($B$27-0.05*$B$27)-$B$60)))</f>
        <v>98.483009964534233</v>
      </c>
      <c r="C32" s="34" t="s">
        <v>104</v>
      </c>
      <c r="D32" s="170"/>
    </row>
    <row r="33" spans="1:6">
      <c r="A33" s="167" t="s">
        <v>73</v>
      </c>
      <c r="B33" s="33">
        <f>IF((B22*($B$26-($B$27-0.05*$B$27)-$B$60))&lt;0,0,B22*($B$26-($B$27-0.05*$B$27)-$B$60))</f>
        <v>1599.1690340819794</v>
      </c>
      <c r="C33" s="34" t="s">
        <v>104</v>
      </c>
      <c r="D33" s="170"/>
    </row>
    <row r="34" spans="1:6">
      <c r="A34" s="167" t="s">
        <v>74</v>
      </c>
      <c r="B34" s="33">
        <f>IF((B24*($B$26-($B$27-0.05*$B$27)-$B$60))&lt;0,0,B24*($B$26-($B$27-0.05*$B$27)-$B$60))</f>
        <v>699.24552183956382</v>
      </c>
      <c r="C34" s="33">
        <f>B26*C24</f>
        <v>2771.1571205741452</v>
      </c>
      <c r="D34" s="229"/>
    </row>
    <row r="35" spans="1:6">
      <c r="A35" s="167" t="s">
        <v>76</v>
      </c>
      <c r="B35" s="33">
        <f>IF((B19*($B$26-($B$27-0.05*$B$27)-$B$60))&lt;0,0,B19*($B$26-($B$27-0.05*$B$27)-$B$60))</f>
        <v>42.810329641660751</v>
      </c>
      <c r="C35" s="33">
        <f>B35/2</f>
        <v>21.405164820830375</v>
      </c>
      <c r="D35" s="229"/>
    </row>
    <row r="36" spans="1:6">
      <c r="A36" s="167" t="s">
        <v>77</v>
      </c>
      <c r="B36" s="33">
        <f>IF((B18*($B$26-($B$27-0.05*$B$27)-$B$60))&lt;0,0,B18*($B$26-($B$27-0.05*$B$27)-$B$60))</f>
        <v>3745.3921044722611</v>
      </c>
      <c r="C36" s="34" t="s">
        <v>104</v>
      </c>
      <c r="D36" s="170"/>
    </row>
    <row r="37" spans="1:6">
      <c r="A37" s="167" t="s">
        <v>78</v>
      </c>
      <c r="B37" s="33">
        <f>B60</f>
        <v>124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536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77692.946954249885</v>
      </c>
      <c r="C5" s="17">
        <f>IF(ISERROR('Eigen informatie GS &amp; warmtenet'!B60),0,'Eigen informatie GS &amp; warmtenet'!B60)</f>
        <v>0</v>
      </c>
      <c r="D5" s="30">
        <f>SUM(D6:D12)</f>
        <v>107799.32436016844</v>
      </c>
      <c r="E5" s="17">
        <f>SUM(E6:E12)</f>
        <v>398.17972278284327</v>
      </c>
      <c r="F5" s="17">
        <f>SUM(F6:F12)</f>
        <v>13951.747761295912</v>
      </c>
      <c r="G5" s="18"/>
      <c r="H5" s="17"/>
      <c r="I5" s="17"/>
      <c r="J5" s="17">
        <f>SUM(J6:J12)</f>
        <v>8.1251164658956071E-2</v>
      </c>
      <c r="K5" s="17"/>
      <c r="L5" s="17"/>
      <c r="M5" s="17"/>
      <c r="N5" s="17">
        <f>SUM(N6:N12)</f>
        <v>3212.1890619842761</v>
      </c>
      <c r="O5" s="17">
        <f>B38*B39*B40</f>
        <v>48.972607658411548</v>
      </c>
      <c r="P5" s="17">
        <f>B46*B47*B48/1000-B46*B47*B48/1000/B49</f>
        <v>1155.8610427428903</v>
      </c>
      <c r="R5" s="32"/>
    </row>
    <row r="6" spans="1:18">
      <c r="A6" s="32" t="s">
        <v>53</v>
      </c>
      <c r="B6" s="37">
        <f>B26</f>
        <v>17974.0976596943</v>
      </c>
      <c r="C6" s="33"/>
      <c r="D6" s="37">
        <f>IF(ISERROR(TER_kantoor_gas_kWh/1000),0,TER_kantoor_gas_kWh/1000)*0.903</f>
        <v>56799.772002589772</v>
      </c>
      <c r="E6" s="33">
        <f>$C$26*'E Balans VL '!I12/100/3.6*1000000</f>
        <v>4.2824092129100499</v>
      </c>
      <c r="F6" s="33">
        <f>$C$26*('E Balans VL '!L12+'E Balans VL '!N12)/100/3.6*1000000</f>
        <v>1755.1199475158123</v>
      </c>
      <c r="G6" s="34"/>
      <c r="H6" s="33"/>
      <c r="I6" s="33"/>
      <c r="J6" s="33">
        <f>$C$26*('E Balans VL '!D12+'E Balans VL '!E12)/100/3.6*1000000</f>
        <v>0</v>
      </c>
      <c r="K6" s="33"/>
      <c r="L6" s="33"/>
      <c r="M6" s="33"/>
      <c r="N6" s="33">
        <f>$C$26*'E Balans VL '!Y12/100/3.6*1000000</f>
        <v>24.033407958993056</v>
      </c>
      <c r="O6" s="33"/>
      <c r="P6" s="33"/>
      <c r="R6" s="32"/>
    </row>
    <row r="7" spans="1:18">
      <c r="A7" s="32" t="s">
        <v>52</v>
      </c>
      <c r="B7" s="37">
        <f t="shared" ref="B7:B12" si="0">B27</f>
        <v>5663.3144067605699</v>
      </c>
      <c r="C7" s="33"/>
      <c r="D7" s="37">
        <f>IF(ISERROR(TER_horeca_gas_kWh/1000),0,TER_horeca_gas_kWh/1000)*0.903</f>
        <v>7132.6491686740765</v>
      </c>
      <c r="E7" s="33">
        <f>$C$27*'E Balans VL '!I9/100/3.6*1000000</f>
        <v>0</v>
      </c>
      <c r="F7" s="33">
        <f>$C$27*('E Balans VL '!L9+'E Balans VL '!N9)/100/3.6*1000000</f>
        <v>461.45763280078103</v>
      </c>
      <c r="G7" s="34"/>
      <c r="H7" s="33"/>
      <c r="I7" s="33"/>
      <c r="J7" s="33">
        <f>$C$27*('E Balans VL '!D9+'E Balans VL '!E9)/100/3.6*1000000</f>
        <v>0</v>
      </c>
      <c r="K7" s="33"/>
      <c r="L7" s="33"/>
      <c r="M7" s="33"/>
      <c r="N7" s="33">
        <f>$C$27*'E Balans VL '!Y9/100/3.6*1000000</f>
        <v>40.81792765970328</v>
      </c>
      <c r="O7" s="33"/>
      <c r="P7" s="33"/>
      <c r="R7" s="32"/>
    </row>
    <row r="8" spans="1:18">
      <c r="A8" s="6" t="s">
        <v>51</v>
      </c>
      <c r="B8" s="37">
        <f t="shared" si="0"/>
        <v>36247.468213987595</v>
      </c>
      <c r="C8" s="33"/>
      <c r="D8" s="37">
        <f>IF(ISERROR(TER_handel_gas_kWh/1000),0,TER_handel_gas_kWh/1000)*0.903</f>
        <v>20137.078093487638</v>
      </c>
      <c r="E8" s="33">
        <f>$C$28*'E Balans VL '!I13/100/3.6*1000000</f>
        <v>289.74829107832812</v>
      </c>
      <c r="F8" s="33">
        <f>$C$28*('E Balans VL '!L13+'E Balans VL '!N13)/100/3.6*1000000</f>
        <v>3600.9606396505628</v>
      </c>
      <c r="G8" s="34"/>
      <c r="H8" s="33"/>
      <c r="I8" s="33"/>
      <c r="J8" s="33">
        <f>$C$28*('E Balans VL '!D13+'E Balans VL '!E13)/100/3.6*1000000</f>
        <v>0</v>
      </c>
      <c r="K8" s="33"/>
      <c r="L8" s="33"/>
      <c r="M8" s="33"/>
      <c r="N8" s="33">
        <f>$C$28*'E Balans VL '!Y13/100/3.6*1000000</f>
        <v>13.540586970849391</v>
      </c>
      <c r="O8" s="33"/>
      <c r="P8" s="33"/>
      <c r="R8" s="32"/>
    </row>
    <row r="9" spans="1:18">
      <c r="A9" s="32" t="s">
        <v>50</v>
      </c>
      <c r="B9" s="37">
        <f t="shared" si="0"/>
        <v>7376.5251298686198</v>
      </c>
      <c r="C9" s="33"/>
      <c r="D9" s="37">
        <f>IF(ISERROR(TER_gezond_gas_kWh/1000),0,TER_gezond_gas_kWh/1000)*0.903</f>
        <v>10389.273646321786</v>
      </c>
      <c r="E9" s="33">
        <f>$C$29*'E Balans VL '!I10/100/3.6*1000000</f>
        <v>0</v>
      </c>
      <c r="F9" s="33">
        <f>$C$29*('E Balans VL '!L10+'E Balans VL '!N10)/100/3.6*1000000</f>
        <v>672.49047120339912</v>
      </c>
      <c r="G9" s="34"/>
      <c r="H9" s="33"/>
      <c r="I9" s="33"/>
      <c r="J9" s="33">
        <f>$C$29*('E Balans VL '!D10+'E Balans VL '!E10)/100/3.6*1000000</f>
        <v>0</v>
      </c>
      <c r="K9" s="33"/>
      <c r="L9" s="33"/>
      <c r="M9" s="33"/>
      <c r="N9" s="33">
        <f>$C$29*'E Balans VL '!Y10/100/3.6*1000000</f>
        <v>53.915788152256575</v>
      </c>
      <c r="O9" s="33"/>
      <c r="P9" s="33"/>
      <c r="R9" s="32"/>
    </row>
    <row r="10" spans="1:18">
      <c r="A10" s="32" t="s">
        <v>49</v>
      </c>
      <c r="B10" s="37">
        <f t="shared" si="0"/>
        <v>8033.3974658463503</v>
      </c>
      <c r="C10" s="33"/>
      <c r="D10" s="37">
        <f>IF(ISERROR(TER_ander_gas_kWh/1000),0,TER_ander_gas_kWh/1000)*0.903</f>
        <v>9129.8906065149768</v>
      </c>
      <c r="E10" s="33">
        <f>$C$30*'E Balans VL '!I14/100/3.6*1000000</f>
        <v>104.14902249160507</v>
      </c>
      <c r="F10" s="33">
        <f>$C$30*('E Balans VL '!L14+'E Balans VL '!N14)/100/3.6*1000000</f>
        <v>7367.7533866011781</v>
      </c>
      <c r="G10" s="34"/>
      <c r="H10" s="33"/>
      <c r="I10" s="33"/>
      <c r="J10" s="33">
        <f>$C$30*('E Balans VL '!D14+'E Balans VL '!E14)/100/3.6*1000000</f>
        <v>8.1251164658956071E-2</v>
      </c>
      <c r="K10" s="33"/>
      <c r="L10" s="33"/>
      <c r="M10" s="33"/>
      <c r="N10" s="33">
        <f>$C$30*'E Balans VL '!Y14/100/3.6*1000000</f>
        <v>3072.3290030243256</v>
      </c>
      <c r="O10" s="33"/>
      <c r="P10" s="33"/>
      <c r="R10" s="32"/>
    </row>
    <row r="11" spans="1:18">
      <c r="A11" s="32" t="s">
        <v>54</v>
      </c>
      <c r="B11" s="37">
        <f t="shared" si="0"/>
        <v>2398.1440780924499</v>
      </c>
      <c r="C11" s="33"/>
      <c r="D11" s="37">
        <f>IF(ISERROR(TER_onderwijs_gas_kWh/1000),0,TER_onderwijs_gas_kWh/1000)*0.903</f>
        <v>4210.6608425801805</v>
      </c>
      <c r="E11" s="33">
        <f>$C$31*'E Balans VL '!I11/100/3.6*1000000</f>
        <v>0</v>
      </c>
      <c r="F11" s="33">
        <f>$C$31*('E Balans VL '!L11+'E Balans VL '!N11)/100/3.6*1000000</f>
        <v>93.965683524177081</v>
      </c>
      <c r="G11" s="34"/>
      <c r="H11" s="33"/>
      <c r="I11" s="33"/>
      <c r="J11" s="33">
        <f>$C$31*('E Balans VL '!D11+'E Balans VL '!E11)/100/3.6*1000000</f>
        <v>0</v>
      </c>
      <c r="K11" s="33"/>
      <c r="L11" s="33"/>
      <c r="M11" s="33"/>
      <c r="N11" s="33">
        <f>$C$31*'E Balans VL '!Y11/100/3.6*1000000</f>
        <v>7.5523482181486035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77692.946954249885</v>
      </c>
      <c r="C16" s="21">
        <f t="shared" ca="1" si="1"/>
        <v>0</v>
      </c>
      <c r="D16" s="21">
        <f t="shared" ca="1" si="1"/>
        <v>107799.32436016844</v>
      </c>
      <c r="E16" s="21">
        <f t="shared" si="1"/>
        <v>398.17972278284327</v>
      </c>
      <c r="F16" s="21">
        <f t="shared" ca="1" si="1"/>
        <v>13951.747761295912</v>
      </c>
      <c r="G16" s="21">
        <f t="shared" si="1"/>
        <v>0</v>
      </c>
      <c r="H16" s="21">
        <f t="shared" si="1"/>
        <v>0</v>
      </c>
      <c r="I16" s="21">
        <f t="shared" si="1"/>
        <v>0</v>
      </c>
      <c r="J16" s="21">
        <f t="shared" si="1"/>
        <v>8.1251164658956071E-2</v>
      </c>
      <c r="K16" s="21">
        <f t="shared" si="1"/>
        <v>0</v>
      </c>
      <c r="L16" s="21">
        <f t="shared" ca="1" si="1"/>
        <v>0</v>
      </c>
      <c r="M16" s="21">
        <f t="shared" si="1"/>
        <v>0</v>
      </c>
      <c r="N16" s="21">
        <f t="shared" ca="1" si="1"/>
        <v>3212.1890619842761</v>
      </c>
      <c r="O16" s="21">
        <f>O5</f>
        <v>48.972607658411548</v>
      </c>
      <c r="P16" s="21">
        <f>P5</f>
        <v>1155.8610427428903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0.19481413189897256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15135.684015565115</v>
      </c>
      <c r="C20" s="23">
        <f t="shared" ref="C20:P20" ca="1" si="2">C16*C18</f>
        <v>0</v>
      </c>
      <c r="D20" s="23">
        <f t="shared" ca="1" si="2"/>
        <v>21775.463520754027</v>
      </c>
      <c r="E20" s="23">
        <f t="shared" si="2"/>
        <v>90.386797071705431</v>
      </c>
      <c r="F20" s="23">
        <f t="shared" ca="1" si="2"/>
        <v>3725.1166522660087</v>
      </c>
      <c r="G20" s="23">
        <f t="shared" si="2"/>
        <v>0</v>
      </c>
      <c r="H20" s="23">
        <f t="shared" si="2"/>
        <v>0</v>
      </c>
      <c r="I20" s="23">
        <f t="shared" si="2"/>
        <v>0</v>
      </c>
      <c r="J20" s="23">
        <f t="shared" si="2"/>
        <v>2.8762912289270446E-2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17974.0976596943</v>
      </c>
      <c r="C26" s="39">
        <f>IF(ISERROR(B26*3.6/1000000/'E Balans VL '!Z12*100),0,B26*3.6/1000000/'E Balans VL '!Z12*100)</f>
        <v>0.51585787060106247</v>
      </c>
      <c r="D26" s="232" t="s">
        <v>802</v>
      </c>
      <c r="F26" s="6"/>
    </row>
    <row r="27" spans="1:18" ht="30">
      <c r="A27" s="227" t="s">
        <v>52</v>
      </c>
      <c r="B27" s="33">
        <f>IF(ISERROR(TER_horeca_ele_kWh/1000),0,TER_horeca_ele_kWh/1000)</f>
        <v>5663.3144067605699</v>
      </c>
      <c r="C27" s="39">
        <f>IF(ISERROR(B27*3.6/1000000/'E Balans VL '!Z9*100),0,B27*3.6/1000000/'E Balans VL '!Z9*100)</f>
        <v>0.41489641845396708</v>
      </c>
      <c r="D27" s="232" t="s">
        <v>802</v>
      </c>
      <c r="F27" s="6"/>
    </row>
    <row r="28" spans="1:18" ht="30">
      <c r="A28" s="167" t="s">
        <v>51</v>
      </c>
      <c r="B28" s="33">
        <f>IF(ISERROR(TER_handel_ele_kWh/1000),0,TER_handel_ele_kWh/1000)</f>
        <v>36247.468213987595</v>
      </c>
      <c r="C28" s="39">
        <f>IF(ISERROR(B28*3.6/1000000/'E Balans VL '!Z13*100),0,B28*3.6/1000000/'E Balans VL '!Z13*100)</f>
        <v>1.1200773407877336</v>
      </c>
      <c r="D28" s="232" t="s">
        <v>802</v>
      </c>
      <c r="F28" s="6"/>
    </row>
    <row r="29" spans="1:18" ht="30">
      <c r="A29" s="227" t="s">
        <v>50</v>
      </c>
      <c r="B29" s="33">
        <f>IF(ISERROR(TER_gezond_ele_kWh/1000),0,TER_gezond_ele_kWh/1000)</f>
        <v>7376.5251298686198</v>
      </c>
      <c r="C29" s="39">
        <f>IF(ISERROR(B29*3.6/1000000/'E Balans VL '!Z10*100),0,B29*3.6/1000000/'E Balans VL '!Z10*100)</f>
        <v>0.72294482064819543</v>
      </c>
      <c r="D29" s="232" t="s">
        <v>802</v>
      </c>
      <c r="F29" s="6"/>
    </row>
    <row r="30" spans="1:18" ht="30">
      <c r="A30" s="227" t="s">
        <v>49</v>
      </c>
      <c r="B30" s="33">
        <f>IF(ISERROR(TER_ander_ele_kWh/1000),0,TER_ander_ele_kWh/1000)</f>
        <v>8033.3974658463503</v>
      </c>
      <c r="C30" s="39">
        <f>IF(ISERROR(B30*3.6/1000000/'E Balans VL '!Z14*100),0,B30*3.6/1000000/'E Balans VL '!Z14*100)</f>
        <v>0.33276927505374498</v>
      </c>
      <c r="D30" s="232" t="s">
        <v>802</v>
      </c>
      <c r="F30" s="6"/>
    </row>
    <row r="31" spans="1:18" ht="30">
      <c r="A31" s="227" t="s">
        <v>54</v>
      </c>
      <c r="B31" s="33">
        <f>IF(ISERROR(TER_onderwijs_ele_kWh/1000),0,TER_onderwijs_ele_kWh/1000)</f>
        <v>2398.1440780924499</v>
      </c>
      <c r="C31" s="39">
        <f>IF(ISERROR(B31*3.6/1000000/'E Balans VL '!Z11*100),0,B31*3.6/1000000/'E Balans VL '!Z11*100)</f>
        <v>0.73687676533449353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246076.93732811694</v>
      </c>
      <c r="C5" s="17">
        <f>IF(ISERROR('Eigen informatie GS &amp; warmtenet'!B61),0,'Eigen informatie GS &amp; warmtenet'!B61)</f>
        <v>0</v>
      </c>
      <c r="D5" s="30">
        <f>SUM(D6:D15)</f>
        <v>193232.81723309594</v>
      </c>
      <c r="E5" s="17">
        <f>SUM(E6:E15)</f>
        <v>2406.6014470254386</v>
      </c>
      <c r="F5" s="17">
        <f>SUM(F6:F15)</f>
        <v>39314.716010018157</v>
      </c>
      <c r="G5" s="18"/>
      <c r="H5" s="17"/>
      <c r="I5" s="17"/>
      <c r="J5" s="17">
        <f>SUM(J6:J15)</f>
        <v>3531.9875188653391</v>
      </c>
      <c r="K5" s="17"/>
      <c r="L5" s="17"/>
      <c r="M5" s="17"/>
      <c r="N5" s="17">
        <f>SUM(N6:N15)</f>
        <v>56907.705502790173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13892.9524627762</v>
      </c>
      <c r="C8" s="33"/>
      <c r="D8" s="37">
        <f>IF( ISERROR(IND_metaal_Gas_kWH/1000),0,IND_metaal_Gas_kWH/1000)*0.903</f>
        <v>17716.470626845177</v>
      </c>
      <c r="E8" s="33">
        <f>C30*'E Balans VL '!I18/100/3.6*1000000</f>
        <v>75.732650584338089</v>
      </c>
      <c r="F8" s="33">
        <f>C30*'E Balans VL '!L18/100/3.6*1000000+C30*'E Balans VL '!N18/100/3.6*1000000</f>
        <v>894.7071997840286</v>
      </c>
      <c r="G8" s="34"/>
      <c r="H8" s="33"/>
      <c r="I8" s="33"/>
      <c r="J8" s="40">
        <f>C30*'E Balans VL '!D18/100/3.6*1000000+C30*'E Balans VL '!E18/100/3.6*1000000</f>
        <v>11.380022707237707</v>
      </c>
      <c r="K8" s="33"/>
      <c r="L8" s="33"/>
      <c r="M8" s="33"/>
      <c r="N8" s="33">
        <f>C30*'E Balans VL '!Y18/100/3.6*1000000</f>
        <v>297.92643170459553</v>
      </c>
      <c r="O8" s="33"/>
      <c r="P8" s="33"/>
      <c r="R8" s="32"/>
    </row>
    <row r="9" spans="1:18">
      <c r="A9" s="6" t="s">
        <v>32</v>
      </c>
      <c r="B9" s="37">
        <f t="shared" si="0"/>
        <v>33019.175842828998</v>
      </c>
      <c r="C9" s="33"/>
      <c r="D9" s="37">
        <f>IF( ISERROR(IND_andere_gas_kWh/1000),0,IND_andere_gas_kWh/1000)*0.903</f>
        <v>13299.507820844081</v>
      </c>
      <c r="E9" s="33">
        <f>C31*'E Balans VL '!I19/100/3.6*1000000</f>
        <v>106.59152280464473</v>
      </c>
      <c r="F9" s="33">
        <f>C31*'E Balans VL '!L19/100/3.6*1000000+C31*'E Balans VL '!N19/100/3.6*1000000</f>
        <v>21350.458302531588</v>
      </c>
      <c r="G9" s="34"/>
      <c r="H9" s="33"/>
      <c r="I9" s="33"/>
      <c r="J9" s="40">
        <f>C31*'E Balans VL '!D19/100/3.6*1000000+C31*'E Balans VL '!E19/100/3.6*1000000</f>
        <v>0</v>
      </c>
      <c r="K9" s="33"/>
      <c r="L9" s="33"/>
      <c r="M9" s="33"/>
      <c r="N9" s="33">
        <f>C31*'E Balans VL '!Y19/100/3.6*1000000</f>
        <v>1340.7183169632526</v>
      </c>
      <c r="O9" s="33"/>
      <c r="P9" s="33"/>
      <c r="R9" s="32"/>
    </row>
    <row r="10" spans="1:18">
      <c r="A10" s="6" t="s">
        <v>40</v>
      </c>
      <c r="B10" s="37">
        <f t="shared" si="0"/>
        <v>37422.893389789606</v>
      </c>
      <c r="C10" s="33"/>
      <c r="D10" s="37">
        <f>IF( ISERROR(IND_voed_gas_kWh/1000),0,IND_voed_gas_kWh/1000)*0.903</f>
        <v>86778.16821098623</v>
      </c>
      <c r="E10" s="33">
        <f>C32*'E Balans VL '!I20/100/3.6*1000000</f>
        <v>78.903311040416</v>
      </c>
      <c r="F10" s="33">
        <f>C32*'E Balans VL '!L20/100/3.6*1000000+C32*'E Balans VL '!N20/100/3.6*1000000</f>
        <v>795.79619179691224</v>
      </c>
      <c r="G10" s="34"/>
      <c r="H10" s="33"/>
      <c r="I10" s="33"/>
      <c r="J10" s="40">
        <f>C32*'E Balans VL '!D20/100/3.6*1000000+C32*'E Balans VL '!E20/100/3.6*1000000</f>
        <v>0</v>
      </c>
      <c r="K10" s="33"/>
      <c r="L10" s="33"/>
      <c r="M10" s="33"/>
      <c r="N10" s="33">
        <f>C32*'E Balans VL '!Y20/100/3.6*1000000</f>
        <v>1488.5789475797521</v>
      </c>
      <c r="O10" s="33"/>
      <c r="P10" s="33"/>
      <c r="R10" s="32"/>
    </row>
    <row r="11" spans="1:18">
      <c r="A11" s="6" t="s">
        <v>39</v>
      </c>
      <c r="B11" s="37">
        <f t="shared" si="0"/>
        <v>59320.711607227306</v>
      </c>
      <c r="C11" s="33"/>
      <c r="D11" s="37">
        <f>IF( ISERROR(IND_textiel_gas_kWh/1000),0,IND_textiel_gas_kWh/1000)*0.903</f>
        <v>18080.833698456077</v>
      </c>
      <c r="E11" s="33">
        <f>C33*'E Balans VL '!I21/100/3.6*1000000</f>
        <v>50.972504275338849</v>
      </c>
      <c r="F11" s="33">
        <f>C33*'E Balans VL '!L21/100/3.6*1000000+C33*'E Balans VL '!N21/100/3.6*1000000</f>
        <v>1243.7202867529993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98368.333559153893</v>
      </c>
      <c r="C12" s="33"/>
      <c r="D12" s="37">
        <f>IF( ISERROR(IND_min_gas_kWh/1000),0,IND_min_gas_kWh/1000)*0.903</f>
        <v>55113.774004455256</v>
      </c>
      <c r="E12" s="33">
        <f>C34*'E Balans VL '!I22/100/3.6*1000000</f>
        <v>1609.8035712327564</v>
      </c>
      <c r="F12" s="33">
        <f>C34*'E Balans VL '!L22/100/3.6*1000000+C34*'E Balans VL '!N22/100/3.6*1000000</f>
        <v>15014.384512217228</v>
      </c>
      <c r="G12" s="34"/>
      <c r="H12" s="33"/>
      <c r="I12" s="33"/>
      <c r="J12" s="40">
        <f>C34*'E Balans VL '!D22/100/3.6*1000000+C34*'E Balans VL '!E22/100/3.6*1000000</f>
        <v>3520.2648268706398</v>
      </c>
      <c r="K12" s="33"/>
      <c r="L12" s="33"/>
      <c r="M12" s="33"/>
      <c r="N12" s="33">
        <f>C34*'E Balans VL '!Y22/100/3.6*1000000</f>
        <v>53907.9345464988</v>
      </c>
      <c r="O12" s="33"/>
      <c r="P12" s="33"/>
      <c r="R12" s="32"/>
    </row>
    <row r="13" spans="1:18">
      <c r="A13" s="6" t="s">
        <v>38</v>
      </c>
      <c r="B13" s="37">
        <f t="shared" si="0"/>
        <v>1732.3477632976101</v>
      </c>
      <c r="C13" s="33"/>
      <c r="D13" s="37">
        <f>IF( ISERROR(IND_papier_gas_kWh/1000),0,IND_papier_gas_kWh/1000)*0.903</f>
        <v>412.3901672065748</v>
      </c>
      <c r="E13" s="33">
        <f>C35*'E Balans VL '!I23/100/3.6*1000000</f>
        <v>0</v>
      </c>
      <c r="F13" s="33">
        <f>C35*'E Balans VL '!L23/100/3.6*1000000+C35*'E Balans VL '!N23/100/3.6*1000000</f>
        <v>0.23205344440615253</v>
      </c>
      <c r="G13" s="34"/>
      <c r="H13" s="33"/>
      <c r="I13" s="33"/>
      <c r="J13" s="40">
        <f>C35*'E Balans VL '!D23/100/3.6*1000000+C35*'E Balans VL '!E23/100/3.6*1000000</f>
        <v>0.34266928746149611</v>
      </c>
      <c r="K13" s="33"/>
      <c r="L13" s="33"/>
      <c r="M13" s="33"/>
      <c r="N13" s="33">
        <f>C35*'E Balans VL '!Y23/100/3.6*1000000</f>
        <v>-128.26249399494404</v>
      </c>
      <c r="O13" s="33"/>
      <c r="P13" s="33"/>
      <c r="R13" s="32"/>
    </row>
    <row r="14" spans="1:18">
      <c r="A14" s="6" t="s">
        <v>33</v>
      </c>
      <c r="B14" s="37">
        <f t="shared" si="0"/>
        <v>2320.5227030433202</v>
      </c>
      <c r="C14" s="33"/>
      <c r="D14" s="37">
        <f>IF( ISERROR(IND_chemie_gas_kWh/1000),0,IND_chemie_gas_kWh/1000)*0.903</f>
        <v>1831.6727043025314</v>
      </c>
      <c r="E14" s="33">
        <f>C36*'E Balans VL '!I24/100/3.6*1000000</f>
        <v>484.59788708794451</v>
      </c>
      <c r="F14" s="33">
        <f>C36*'E Balans VL '!L24/100/3.6*1000000+C36*'E Balans VL '!N24/100/3.6*1000000</f>
        <v>15.417463490990626</v>
      </c>
      <c r="G14" s="34"/>
      <c r="H14" s="33"/>
      <c r="I14" s="33"/>
      <c r="J14" s="40">
        <f>C36*'E Balans VL '!D24/100/3.6*1000000+C36*'E Balans VL '!E24/100/3.6*1000000</f>
        <v>0</v>
      </c>
      <c r="K14" s="33"/>
      <c r="L14" s="33"/>
      <c r="M14" s="33"/>
      <c r="N14" s="33">
        <f>C36*'E Balans VL '!Y24/100/3.6*1000000</f>
        <v>0.80975403871947749</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246076.93732811694</v>
      </c>
      <c r="C18" s="21">
        <f>C5+C16</f>
        <v>0</v>
      </c>
      <c r="D18" s="21">
        <f>MAX((D5+D16),0)</f>
        <v>193232.81723309594</v>
      </c>
      <c r="E18" s="21">
        <f>MAX((E5+E16),0)</f>
        <v>2406.6014470254386</v>
      </c>
      <c r="F18" s="21">
        <f>MAX((F5+F16),0)</f>
        <v>39314.716010018157</v>
      </c>
      <c r="G18" s="21"/>
      <c r="H18" s="21"/>
      <c r="I18" s="21"/>
      <c r="J18" s="21">
        <f>MAX((J5+J16),0)</f>
        <v>3531.9875188653391</v>
      </c>
      <c r="K18" s="21"/>
      <c r="L18" s="21">
        <f>MAX((L5+L16),0)</f>
        <v>0</v>
      </c>
      <c r="M18" s="21"/>
      <c r="N18" s="21">
        <f>MAX((N5+N16),0)</f>
        <v>56907.705502790173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0.19481413189897256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47939.264925934978</v>
      </c>
      <c r="C22" s="23">
        <f ca="1">C18*C20</f>
        <v>0</v>
      </c>
      <c r="D22" s="23">
        <f>D18*D20</f>
        <v>39033.029081085384</v>
      </c>
      <c r="E22" s="23">
        <f>E18*E20</f>
        <v>546.29852847477457</v>
      </c>
      <c r="F22" s="23">
        <f>F18*F20</f>
        <v>10497.029174674848</v>
      </c>
      <c r="G22" s="23"/>
      <c r="H22" s="23"/>
      <c r="I22" s="23"/>
      <c r="J22" s="23">
        <f>J18*J20</f>
        <v>1250.3235816783299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13892.9524627762</v>
      </c>
      <c r="C30" s="39">
        <f>IF(ISERROR(B30*3.6/1000000/'E Balans VL '!Z18*100),0,B30*3.6/1000000/'E Balans VL '!Z18*100)</f>
        <v>0.83659550226783497</v>
      </c>
      <c r="D30" s="232" t="s">
        <v>802</v>
      </c>
    </row>
    <row r="31" spans="1:18" ht="30">
      <c r="A31" s="6" t="s">
        <v>32</v>
      </c>
      <c r="B31" s="37">
        <f>IF( ISERROR(IND_ander_ele_kWh/1000),0,IND_ander_ele_kWh/1000)</f>
        <v>33019.175842828998</v>
      </c>
      <c r="C31" s="39">
        <f>IF(ISERROR(B31*3.6/1000000/'E Balans VL '!Z19*100),0,B31*3.6/1000000/'E Balans VL '!Z19*100)</f>
        <v>1.3452695813975233</v>
      </c>
      <c r="D31" s="232" t="s">
        <v>802</v>
      </c>
    </row>
    <row r="32" spans="1:18" ht="30">
      <c r="A32" s="167" t="s">
        <v>40</v>
      </c>
      <c r="B32" s="37">
        <f>IF( ISERROR(IND_voed_ele_kWh/1000),0,IND_voed_ele_kWh/1000)</f>
        <v>37422.893389789606</v>
      </c>
      <c r="C32" s="39">
        <f>IF(ISERROR(B32*3.6/1000000/'E Balans VL '!Z20*100),0,B32*3.6/1000000/'E Balans VL '!Z20*100)</f>
        <v>1.0820464488751407</v>
      </c>
      <c r="D32" s="232" t="s">
        <v>802</v>
      </c>
    </row>
    <row r="33" spans="1:5" ht="30">
      <c r="A33" s="167" t="s">
        <v>39</v>
      </c>
      <c r="B33" s="37">
        <f>IF( ISERROR(IND_textiel_ele_kWh/1000),0,IND_textiel_ele_kWh/1000)</f>
        <v>59320.711607227306</v>
      </c>
      <c r="C33" s="39">
        <f>IF(ISERROR(B33*3.6/1000000/'E Balans VL '!Z21*100),0,B33*3.6/1000000/'E Balans VL '!Z21*100)</f>
        <v>9.7555032105911685</v>
      </c>
      <c r="D33" s="232" t="s">
        <v>802</v>
      </c>
    </row>
    <row r="34" spans="1:5" ht="30">
      <c r="A34" s="167" t="s">
        <v>36</v>
      </c>
      <c r="B34" s="37">
        <f>IF( ISERROR(IND_min_ele_kWh/1000),0,IND_min_ele_kWh/1000)</f>
        <v>98368.333559153893</v>
      </c>
      <c r="C34" s="39">
        <f>IF(ISERROR(B34*3.6/1000000/'E Balans VL '!Z22*100),0,B34*3.6/1000000/'E Balans VL '!Z22*100)</f>
        <v>42.002364366744956</v>
      </c>
      <c r="D34" s="232" t="s">
        <v>802</v>
      </c>
    </row>
    <row r="35" spans="1:5" ht="30">
      <c r="A35" s="167" t="s">
        <v>38</v>
      </c>
      <c r="B35" s="37">
        <f>IF( ISERROR(IND_papier_ele_kWh/1000),0,IND_papier_ele_kWh/1000)</f>
        <v>1732.3477632976101</v>
      </c>
      <c r="C35" s="39">
        <f>IF(ISERROR(B35*3.6/1000000/'E Balans VL '!Z22*100),0,B35*3.6/1000000/'E Balans VL '!Z22*100)</f>
        <v>0.7396963975219315</v>
      </c>
      <c r="D35" s="232" t="s">
        <v>802</v>
      </c>
    </row>
    <row r="36" spans="1:5" ht="30">
      <c r="A36" s="167" t="s">
        <v>33</v>
      </c>
      <c r="B36" s="37">
        <f>IF( ISERROR(IND_chemie_ele_kWh/1000),0,IND_chemie_ele_kWh/1000)</f>
        <v>2320.5227030433202</v>
      </c>
      <c r="C36" s="39">
        <f>IF(ISERROR(B36*3.6/1000000/'E Balans VL '!Z24*100),0,B36*3.6/1000000/'E Balans VL '!Z24*100)</f>
        <v>7.0413394671259302E-2</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1694.1168025617098</v>
      </c>
      <c r="C5" s="17">
        <f>'Eigen informatie GS &amp; warmtenet'!B62</f>
        <v>0</v>
      </c>
      <c r="D5" s="30">
        <f>IF(ISERROR(SUM(LB_lb_gas_kWh,LB_rest_gas_kWh)/1000),0,SUM(LB_lb_gas_kWh,LB_rest_gas_kWh)/1000)*0.903</f>
        <v>1642.9912031221936</v>
      </c>
      <c r="E5" s="17">
        <f>B17*'E Balans VL '!I25/3.6*1000000/100</f>
        <v>60.357983752285755</v>
      </c>
      <c r="F5" s="17">
        <f>B17*('E Balans VL '!L25/3.6*1000000+'E Balans VL '!N25/3.6*1000000)/100</f>
        <v>5773.2310869126741</v>
      </c>
      <c r="G5" s="18"/>
      <c r="H5" s="17"/>
      <c r="I5" s="17"/>
      <c r="J5" s="17">
        <f>('E Balans VL '!D25+'E Balans VL '!E25)/3.6*1000000*landbouw!B17/100</f>
        <v>430.76070357152025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1694.1168025617098</v>
      </c>
      <c r="C8" s="21">
        <f>C5+C6</f>
        <v>0</v>
      </c>
      <c r="D8" s="21">
        <f>MAX((D5+D6),0)</f>
        <v>1642.9912031221936</v>
      </c>
      <c r="E8" s="21">
        <f>MAX((E5+E6),0)</f>
        <v>60.357983752285755</v>
      </c>
      <c r="F8" s="21">
        <f>MAX((F5+F6),0)</f>
        <v>5773.2310869126741</v>
      </c>
      <c r="G8" s="21"/>
      <c r="H8" s="21"/>
      <c r="I8" s="21"/>
      <c r="J8" s="21">
        <f>MAX((J5+J6),0)</f>
        <v>430.76070357152025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0.19481413189897256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330.03789422652261</v>
      </c>
      <c r="C12" s="23">
        <f ca="1">C8*C10</f>
        <v>0</v>
      </c>
      <c r="D12" s="23">
        <f>D8*D10</f>
        <v>331.88422303068313</v>
      </c>
      <c r="E12" s="23">
        <f>E8*E10</f>
        <v>13.701262311768867</v>
      </c>
      <c r="F12" s="23">
        <f>F8*F10</f>
        <v>1541.4527002056841</v>
      </c>
      <c r="G12" s="23"/>
      <c r="H12" s="23"/>
      <c r="I12" s="23"/>
      <c r="J12" s="23">
        <f>J8*J10</f>
        <v>152.48928906431817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0.23459674526848737</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221.06570403897598</v>
      </c>
      <c r="C26" s="242">
        <f>B26*'GWP N2O_CH4'!B5</f>
        <v>4642.3797848184959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55.891804487807455</v>
      </c>
      <c r="C27" s="242">
        <f>B27*'GWP N2O_CH4'!B5</f>
        <v>1173.7278942439566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3.0869824372281807</v>
      </c>
      <c r="C28" s="242">
        <f>B28*'GWP N2O_CH4'!B4</f>
        <v>956.964555540736</v>
      </c>
      <c r="D28" s="50"/>
    </row>
    <row r="29" spans="1:4">
      <c r="A29" s="41" t="s">
        <v>266</v>
      </c>
      <c r="B29" s="242">
        <f>B34*'ha_N2O bodem landbouw'!B4</f>
        <v>10.363441743935427</v>
      </c>
      <c r="C29" s="242">
        <f>B29*'GWP N2O_CH4'!B4</f>
        <v>3212.6669406199821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2.3543884868273911E-3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2.9513200913129007E-3</v>
      </c>
      <c r="C5" s="430" t="s">
        <v>204</v>
      </c>
      <c r="D5" s="415">
        <f>SUM(D6:D11)</f>
        <v>3.9051614065947222E-3</v>
      </c>
      <c r="E5" s="415">
        <f>SUM(E6:E11)</f>
        <v>1.7232585175934807E-3</v>
      </c>
      <c r="F5" s="428" t="s">
        <v>204</v>
      </c>
      <c r="G5" s="415">
        <f>SUM(G6:G11)</f>
        <v>1.0518092741128946</v>
      </c>
      <c r="H5" s="415">
        <f>SUM(H6:H11)</f>
        <v>0.21378450700343288</v>
      </c>
      <c r="I5" s="430" t="s">
        <v>204</v>
      </c>
      <c r="J5" s="430" t="s">
        <v>204</v>
      </c>
      <c r="K5" s="430" t="s">
        <v>204</v>
      </c>
      <c r="L5" s="430" t="s">
        <v>204</v>
      </c>
      <c r="M5" s="415">
        <f>SUM(M6:M11)</f>
        <v>7.5548411318362887E-2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7.0481446672640688E-4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1.0232976989112894E-3</v>
      </c>
      <c r="E6" s="845">
        <f>vkm_GW_PW*SUMIFS(TableVerdeelsleutelVkm[LPG],TableVerdeelsleutelVkm[Voertuigtype],"Lichte voertuigen")*SUMIFS(TableECFTransport[EnergieConsumptieFactor (PJ per km)],TableECFTransport[Index],CONCATENATE($A6,"_LPG_LPG"))</f>
        <v>4.0110218677281566E-4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0.12337295309569909</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5.4465672680187316E-2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1.0945043524545051E-2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2.4098324096767424E-6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9.5976042017576535E-2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8.0983373957773084E-7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5.5107892309892506E-3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3.4268226662347544E-4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6.473779811118623E-4</v>
      </c>
      <c r="E8" s="418">
        <f>vkm_NGW_PW*SUMIFS(TableVerdeelsleutelVkm[LPG],TableVerdeelsleutelVkm[Voertuigtype],"Lichte voertuigen")*SUMIFS(TableECFTransport[EnergieConsumptieFactor (PJ per km)],TableECFTransport[Index],CONCATENATE($A8,"_LPG_LPG"))</f>
        <v>2.4233289394251528E-4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6.8547541633245557E-2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3.4018326914079175E-2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6.3475135580198716E-3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5.0441562154294178E-7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2.5870363494210461E-2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2.0460394347724155E-7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1.4854334938419582E-3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1.8891602930086267E-3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2.2344857265715707E-3</v>
      </c>
      <c r="E10" s="418">
        <f>vkm_SW_PW*SUMIFS(TableVerdeelsleutelVkm[LPG],TableVerdeelsleutelVkm[Voertuigtype],"Lichte voertuigen")*SUMIFS(TableECFTransport[EnergieConsumptieFactor (PJ per km)],TableECFTransport[Index],CONCATENATE($A10,"_LPG_LPG"))</f>
        <v>1.0798234368781499E-3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0.29769873844737499</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0.12529542915954858</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2.5975786891888435E-2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1.1748816923171559E-5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0.44034363542478816</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4.0638119347322848E-6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2.528384461907832E-2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819.81113647580571</v>
      </c>
      <c r="C14" s="21"/>
      <c r="D14" s="21">
        <f t="shared" ref="D14:M14" si="0">((D5)*10^9/3600)+D12</f>
        <v>1084.7670573874227</v>
      </c>
      <c r="E14" s="21">
        <f t="shared" si="0"/>
        <v>478.68292155374462</v>
      </c>
      <c r="F14" s="21"/>
      <c r="G14" s="21">
        <f t="shared" si="0"/>
        <v>292169.24280913739</v>
      </c>
      <c r="H14" s="21">
        <f t="shared" si="0"/>
        <v>59384.585278731356</v>
      </c>
      <c r="I14" s="21"/>
      <c r="J14" s="21"/>
      <c r="K14" s="21"/>
      <c r="L14" s="21"/>
      <c r="M14" s="21">
        <f t="shared" si="0"/>
        <v>20985.66981065636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0.19481413189897256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159.7107948736442</v>
      </c>
      <c r="C18" s="23"/>
      <c r="D18" s="23">
        <f t="shared" ref="D18:M18" si="1">D14*D16</f>
        <v>219.12294559225941</v>
      </c>
      <c r="E18" s="23">
        <f t="shared" si="1"/>
        <v>108.66102319270003</v>
      </c>
      <c r="F18" s="23"/>
      <c r="G18" s="23">
        <f t="shared" si="1"/>
        <v>78009.187830039693</v>
      </c>
      <c r="H18" s="23">
        <f t="shared" si="1"/>
        <v>14786.761734404108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1.0206531288654853E-4</v>
      </c>
      <c r="C50" s="313">
        <f t="shared" ref="C50:P50" si="2">SUM(C51:C52)</f>
        <v>0</v>
      </c>
      <c r="D50" s="313">
        <f t="shared" si="2"/>
        <v>0</v>
      </c>
      <c r="E50" s="313">
        <f t="shared" si="2"/>
        <v>0</v>
      </c>
      <c r="F50" s="313">
        <f t="shared" si="2"/>
        <v>0</v>
      </c>
      <c r="G50" s="313">
        <f t="shared" si="2"/>
        <v>6.3895972520803838E-3</v>
      </c>
      <c r="H50" s="313">
        <f t="shared" si="2"/>
        <v>0</v>
      </c>
      <c r="I50" s="313">
        <f t="shared" si="2"/>
        <v>0</v>
      </c>
      <c r="J50" s="313">
        <f t="shared" si="2"/>
        <v>0</v>
      </c>
      <c r="K50" s="313">
        <f t="shared" si="2"/>
        <v>0</v>
      </c>
      <c r="L50" s="313">
        <f t="shared" si="2"/>
        <v>0</v>
      </c>
      <c r="M50" s="313">
        <f t="shared" si="2"/>
        <v>3.6687652615836398E-4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1.0206531288654853E-4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6.3895972520803838E-3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3.6687652615836398E-4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28.351475801819038</v>
      </c>
      <c r="C54" s="21">
        <f t="shared" ref="C54:P54" si="3">(C50)*10^9/3600</f>
        <v>0</v>
      </c>
      <c r="D54" s="21">
        <f t="shared" si="3"/>
        <v>0</v>
      </c>
      <c r="E54" s="21">
        <f t="shared" si="3"/>
        <v>0</v>
      </c>
      <c r="F54" s="21">
        <f t="shared" si="3"/>
        <v>0</v>
      </c>
      <c r="G54" s="21">
        <f t="shared" si="3"/>
        <v>1774.8881255778845</v>
      </c>
      <c r="H54" s="21">
        <f t="shared" si="3"/>
        <v>0</v>
      </c>
      <c r="I54" s="21">
        <f t="shared" si="3"/>
        <v>0</v>
      </c>
      <c r="J54" s="21">
        <f t="shared" si="3"/>
        <v>0</v>
      </c>
      <c r="K54" s="21">
        <f t="shared" si="3"/>
        <v>0</v>
      </c>
      <c r="L54" s="21">
        <f t="shared" si="3"/>
        <v>0</v>
      </c>
      <c r="M54" s="21">
        <f t="shared" si="3"/>
        <v>101.9101461551011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0.19481413189897256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5.5232681463861031</v>
      </c>
      <c r="C58" s="23">
        <f t="shared" ref="C58:P58" ca="1" si="4">C54*C56</f>
        <v>0</v>
      </c>
      <c r="D58" s="23">
        <f t="shared" si="4"/>
        <v>0</v>
      </c>
      <c r="E58" s="23">
        <f t="shared" si="4"/>
        <v>0</v>
      </c>
      <c r="F58" s="23">
        <f t="shared" si="4"/>
        <v>0</v>
      </c>
      <c r="G58" s="23">
        <f t="shared" si="4"/>
        <v>473.89512952929516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8289.5789225742155</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38724.570329294198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47014.14925186841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80425.713954249892</v>
      </c>
      <c r="D10" s="643">
        <f ca="1">tertiair!C16</f>
        <v>0</v>
      </c>
      <c r="E10" s="643">
        <f ca="1">tertiair!D16</f>
        <v>107799.32436016844</v>
      </c>
      <c r="F10" s="643">
        <f>tertiair!E16</f>
        <v>398.17972278284327</v>
      </c>
      <c r="G10" s="643">
        <f ca="1">tertiair!F16</f>
        <v>13951.747761295912</v>
      </c>
      <c r="H10" s="643">
        <f>tertiair!G16</f>
        <v>0</v>
      </c>
      <c r="I10" s="643">
        <f>tertiair!H16</f>
        <v>0</v>
      </c>
      <c r="J10" s="643">
        <f>tertiair!I16</f>
        <v>0</v>
      </c>
      <c r="K10" s="643">
        <f>tertiair!J16</f>
        <v>8.1251164658956071E-2</v>
      </c>
      <c r="L10" s="643">
        <f>tertiair!K16</f>
        <v>0</v>
      </c>
      <c r="M10" s="643">
        <f ca="1">tertiair!L16</f>
        <v>0</v>
      </c>
      <c r="N10" s="643">
        <f>tertiair!M16</f>
        <v>0</v>
      </c>
      <c r="O10" s="643">
        <f ca="1">tertiair!N16</f>
        <v>3212.1890619842761</v>
      </c>
      <c r="P10" s="643">
        <f>tertiair!O16</f>
        <v>48.972607658411548</v>
      </c>
      <c r="Q10" s="644">
        <f>tertiair!P16</f>
        <v>1155.8610427428903</v>
      </c>
      <c r="R10" s="646">
        <f ca="1">SUM(C10:Q10)</f>
        <v>206992.06976204732</v>
      </c>
      <c r="S10" s="67"/>
    </row>
    <row r="11" spans="1:19" s="441" customFormat="1">
      <c r="A11" s="763" t="s">
        <v>214</v>
      </c>
      <c r="B11" s="768"/>
      <c r="C11" s="643">
        <f>huishoudens!B8</f>
        <v>65090.27023997256</v>
      </c>
      <c r="D11" s="643">
        <f>huishoudens!C8</f>
        <v>0</v>
      </c>
      <c r="E11" s="643">
        <f>huishoudens!D8</f>
        <v>130485.9009714158</v>
      </c>
      <c r="F11" s="643">
        <f>huishoudens!E8</f>
        <v>4290.4656597887515</v>
      </c>
      <c r="G11" s="643">
        <f>huishoudens!F8</f>
        <v>77722.364006898861</v>
      </c>
      <c r="H11" s="643">
        <f>huishoudens!G8</f>
        <v>0</v>
      </c>
      <c r="I11" s="643">
        <f>huishoudens!H8</f>
        <v>0</v>
      </c>
      <c r="J11" s="643">
        <f>huishoudens!I8</f>
        <v>0</v>
      </c>
      <c r="K11" s="643">
        <f>huishoudens!J8</f>
        <v>491.63273332064909</v>
      </c>
      <c r="L11" s="643">
        <f>huishoudens!K8</f>
        <v>0</v>
      </c>
      <c r="M11" s="643">
        <f>huishoudens!L8</f>
        <v>0</v>
      </c>
      <c r="N11" s="643">
        <f>huishoudens!M8</f>
        <v>0</v>
      </c>
      <c r="O11" s="643">
        <f>huishoudens!N8</f>
        <v>21492.765140042222</v>
      </c>
      <c r="P11" s="643">
        <f>huishoudens!O8</f>
        <v>1063.401605591449</v>
      </c>
      <c r="Q11" s="644">
        <f>huishoudens!P8</f>
        <v>1306.2109541529428</v>
      </c>
      <c r="R11" s="646">
        <f>SUM(C11:Q11)</f>
        <v>301943.01131118322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246076.93732811694</v>
      </c>
      <c r="D13" s="643">
        <f>industrie!C18</f>
        <v>0</v>
      </c>
      <c r="E13" s="643">
        <f>industrie!D18</f>
        <v>193232.81723309594</v>
      </c>
      <c r="F13" s="643">
        <f>industrie!E18</f>
        <v>2406.6014470254386</v>
      </c>
      <c r="G13" s="643">
        <f>industrie!F18</f>
        <v>39314.716010018157</v>
      </c>
      <c r="H13" s="643">
        <f>industrie!G18</f>
        <v>0</v>
      </c>
      <c r="I13" s="643">
        <f>industrie!H18</f>
        <v>0</v>
      </c>
      <c r="J13" s="643">
        <f>industrie!I18</f>
        <v>0</v>
      </c>
      <c r="K13" s="643">
        <f>industrie!J18</f>
        <v>3531.9875188653391</v>
      </c>
      <c r="L13" s="643">
        <f>industrie!K18</f>
        <v>0</v>
      </c>
      <c r="M13" s="643">
        <f>industrie!L18</f>
        <v>0</v>
      </c>
      <c r="N13" s="643">
        <f>industrie!M18</f>
        <v>0</v>
      </c>
      <c r="O13" s="643">
        <f>industrie!N18</f>
        <v>56907.705502790173</v>
      </c>
      <c r="P13" s="643">
        <f>industrie!O18</f>
        <v>0</v>
      </c>
      <c r="Q13" s="644">
        <f>industrie!P18</f>
        <v>0</v>
      </c>
      <c r="R13" s="646">
        <f>SUM(C13:Q13)</f>
        <v>541470.76503991196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391592.9215223394</v>
      </c>
      <c r="D16" s="679">
        <f t="shared" ref="D16:R16" ca="1" si="0">SUM(D9:D15)</f>
        <v>0</v>
      </c>
      <c r="E16" s="679">
        <f t="shared" ca="1" si="0"/>
        <v>431518.04256468016</v>
      </c>
      <c r="F16" s="679">
        <f t="shared" si="0"/>
        <v>7095.246829597033</v>
      </c>
      <c r="G16" s="679">
        <f t="shared" ca="1" si="0"/>
        <v>130988.82777821293</v>
      </c>
      <c r="H16" s="679">
        <f t="shared" si="0"/>
        <v>0</v>
      </c>
      <c r="I16" s="679">
        <f t="shared" si="0"/>
        <v>0</v>
      </c>
      <c r="J16" s="679">
        <f t="shared" si="0"/>
        <v>0</v>
      </c>
      <c r="K16" s="679">
        <f t="shared" si="0"/>
        <v>4023.7015033506473</v>
      </c>
      <c r="L16" s="679">
        <f t="shared" si="0"/>
        <v>0</v>
      </c>
      <c r="M16" s="679">
        <f t="shared" ca="1" si="0"/>
        <v>0</v>
      </c>
      <c r="N16" s="679">
        <f t="shared" si="0"/>
        <v>0</v>
      </c>
      <c r="O16" s="679">
        <f t="shared" ca="1" si="0"/>
        <v>81612.659704816673</v>
      </c>
      <c r="P16" s="679">
        <f t="shared" si="0"/>
        <v>1112.3742132498605</v>
      </c>
      <c r="Q16" s="679">
        <f t="shared" si="0"/>
        <v>2462.0719968958329</v>
      </c>
      <c r="R16" s="679">
        <f t="shared" ca="1" si="0"/>
        <v>1050405.8461131426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28.351475801819038</v>
      </c>
      <c r="D19" s="643">
        <f>transport!C54</f>
        <v>0</v>
      </c>
      <c r="E19" s="643">
        <f>transport!D54</f>
        <v>0</v>
      </c>
      <c r="F19" s="643">
        <f>transport!E54</f>
        <v>0</v>
      </c>
      <c r="G19" s="643">
        <f>transport!F54</f>
        <v>0</v>
      </c>
      <c r="H19" s="643">
        <f>transport!G54</f>
        <v>1774.8881255778845</v>
      </c>
      <c r="I19" s="643">
        <f>transport!H54</f>
        <v>0</v>
      </c>
      <c r="J19" s="643">
        <f>transport!I54</f>
        <v>0</v>
      </c>
      <c r="K19" s="643">
        <f>transport!J54</f>
        <v>0</v>
      </c>
      <c r="L19" s="643">
        <f>transport!K54</f>
        <v>0</v>
      </c>
      <c r="M19" s="643">
        <f>transport!L54</f>
        <v>0</v>
      </c>
      <c r="N19" s="643">
        <f>transport!M54</f>
        <v>101.9101461551011</v>
      </c>
      <c r="O19" s="643">
        <f>transport!N54</f>
        <v>0</v>
      </c>
      <c r="P19" s="643">
        <f>transport!O54</f>
        <v>0</v>
      </c>
      <c r="Q19" s="644">
        <f>transport!P54</f>
        <v>0</v>
      </c>
      <c r="R19" s="646">
        <f>SUM(C19:Q19)</f>
        <v>1905.1497475348046</v>
      </c>
      <c r="S19" s="67"/>
    </row>
    <row r="20" spans="1:19" s="441" customFormat="1">
      <c r="A20" s="763" t="s">
        <v>296</v>
      </c>
      <c r="B20" s="768"/>
      <c r="C20" s="643">
        <f>transport!B14</f>
        <v>819.81113647580571</v>
      </c>
      <c r="D20" s="643">
        <f>transport!C14</f>
        <v>0</v>
      </c>
      <c r="E20" s="643">
        <f>transport!D14</f>
        <v>1084.7670573874227</v>
      </c>
      <c r="F20" s="643">
        <f>transport!E14</f>
        <v>478.68292155374462</v>
      </c>
      <c r="G20" s="643">
        <f>transport!F14</f>
        <v>0</v>
      </c>
      <c r="H20" s="643">
        <f>transport!G14</f>
        <v>292169.24280913739</v>
      </c>
      <c r="I20" s="643">
        <f>transport!H14</f>
        <v>59384.585278731356</v>
      </c>
      <c r="J20" s="643">
        <f>transport!I14</f>
        <v>0</v>
      </c>
      <c r="K20" s="643">
        <f>transport!J14</f>
        <v>0</v>
      </c>
      <c r="L20" s="643">
        <f>transport!K14</f>
        <v>0</v>
      </c>
      <c r="M20" s="643">
        <f>transport!L14</f>
        <v>0</v>
      </c>
      <c r="N20" s="643">
        <f>transport!M14</f>
        <v>20985.66981065636</v>
      </c>
      <c r="O20" s="643">
        <f>transport!N14</f>
        <v>0</v>
      </c>
      <c r="P20" s="643">
        <f>transport!O14</f>
        <v>0</v>
      </c>
      <c r="Q20" s="644">
        <f>transport!P14</f>
        <v>0</v>
      </c>
      <c r="R20" s="646">
        <f>SUM(C20:Q20)</f>
        <v>374922.75901394209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848.1626122776247</v>
      </c>
      <c r="D22" s="766">
        <f t="shared" ref="D22:R22" si="1">SUM(D18:D21)</f>
        <v>0</v>
      </c>
      <c r="E22" s="766">
        <f t="shared" si="1"/>
        <v>1084.7670573874227</v>
      </c>
      <c r="F22" s="766">
        <f t="shared" si="1"/>
        <v>478.68292155374462</v>
      </c>
      <c r="G22" s="766">
        <f t="shared" si="1"/>
        <v>0</v>
      </c>
      <c r="H22" s="766">
        <f t="shared" si="1"/>
        <v>293944.13093471527</v>
      </c>
      <c r="I22" s="766">
        <f t="shared" si="1"/>
        <v>59384.585278731356</v>
      </c>
      <c r="J22" s="766">
        <f t="shared" si="1"/>
        <v>0</v>
      </c>
      <c r="K22" s="766">
        <f t="shared" si="1"/>
        <v>0</v>
      </c>
      <c r="L22" s="766">
        <f t="shared" si="1"/>
        <v>0</v>
      </c>
      <c r="M22" s="766">
        <f t="shared" si="1"/>
        <v>0</v>
      </c>
      <c r="N22" s="766">
        <f t="shared" si="1"/>
        <v>21087.57995681146</v>
      </c>
      <c r="O22" s="766">
        <f t="shared" si="1"/>
        <v>0</v>
      </c>
      <c r="P22" s="766">
        <f t="shared" si="1"/>
        <v>0</v>
      </c>
      <c r="Q22" s="766">
        <f t="shared" si="1"/>
        <v>0</v>
      </c>
      <c r="R22" s="766">
        <f t="shared" si="1"/>
        <v>376827.90876147692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1694.1168025617098</v>
      </c>
      <c r="D24" s="643">
        <f>+landbouw!C8</f>
        <v>0</v>
      </c>
      <c r="E24" s="643">
        <f>+landbouw!D8</f>
        <v>1642.9912031221936</v>
      </c>
      <c r="F24" s="643">
        <f>+landbouw!E8</f>
        <v>60.357983752285755</v>
      </c>
      <c r="G24" s="643">
        <f>+landbouw!F8</f>
        <v>5773.2310869126741</v>
      </c>
      <c r="H24" s="643">
        <f>+landbouw!G8</f>
        <v>0</v>
      </c>
      <c r="I24" s="643">
        <f>+landbouw!H8</f>
        <v>0</v>
      </c>
      <c r="J24" s="643">
        <f>+landbouw!I8</f>
        <v>0</v>
      </c>
      <c r="K24" s="643">
        <f>+landbouw!J8</f>
        <v>430.76070357152025</v>
      </c>
      <c r="L24" s="643">
        <f>+landbouw!K8</f>
        <v>0</v>
      </c>
      <c r="M24" s="643">
        <f>+landbouw!L8</f>
        <v>0</v>
      </c>
      <c r="N24" s="643">
        <f>+landbouw!M8</f>
        <v>0</v>
      </c>
      <c r="O24" s="643">
        <f>+landbouw!N8</f>
        <v>0</v>
      </c>
      <c r="P24" s="643">
        <f>+landbouw!O8</f>
        <v>0</v>
      </c>
      <c r="Q24" s="644">
        <f>+landbouw!P8</f>
        <v>0</v>
      </c>
      <c r="R24" s="646">
        <f>SUM(C24:Q24)</f>
        <v>9601.4577799203853</v>
      </c>
      <c r="S24" s="67"/>
    </row>
    <row r="25" spans="1:19" s="441" customFormat="1" ht="15" thickBot="1">
      <c r="A25" s="785" t="s">
        <v>665</v>
      </c>
      <c r="B25" s="895"/>
      <c r="C25" s="896">
        <f>IF(Onbekend_ele_kWh="---",0,Onbekend_ele_kWh)/1000+IF(REST_rest_ele_kWh="---",0,REST_rest_ele_kWh)/1000</f>
        <v>2648.55068705146</v>
      </c>
      <c r="D25" s="896"/>
      <c r="E25" s="896">
        <f>IF(onbekend_gas_kWh="---",0,onbekend_gas_kWh)/1000+IF(REST_rest_gas_kWh="---",0,REST_rest_gas_kWh)/1000</f>
        <v>4989.82827458671</v>
      </c>
      <c r="F25" s="896"/>
      <c r="G25" s="896"/>
      <c r="H25" s="896"/>
      <c r="I25" s="896"/>
      <c r="J25" s="896"/>
      <c r="K25" s="896"/>
      <c r="L25" s="896"/>
      <c r="M25" s="896"/>
      <c r="N25" s="896"/>
      <c r="O25" s="896"/>
      <c r="P25" s="896"/>
      <c r="Q25" s="897"/>
      <c r="R25" s="646">
        <f>SUM(C25:Q25)</f>
        <v>7638.37896163817</v>
      </c>
      <c r="S25" s="67"/>
    </row>
    <row r="26" spans="1:19" s="441" customFormat="1" ht="15.75" thickBot="1">
      <c r="A26" s="651" t="s">
        <v>666</v>
      </c>
      <c r="B26" s="771"/>
      <c r="C26" s="766">
        <f>SUM(C24:C25)</f>
        <v>4342.6674896131699</v>
      </c>
      <c r="D26" s="766">
        <f t="shared" ref="D26:R26" si="2">SUM(D24:D25)</f>
        <v>0</v>
      </c>
      <c r="E26" s="766">
        <f t="shared" si="2"/>
        <v>6632.8194777089038</v>
      </c>
      <c r="F26" s="766">
        <f t="shared" si="2"/>
        <v>60.357983752285755</v>
      </c>
      <c r="G26" s="766">
        <f t="shared" si="2"/>
        <v>5773.2310869126741</v>
      </c>
      <c r="H26" s="766">
        <f t="shared" si="2"/>
        <v>0</v>
      </c>
      <c r="I26" s="766">
        <f t="shared" si="2"/>
        <v>0</v>
      </c>
      <c r="J26" s="766">
        <f t="shared" si="2"/>
        <v>0</v>
      </c>
      <c r="K26" s="766">
        <f t="shared" si="2"/>
        <v>430.76070357152025</v>
      </c>
      <c r="L26" s="766">
        <f t="shared" si="2"/>
        <v>0</v>
      </c>
      <c r="M26" s="766">
        <f t="shared" si="2"/>
        <v>0</v>
      </c>
      <c r="N26" s="766">
        <f t="shared" si="2"/>
        <v>0</v>
      </c>
      <c r="O26" s="766">
        <f t="shared" si="2"/>
        <v>0</v>
      </c>
      <c r="P26" s="766">
        <f t="shared" si="2"/>
        <v>0</v>
      </c>
      <c r="Q26" s="766">
        <f t="shared" si="2"/>
        <v>0</v>
      </c>
      <c r="R26" s="766">
        <f t="shared" si="2"/>
        <v>17239.836741558556</v>
      </c>
      <c r="S26" s="67"/>
    </row>
    <row r="27" spans="1:19" s="441" customFormat="1" ht="17.25" thickTop="1" thickBot="1">
      <c r="A27" s="652" t="s">
        <v>109</v>
      </c>
      <c r="B27" s="758"/>
      <c r="C27" s="653">
        <f ca="1">C22+C16+C26</f>
        <v>396783.75162423018</v>
      </c>
      <c r="D27" s="653">
        <f t="shared" ref="D27:R27" ca="1" si="3">D22+D16+D26</f>
        <v>0</v>
      </c>
      <c r="E27" s="653">
        <f t="shared" ca="1" si="3"/>
        <v>439235.6290997765</v>
      </c>
      <c r="F27" s="653">
        <f t="shared" si="3"/>
        <v>7634.2877349030632</v>
      </c>
      <c r="G27" s="653">
        <f t="shared" ca="1" si="3"/>
        <v>136762.05886512561</v>
      </c>
      <c r="H27" s="653">
        <f t="shared" si="3"/>
        <v>293944.13093471527</v>
      </c>
      <c r="I27" s="653">
        <f t="shared" si="3"/>
        <v>59384.585278731356</v>
      </c>
      <c r="J27" s="653">
        <f t="shared" si="3"/>
        <v>0</v>
      </c>
      <c r="K27" s="653">
        <f t="shared" si="3"/>
        <v>4454.4622069221678</v>
      </c>
      <c r="L27" s="653">
        <f t="shared" si="3"/>
        <v>0</v>
      </c>
      <c r="M27" s="653">
        <f t="shared" ca="1" si="3"/>
        <v>0</v>
      </c>
      <c r="N27" s="653">
        <f t="shared" si="3"/>
        <v>21087.57995681146</v>
      </c>
      <c r="O27" s="653">
        <f t="shared" ca="1" si="3"/>
        <v>81612.659704816673</v>
      </c>
      <c r="P27" s="653">
        <f t="shared" si="3"/>
        <v>1112.3742132498605</v>
      </c>
      <c r="Q27" s="653">
        <f t="shared" si="3"/>
        <v>2462.0719968958329</v>
      </c>
      <c r="R27" s="653">
        <f t="shared" ca="1" si="3"/>
        <v>1444473.5916161779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15668.065646352276</v>
      </c>
      <c r="D40" s="643">
        <f ca="1">tertiair!C20</f>
        <v>0</v>
      </c>
      <c r="E40" s="643">
        <f ca="1">tertiair!D20</f>
        <v>21775.463520754027</v>
      </c>
      <c r="F40" s="643">
        <f>tertiair!E20</f>
        <v>90.386797071705431</v>
      </c>
      <c r="G40" s="643">
        <f ca="1">tertiair!F20</f>
        <v>3725.1166522660087</v>
      </c>
      <c r="H40" s="643">
        <f>tertiair!G20</f>
        <v>0</v>
      </c>
      <c r="I40" s="643">
        <f>tertiair!H20</f>
        <v>0</v>
      </c>
      <c r="J40" s="643">
        <f>tertiair!I20</f>
        <v>0</v>
      </c>
      <c r="K40" s="643">
        <f>tertiair!J20</f>
        <v>2.8762912289270446E-2</v>
      </c>
      <c r="L40" s="643">
        <f>tertiair!K20</f>
        <v>0</v>
      </c>
      <c r="M40" s="643">
        <f ca="1">tertiair!L20</f>
        <v>0</v>
      </c>
      <c r="N40" s="643">
        <f>tertiair!M20</f>
        <v>0</v>
      </c>
      <c r="O40" s="643">
        <f ca="1">tertiair!N20</f>
        <v>0</v>
      </c>
      <c r="P40" s="643">
        <f>tertiair!O20</f>
        <v>0</v>
      </c>
      <c r="Q40" s="726">
        <f>tertiair!P20</f>
        <v>0</v>
      </c>
      <c r="R40" s="804">
        <f t="shared" ca="1" si="4"/>
        <v>41259.061379356302</v>
      </c>
    </row>
    <row r="41" spans="1:18">
      <c r="A41" s="776" t="s">
        <v>214</v>
      </c>
      <c r="B41" s="783"/>
      <c r="C41" s="643">
        <f ca="1">huishoudens!B12</f>
        <v>12680.504491869782</v>
      </c>
      <c r="D41" s="643">
        <f ca="1">huishoudens!C12</f>
        <v>0</v>
      </c>
      <c r="E41" s="643">
        <f>huishoudens!D12</f>
        <v>26358.151996225995</v>
      </c>
      <c r="F41" s="643">
        <f>huishoudens!E12</f>
        <v>973.93570477204662</v>
      </c>
      <c r="G41" s="643">
        <f>huishoudens!F12</f>
        <v>20751.871189841997</v>
      </c>
      <c r="H41" s="643">
        <f>huishoudens!G12</f>
        <v>0</v>
      </c>
      <c r="I41" s="643">
        <f>huishoudens!H12</f>
        <v>0</v>
      </c>
      <c r="J41" s="643">
        <f>huishoudens!I12</f>
        <v>0</v>
      </c>
      <c r="K41" s="643">
        <f>huishoudens!J12</f>
        <v>174.03798759550978</v>
      </c>
      <c r="L41" s="643">
        <f>huishoudens!K12</f>
        <v>0</v>
      </c>
      <c r="M41" s="643">
        <f>huishoudens!L12</f>
        <v>0</v>
      </c>
      <c r="N41" s="643">
        <f>huishoudens!M12</f>
        <v>0</v>
      </c>
      <c r="O41" s="643">
        <f>huishoudens!N12</f>
        <v>0</v>
      </c>
      <c r="P41" s="643">
        <f>huishoudens!O12</f>
        <v>0</v>
      </c>
      <c r="Q41" s="726">
        <f>huishoudens!P12</f>
        <v>0</v>
      </c>
      <c r="R41" s="804">
        <f t="shared" ca="1" si="4"/>
        <v>60938.501370305326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47939.264925934978</v>
      </c>
      <c r="D43" s="643">
        <f ca="1">industrie!C22</f>
        <v>0</v>
      </c>
      <c r="E43" s="643">
        <f>industrie!D22</f>
        <v>39033.029081085384</v>
      </c>
      <c r="F43" s="643">
        <f>industrie!E22</f>
        <v>546.29852847477457</v>
      </c>
      <c r="G43" s="643">
        <f>industrie!F22</f>
        <v>10497.029174674848</v>
      </c>
      <c r="H43" s="643">
        <f>industrie!G22</f>
        <v>0</v>
      </c>
      <c r="I43" s="643">
        <f>industrie!H22</f>
        <v>0</v>
      </c>
      <c r="J43" s="643">
        <f>industrie!I22</f>
        <v>0</v>
      </c>
      <c r="K43" s="643">
        <f>industrie!J22</f>
        <v>1250.3235816783299</v>
      </c>
      <c r="L43" s="643">
        <f>industrie!K22</f>
        <v>0</v>
      </c>
      <c r="M43" s="643">
        <f>industrie!L22</f>
        <v>0</v>
      </c>
      <c r="N43" s="643">
        <f>industrie!M22</f>
        <v>0</v>
      </c>
      <c r="O43" s="643">
        <f>industrie!N22</f>
        <v>0</v>
      </c>
      <c r="P43" s="643">
        <f>industrie!O22</f>
        <v>0</v>
      </c>
      <c r="Q43" s="726">
        <f>industrie!P22</f>
        <v>0</v>
      </c>
      <c r="R43" s="803">
        <f t="shared" ca="1" si="4"/>
        <v>99265.9452918483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76287.835064157029</v>
      </c>
      <c r="D46" s="679">
        <f t="shared" ref="D46:Q46" ca="1" si="5">SUM(D39:D45)</f>
        <v>0</v>
      </c>
      <c r="E46" s="679">
        <f t="shared" ca="1" si="5"/>
        <v>87166.64459806541</v>
      </c>
      <c r="F46" s="679">
        <f t="shared" si="5"/>
        <v>1610.6210303185267</v>
      </c>
      <c r="G46" s="679">
        <f t="shared" ca="1" si="5"/>
        <v>34974.017016782855</v>
      </c>
      <c r="H46" s="679">
        <f t="shared" si="5"/>
        <v>0</v>
      </c>
      <c r="I46" s="679">
        <f t="shared" si="5"/>
        <v>0</v>
      </c>
      <c r="J46" s="679">
        <f t="shared" si="5"/>
        <v>0</v>
      </c>
      <c r="K46" s="679">
        <f t="shared" si="5"/>
        <v>1424.3903321861289</v>
      </c>
      <c r="L46" s="679">
        <f t="shared" si="5"/>
        <v>0</v>
      </c>
      <c r="M46" s="679">
        <f t="shared" ca="1" si="5"/>
        <v>0</v>
      </c>
      <c r="N46" s="679">
        <f t="shared" si="5"/>
        <v>0</v>
      </c>
      <c r="O46" s="679">
        <f t="shared" ca="1" si="5"/>
        <v>0</v>
      </c>
      <c r="P46" s="679">
        <f t="shared" si="5"/>
        <v>0</v>
      </c>
      <c r="Q46" s="679">
        <f t="shared" si="5"/>
        <v>0</v>
      </c>
      <c r="R46" s="679">
        <f ca="1">SUM(R39:R45)</f>
        <v>201463.50804150992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5.5232681463861031</v>
      </c>
      <c r="D49" s="643">
        <f ca="1">transport!C58</f>
        <v>0</v>
      </c>
      <c r="E49" s="643">
        <f>transport!D58</f>
        <v>0</v>
      </c>
      <c r="F49" s="643">
        <f>transport!E58</f>
        <v>0</v>
      </c>
      <c r="G49" s="643">
        <f>transport!F58</f>
        <v>0</v>
      </c>
      <c r="H49" s="643">
        <f>transport!G58</f>
        <v>473.89512952929516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479.41839767568126</v>
      </c>
    </row>
    <row r="50" spans="1:18">
      <c r="A50" s="779" t="s">
        <v>296</v>
      </c>
      <c r="B50" s="789"/>
      <c r="C50" s="649">
        <f ca="1">transport!B18</f>
        <v>159.7107948736442</v>
      </c>
      <c r="D50" s="649">
        <f>transport!C18</f>
        <v>0</v>
      </c>
      <c r="E50" s="649">
        <f>transport!D18</f>
        <v>219.12294559225941</v>
      </c>
      <c r="F50" s="649">
        <f>transport!E18</f>
        <v>108.66102319270003</v>
      </c>
      <c r="G50" s="649">
        <f>transport!F18</f>
        <v>0</v>
      </c>
      <c r="H50" s="649">
        <f>transport!G18</f>
        <v>78009.187830039693</v>
      </c>
      <c r="I50" s="649">
        <f>transport!H18</f>
        <v>14786.761734404108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93283.4443281024</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165.23406302003031</v>
      </c>
      <c r="D52" s="679">
        <f t="shared" ref="D52:Q52" ca="1" si="6">SUM(D48:D51)</f>
        <v>0</v>
      </c>
      <c r="E52" s="679">
        <f t="shared" si="6"/>
        <v>219.12294559225941</v>
      </c>
      <c r="F52" s="679">
        <f t="shared" si="6"/>
        <v>108.66102319270003</v>
      </c>
      <c r="G52" s="679">
        <f t="shared" si="6"/>
        <v>0</v>
      </c>
      <c r="H52" s="679">
        <f t="shared" si="6"/>
        <v>78483.082959568987</v>
      </c>
      <c r="I52" s="679">
        <f t="shared" si="6"/>
        <v>14786.761734404108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93762.862725778075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330.03789422652261</v>
      </c>
      <c r="D54" s="649">
        <f ca="1">+landbouw!C12</f>
        <v>0</v>
      </c>
      <c r="E54" s="649">
        <f>+landbouw!D12</f>
        <v>331.88422303068313</v>
      </c>
      <c r="F54" s="649">
        <f>+landbouw!E12</f>
        <v>13.701262311768867</v>
      </c>
      <c r="G54" s="649">
        <f>+landbouw!F12</f>
        <v>1541.4527002056841</v>
      </c>
      <c r="H54" s="649">
        <f>+landbouw!G12</f>
        <v>0</v>
      </c>
      <c r="I54" s="649">
        <f>+landbouw!H12</f>
        <v>0</v>
      </c>
      <c r="J54" s="649">
        <f>+landbouw!I12</f>
        <v>0</v>
      </c>
      <c r="K54" s="649">
        <f>+landbouw!J12</f>
        <v>152.48928906431817</v>
      </c>
      <c r="L54" s="649">
        <f>+landbouw!K12</f>
        <v>0</v>
      </c>
      <c r="M54" s="649">
        <f>+landbouw!L12</f>
        <v>0</v>
      </c>
      <c r="N54" s="649">
        <f>+landbouw!M12</f>
        <v>0</v>
      </c>
      <c r="O54" s="649">
        <f>+landbouw!N12</f>
        <v>0</v>
      </c>
      <c r="P54" s="649">
        <f>+landbouw!O12</f>
        <v>0</v>
      </c>
      <c r="Q54" s="650">
        <f>+landbouw!P12</f>
        <v>0</v>
      </c>
      <c r="R54" s="678">
        <f ca="1">SUM(C54:Q54)</f>
        <v>2369.5653688389771</v>
      </c>
    </row>
    <row r="55" spans="1:18" ht="15" thickBot="1">
      <c r="A55" s="779" t="s">
        <v>665</v>
      </c>
      <c r="B55" s="789"/>
      <c r="C55" s="649">
        <f ca="1">C25*'EF ele_warmte'!B12</f>
        <v>515.97510288835758</v>
      </c>
      <c r="D55" s="649"/>
      <c r="E55" s="649">
        <f>E25*EF_CO2_aardgas</f>
        <v>1007.9453114665155</v>
      </c>
      <c r="F55" s="649"/>
      <c r="G55" s="649"/>
      <c r="H55" s="649"/>
      <c r="I55" s="649"/>
      <c r="J55" s="649"/>
      <c r="K55" s="649"/>
      <c r="L55" s="649"/>
      <c r="M55" s="649"/>
      <c r="N55" s="649"/>
      <c r="O55" s="649"/>
      <c r="P55" s="649"/>
      <c r="Q55" s="650"/>
      <c r="R55" s="678">
        <f ca="1">SUM(C55:Q55)</f>
        <v>1523.9204143548732</v>
      </c>
    </row>
    <row r="56" spans="1:18" ht="15.75" thickBot="1">
      <c r="A56" s="777" t="s">
        <v>666</v>
      </c>
      <c r="B56" s="790"/>
      <c r="C56" s="679">
        <f ca="1">SUM(C54:C55)</f>
        <v>846.01299711488014</v>
      </c>
      <c r="D56" s="679">
        <f t="shared" ref="D56:Q56" ca="1" si="7">SUM(D54:D55)</f>
        <v>0</v>
      </c>
      <c r="E56" s="679">
        <f t="shared" si="7"/>
        <v>1339.8295344971987</v>
      </c>
      <c r="F56" s="679">
        <f t="shared" si="7"/>
        <v>13.701262311768867</v>
      </c>
      <c r="G56" s="679">
        <f t="shared" si="7"/>
        <v>1541.4527002056841</v>
      </c>
      <c r="H56" s="679">
        <f t="shared" si="7"/>
        <v>0</v>
      </c>
      <c r="I56" s="679">
        <f t="shared" si="7"/>
        <v>0</v>
      </c>
      <c r="J56" s="679">
        <f t="shared" si="7"/>
        <v>0</v>
      </c>
      <c r="K56" s="679">
        <f t="shared" si="7"/>
        <v>152.48928906431817</v>
      </c>
      <c r="L56" s="679">
        <f t="shared" si="7"/>
        <v>0</v>
      </c>
      <c r="M56" s="679">
        <f t="shared" si="7"/>
        <v>0</v>
      </c>
      <c r="N56" s="679">
        <f t="shared" si="7"/>
        <v>0</v>
      </c>
      <c r="O56" s="679">
        <f t="shared" si="7"/>
        <v>0</v>
      </c>
      <c r="P56" s="679">
        <f t="shared" si="7"/>
        <v>0</v>
      </c>
      <c r="Q56" s="680">
        <f t="shared" si="7"/>
        <v>0</v>
      </c>
      <c r="R56" s="681">
        <f ca="1">SUM(R54:R55)</f>
        <v>3893.4857831938502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77299.082124291948</v>
      </c>
      <c r="D61" s="687">
        <f t="shared" ref="D61:Q61" ca="1" si="8">D46+D52+D56</f>
        <v>0</v>
      </c>
      <c r="E61" s="687">
        <f t="shared" ca="1" si="8"/>
        <v>88725.597078154868</v>
      </c>
      <c r="F61" s="687">
        <f t="shared" si="8"/>
        <v>1732.9833158229956</v>
      </c>
      <c r="G61" s="687">
        <f t="shared" ca="1" si="8"/>
        <v>36515.46971698854</v>
      </c>
      <c r="H61" s="687">
        <f t="shared" si="8"/>
        <v>78483.082959568987</v>
      </c>
      <c r="I61" s="687">
        <f t="shared" si="8"/>
        <v>14786.761734404108</v>
      </c>
      <c r="J61" s="687">
        <f t="shared" si="8"/>
        <v>0</v>
      </c>
      <c r="K61" s="687">
        <f t="shared" si="8"/>
        <v>1576.8796212504471</v>
      </c>
      <c r="L61" s="687">
        <f t="shared" si="8"/>
        <v>0</v>
      </c>
      <c r="M61" s="687">
        <f t="shared" ca="1" si="8"/>
        <v>0</v>
      </c>
      <c r="N61" s="687">
        <f t="shared" si="8"/>
        <v>0</v>
      </c>
      <c r="O61" s="687">
        <f t="shared" ca="1" si="8"/>
        <v>0</v>
      </c>
      <c r="P61" s="687">
        <f t="shared" si="8"/>
        <v>0</v>
      </c>
      <c r="Q61" s="687">
        <f t="shared" si="8"/>
        <v>0</v>
      </c>
      <c r="R61" s="687">
        <f ca="1">R46+R52+R56</f>
        <v>299119.85655048187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0.19481413189897256</v>
      </c>
      <c r="D63" s="733">
        <f t="shared" ca="1" si="9"/>
        <v>0</v>
      </c>
      <c r="E63" s="921">
        <f t="shared" ca="1" si="9"/>
        <v>0.20200000000000004</v>
      </c>
      <c r="F63" s="733">
        <f t="shared" si="9"/>
        <v>0.22700000000000004</v>
      </c>
      <c r="G63" s="733">
        <f t="shared" ca="1" si="9"/>
        <v>0.26700000000000002</v>
      </c>
      <c r="H63" s="733">
        <f t="shared" si="9"/>
        <v>0.26700000000000002</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8289.5789225742155</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38724.570329294198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47014.14925186841</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65090.27023997256</v>
      </c>
      <c r="C4" s="445">
        <f>huishoudens!C8</f>
        <v>0</v>
      </c>
      <c r="D4" s="445">
        <f>huishoudens!D8</f>
        <v>130485.9009714158</v>
      </c>
      <c r="E4" s="445">
        <f>huishoudens!E8</f>
        <v>4290.4656597887515</v>
      </c>
      <c r="F4" s="445">
        <f>huishoudens!F8</f>
        <v>77722.364006898861</v>
      </c>
      <c r="G4" s="445">
        <f>huishoudens!G8</f>
        <v>0</v>
      </c>
      <c r="H4" s="445">
        <f>huishoudens!H8</f>
        <v>0</v>
      </c>
      <c r="I4" s="445">
        <f>huishoudens!I8</f>
        <v>0</v>
      </c>
      <c r="J4" s="445">
        <f>huishoudens!J8</f>
        <v>491.63273332064909</v>
      </c>
      <c r="K4" s="445">
        <f>huishoudens!K8</f>
        <v>0</v>
      </c>
      <c r="L4" s="445">
        <f>huishoudens!L8</f>
        <v>0</v>
      </c>
      <c r="M4" s="445">
        <f>huishoudens!M8</f>
        <v>0</v>
      </c>
      <c r="N4" s="445">
        <f>huishoudens!N8</f>
        <v>21492.765140042222</v>
      </c>
      <c r="O4" s="445">
        <f>huishoudens!O8</f>
        <v>1063.401605591449</v>
      </c>
      <c r="P4" s="446">
        <f>huishoudens!P8</f>
        <v>1306.2109541529428</v>
      </c>
      <c r="Q4" s="447">
        <f>SUM(B4:P4)</f>
        <v>301943.01131118322</v>
      </c>
    </row>
    <row r="5" spans="1:17">
      <c r="A5" s="444" t="s">
        <v>149</v>
      </c>
      <c r="B5" s="445">
        <f ca="1">tertiair!B16</f>
        <v>77692.946954249885</v>
      </c>
      <c r="C5" s="445">
        <f ca="1">tertiair!C16</f>
        <v>0</v>
      </c>
      <c r="D5" s="445">
        <f ca="1">tertiair!D16</f>
        <v>107799.32436016844</v>
      </c>
      <c r="E5" s="445">
        <f>tertiair!E16</f>
        <v>398.17972278284327</v>
      </c>
      <c r="F5" s="445">
        <f ca="1">tertiair!F16</f>
        <v>13951.747761295912</v>
      </c>
      <c r="G5" s="445">
        <f>tertiair!G16</f>
        <v>0</v>
      </c>
      <c r="H5" s="445">
        <f>tertiair!H16</f>
        <v>0</v>
      </c>
      <c r="I5" s="445">
        <f>tertiair!I16</f>
        <v>0</v>
      </c>
      <c r="J5" s="445">
        <f>tertiair!J16</f>
        <v>8.1251164658956071E-2</v>
      </c>
      <c r="K5" s="445">
        <f>tertiair!K16</f>
        <v>0</v>
      </c>
      <c r="L5" s="445">
        <f ca="1">tertiair!L16</f>
        <v>0</v>
      </c>
      <c r="M5" s="445">
        <f>tertiair!M16</f>
        <v>0</v>
      </c>
      <c r="N5" s="445">
        <f ca="1">tertiair!N16</f>
        <v>3212.1890619842761</v>
      </c>
      <c r="O5" s="445">
        <f>tertiair!O16</f>
        <v>48.972607658411548</v>
      </c>
      <c r="P5" s="446">
        <f>tertiair!P16</f>
        <v>1155.8610427428903</v>
      </c>
      <c r="Q5" s="444">
        <f t="shared" ref="Q5:Q14" ca="1" si="0">SUM(B5:P5)</f>
        <v>204259.3027620473</v>
      </c>
    </row>
    <row r="6" spans="1:17">
      <c r="A6" s="444" t="s">
        <v>187</v>
      </c>
      <c r="B6" s="445">
        <f>'openbare verlichting'!B8</f>
        <v>2732.7669999999998</v>
      </c>
      <c r="C6" s="445"/>
      <c r="D6" s="445"/>
      <c r="E6" s="445"/>
      <c r="F6" s="445"/>
      <c r="G6" s="445"/>
      <c r="H6" s="445"/>
      <c r="I6" s="445"/>
      <c r="J6" s="445"/>
      <c r="K6" s="445"/>
      <c r="L6" s="445"/>
      <c r="M6" s="445"/>
      <c r="N6" s="445"/>
      <c r="O6" s="445"/>
      <c r="P6" s="446"/>
      <c r="Q6" s="444">
        <f t="shared" si="0"/>
        <v>2732.7669999999998</v>
      </c>
    </row>
    <row r="7" spans="1:17">
      <c r="A7" s="444" t="s">
        <v>105</v>
      </c>
      <c r="B7" s="445">
        <f>landbouw!B8</f>
        <v>1694.1168025617098</v>
      </c>
      <c r="C7" s="445">
        <f>landbouw!C8</f>
        <v>0</v>
      </c>
      <c r="D7" s="445">
        <f>landbouw!D8</f>
        <v>1642.9912031221936</v>
      </c>
      <c r="E7" s="445">
        <f>landbouw!E8</f>
        <v>60.357983752285755</v>
      </c>
      <c r="F7" s="445">
        <f>landbouw!F8</f>
        <v>5773.2310869126741</v>
      </c>
      <c r="G7" s="445">
        <f>landbouw!G8</f>
        <v>0</v>
      </c>
      <c r="H7" s="445">
        <f>landbouw!H8</f>
        <v>0</v>
      </c>
      <c r="I7" s="445">
        <f>landbouw!I8</f>
        <v>0</v>
      </c>
      <c r="J7" s="445">
        <f>landbouw!J8</f>
        <v>430.76070357152025</v>
      </c>
      <c r="K7" s="445">
        <f>landbouw!K8</f>
        <v>0</v>
      </c>
      <c r="L7" s="445">
        <f>landbouw!L8</f>
        <v>0</v>
      </c>
      <c r="M7" s="445">
        <f>landbouw!M8</f>
        <v>0</v>
      </c>
      <c r="N7" s="445">
        <f>landbouw!N8</f>
        <v>0</v>
      </c>
      <c r="O7" s="445">
        <f>landbouw!O8</f>
        <v>0</v>
      </c>
      <c r="P7" s="446">
        <f>landbouw!P8</f>
        <v>0</v>
      </c>
      <c r="Q7" s="444">
        <f t="shared" si="0"/>
        <v>9601.4577799203853</v>
      </c>
    </row>
    <row r="8" spans="1:17">
      <c r="A8" s="444" t="s">
        <v>586</v>
      </c>
      <c r="B8" s="445">
        <f>industrie!B18</f>
        <v>246076.93732811694</v>
      </c>
      <c r="C8" s="445">
        <f>industrie!C18</f>
        <v>0</v>
      </c>
      <c r="D8" s="445">
        <f>industrie!D18</f>
        <v>193232.81723309594</v>
      </c>
      <c r="E8" s="445">
        <f>industrie!E18</f>
        <v>2406.6014470254386</v>
      </c>
      <c r="F8" s="445">
        <f>industrie!F18</f>
        <v>39314.716010018157</v>
      </c>
      <c r="G8" s="445">
        <f>industrie!G18</f>
        <v>0</v>
      </c>
      <c r="H8" s="445">
        <f>industrie!H18</f>
        <v>0</v>
      </c>
      <c r="I8" s="445">
        <f>industrie!I18</f>
        <v>0</v>
      </c>
      <c r="J8" s="445">
        <f>industrie!J18</f>
        <v>3531.9875188653391</v>
      </c>
      <c r="K8" s="445">
        <f>industrie!K18</f>
        <v>0</v>
      </c>
      <c r="L8" s="445">
        <f>industrie!L18</f>
        <v>0</v>
      </c>
      <c r="M8" s="445">
        <f>industrie!M18</f>
        <v>0</v>
      </c>
      <c r="N8" s="445">
        <f>industrie!N18</f>
        <v>56907.705502790173</v>
      </c>
      <c r="O8" s="445">
        <f>industrie!O18</f>
        <v>0</v>
      </c>
      <c r="P8" s="446">
        <f>industrie!P18</f>
        <v>0</v>
      </c>
      <c r="Q8" s="444">
        <f t="shared" si="0"/>
        <v>541470.76503991196</v>
      </c>
    </row>
    <row r="9" spans="1:17" s="450" customFormat="1">
      <c r="A9" s="448" t="s">
        <v>535</v>
      </c>
      <c r="B9" s="449">
        <f>transport!B14</f>
        <v>819.81113647580571</v>
      </c>
      <c r="C9" s="449">
        <f>transport!C14</f>
        <v>0</v>
      </c>
      <c r="D9" s="449">
        <f>transport!D14</f>
        <v>1084.7670573874227</v>
      </c>
      <c r="E9" s="449">
        <f>transport!E14</f>
        <v>478.68292155374462</v>
      </c>
      <c r="F9" s="449">
        <f>transport!F14</f>
        <v>0</v>
      </c>
      <c r="G9" s="449">
        <f>transport!G14</f>
        <v>292169.24280913739</v>
      </c>
      <c r="H9" s="449">
        <f>transport!H14</f>
        <v>59384.585278731356</v>
      </c>
      <c r="I9" s="449">
        <f>transport!I14</f>
        <v>0</v>
      </c>
      <c r="J9" s="449">
        <f>transport!J14</f>
        <v>0</v>
      </c>
      <c r="K9" s="449">
        <f>transport!K14</f>
        <v>0</v>
      </c>
      <c r="L9" s="449">
        <f>transport!L14</f>
        <v>0</v>
      </c>
      <c r="M9" s="449">
        <f>transport!M14</f>
        <v>20985.66981065636</v>
      </c>
      <c r="N9" s="449">
        <f>transport!N14</f>
        <v>0</v>
      </c>
      <c r="O9" s="449">
        <f>transport!O14</f>
        <v>0</v>
      </c>
      <c r="P9" s="449">
        <f>transport!P14</f>
        <v>0</v>
      </c>
      <c r="Q9" s="448">
        <f>SUM(B9:P9)</f>
        <v>374922.75901394209</v>
      </c>
    </row>
    <row r="10" spans="1:17">
      <c r="A10" s="444" t="s">
        <v>525</v>
      </c>
      <c r="B10" s="445">
        <f>transport!B54</f>
        <v>28.351475801819038</v>
      </c>
      <c r="C10" s="445">
        <f>transport!C54</f>
        <v>0</v>
      </c>
      <c r="D10" s="445">
        <f>transport!D54</f>
        <v>0</v>
      </c>
      <c r="E10" s="445">
        <f>transport!E54</f>
        <v>0</v>
      </c>
      <c r="F10" s="445">
        <f>transport!F54</f>
        <v>0</v>
      </c>
      <c r="G10" s="445">
        <f>transport!G54</f>
        <v>1774.8881255778845</v>
      </c>
      <c r="H10" s="445">
        <f>transport!H54</f>
        <v>0</v>
      </c>
      <c r="I10" s="445">
        <f>transport!I54</f>
        <v>0</v>
      </c>
      <c r="J10" s="445">
        <f>transport!J54</f>
        <v>0</v>
      </c>
      <c r="K10" s="445">
        <f>transport!K54</f>
        <v>0</v>
      </c>
      <c r="L10" s="445">
        <f>transport!L54</f>
        <v>0</v>
      </c>
      <c r="M10" s="445">
        <f>transport!M54</f>
        <v>101.9101461551011</v>
      </c>
      <c r="N10" s="445">
        <f>transport!N54</f>
        <v>0</v>
      </c>
      <c r="O10" s="445">
        <f>transport!O54</f>
        <v>0</v>
      </c>
      <c r="P10" s="446">
        <f>transport!P54</f>
        <v>0</v>
      </c>
      <c r="Q10" s="444">
        <f t="shared" si="0"/>
        <v>1905.1497475348046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2648.55068705146</v>
      </c>
      <c r="C14" s="452"/>
      <c r="D14" s="452">
        <f>'SEAP template'!E25</f>
        <v>4989.82827458671</v>
      </c>
      <c r="E14" s="452"/>
      <c r="F14" s="452"/>
      <c r="G14" s="452"/>
      <c r="H14" s="452"/>
      <c r="I14" s="452"/>
      <c r="J14" s="452"/>
      <c r="K14" s="452"/>
      <c r="L14" s="452"/>
      <c r="M14" s="452"/>
      <c r="N14" s="452"/>
      <c r="O14" s="452"/>
      <c r="P14" s="453"/>
      <c r="Q14" s="444">
        <f t="shared" si="0"/>
        <v>7638.37896163817</v>
      </c>
    </row>
    <row r="15" spans="1:17" s="456" customFormat="1">
      <c r="A15" s="454" t="s">
        <v>529</v>
      </c>
      <c r="B15" s="455">
        <f ca="1">SUM(B4:B14)</f>
        <v>396783.75162423018</v>
      </c>
      <c r="C15" s="455">
        <f t="shared" ref="C15:Q15" ca="1" si="1">SUM(C4:C14)</f>
        <v>0</v>
      </c>
      <c r="D15" s="455">
        <f t="shared" ca="1" si="1"/>
        <v>439235.6290997765</v>
      </c>
      <c r="E15" s="455">
        <f t="shared" si="1"/>
        <v>7634.2877349030632</v>
      </c>
      <c r="F15" s="455">
        <f t="shared" ca="1" si="1"/>
        <v>136762.05886512561</v>
      </c>
      <c r="G15" s="455">
        <f t="shared" si="1"/>
        <v>293944.13093471527</v>
      </c>
      <c r="H15" s="455">
        <f t="shared" si="1"/>
        <v>59384.585278731356</v>
      </c>
      <c r="I15" s="455">
        <f t="shared" si="1"/>
        <v>0</v>
      </c>
      <c r="J15" s="455">
        <f t="shared" si="1"/>
        <v>4454.4622069221678</v>
      </c>
      <c r="K15" s="455">
        <f t="shared" si="1"/>
        <v>0</v>
      </c>
      <c r="L15" s="455">
        <f t="shared" ca="1" si="1"/>
        <v>0</v>
      </c>
      <c r="M15" s="455">
        <f t="shared" si="1"/>
        <v>21087.57995681146</v>
      </c>
      <c r="N15" s="455">
        <f t="shared" ca="1" si="1"/>
        <v>81612.659704816673</v>
      </c>
      <c r="O15" s="455">
        <f t="shared" si="1"/>
        <v>1112.3742132498605</v>
      </c>
      <c r="P15" s="455">
        <f t="shared" si="1"/>
        <v>2462.0719968958329</v>
      </c>
      <c r="Q15" s="455">
        <f t="shared" ca="1" si="1"/>
        <v>1444473.5916161777</v>
      </c>
    </row>
    <row r="17" spans="1:17">
      <c r="A17" s="457" t="s">
        <v>530</v>
      </c>
      <c r="B17" s="738">
        <f ca="1">huishoudens!B10</f>
        <v>0.19481413189897256</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12680.504491869782</v>
      </c>
      <c r="C22" s="445">
        <f t="shared" ref="C22:C32" ca="1" si="3">C4*$C$17</f>
        <v>0</v>
      </c>
      <c r="D22" s="445">
        <f t="shared" ref="D22:D32" si="4">D4*$D$17</f>
        <v>26358.151996225995</v>
      </c>
      <c r="E22" s="445">
        <f t="shared" ref="E22:E32" si="5">E4*$E$17</f>
        <v>973.93570477204662</v>
      </c>
      <c r="F22" s="445">
        <f t="shared" ref="F22:F32" si="6">F4*$F$17</f>
        <v>20751.871189841997</v>
      </c>
      <c r="G22" s="445">
        <f t="shared" ref="G22:G32" si="7">G4*$G$17</f>
        <v>0</v>
      </c>
      <c r="H22" s="445">
        <f t="shared" ref="H22:H32" si="8">H4*$H$17</f>
        <v>0</v>
      </c>
      <c r="I22" s="445">
        <f t="shared" ref="I22:I32" si="9">I4*$I$17</f>
        <v>0</v>
      </c>
      <c r="J22" s="445">
        <f t="shared" ref="J22:J32" si="10">J4*$J$17</f>
        <v>174.03798759550978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60938.501370305326</v>
      </c>
    </row>
    <row r="23" spans="1:17">
      <c r="A23" s="444" t="s">
        <v>149</v>
      </c>
      <c r="B23" s="445">
        <f t="shared" ca="1" si="2"/>
        <v>15135.684015565115</v>
      </c>
      <c r="C23" s="445">
        <f t="shared" ca="1" si="3"/>
        <v>0</v>
      </c>
      <c r="D23" s="445">
        <f t="shared" ca="1" si="4"/>
        <v>21775.463520754027</v>
      </c>
      <c r="E23" s="445">
        <f t="shared" si="5"/>
        <v>90.386797071705431</v>
      </c>
      <c r="F23" s="445">
        <f t="shared" ca="1" si="6"/>
        <v>3725.1166522660087</v>
      </c>
      <c r="G23" s="445">
        <f t="shared" si="7"/>
        <v>0</v>
      </c>
      <c r="H23" s="445">
        <f t="shared" si="8"/>
        <v>0</v>
      </c>
      <c r="I23" s="445">
        <f t="shared" si="9"/>
        <v>0</v>
      </c>
      <c r="J23" s="445">
        <f t="shared" si="10"/>
        <v>2.8762912289270446E-2</v>
      </c>
      <c r="K23" s="445">
        <f t="shared" si="11"/>
        <v>0</v>
      </c>
      <c r="L23" s="445">
        <f t="shared" ca="1" si="12"/>
        <v>0</v>
      </c>
      <c r="M23" s="445">
        <f t="shared" si="13"/>
        <v>0</v>
      </c>
      <c r="N23" s="445">
        <f t="shared" ca="1" si="14"/>
        <v>0</v>
      </c>
      <c r="O23" s="445">
        <f t="shared" si="15"/>
        <v>0</v>
      </c>
      <c r="P23" s="446">
        <f t="shared" si="16"/>
        <v>0</v>
      </c>
      <c r="Q23" s="444">
        <f t="shared" ref="Q23:Q31" ca="1" si="17">SUM(B23:P23)</f>
        <v>40726.679748569142</v>
      </c>
    </row>
    <row r="24" spans="1:17">
      <c r="A24" s="444" t="s">
        <v>187</v>
      </c>
      <c r="B24" s="445">
        <f t="shared" ca="1" si="2"/>
        <v>532.38163078715957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532.38163078715957</v>
      </c>
    </row>
    <row r="25" spans="1:17">
      <c r="A25" s="444" t="s">
        <v>105</v>
      </c>
      <c r="B25" s="445">
        <f t="shared" ca="1" si="2"/>
        <v>330.03789422652261</v>
      </c>
      <c r="C25" s="445">
        <f t="shared" ca="1" si="3"/>
        <v>0</v>
      </c>
      <c r="D25" s="445">
        <f t="shared" si="4"/>
        <v>331.88422303068313</v>
      </c>
      <c r="E25" s="445">
        <f t="shared" si="5"/>
        <v>13.701262311768867</v>
      </c>
      <c r="F25" s="445">
        <f t="shared" si="6"/>
        <v>1541.4527002056841</v>
      </c>
      <c r="G25" s="445">
        <f t="shared" si="7"/>
        <v>0</v>
      </c>
      <c r="H25" s="445">
        <f t="shared" si="8"/>
        <v>0</v>
      </c>
      <c r="I25" s="445">
        <f t="shared" si="9"/>
        <v>0</v>
      </c>
      <c r="J25" s="445">
        <f t="shared" si="10"/>
        <v>152.48928906431817</v>
      </c>
      <c r="K25" s="445">
        <f t="shared" si="11"/>
        <v>0</v>
      </c>
      <c r="L25" s="445">
        <f t="shared" si="12"/>
        <v>0</v>
      </c>
      <c r="M25" s="445">
        <f t="shared" si="13"/>
        <v>0</v>
      </c>
      <c r="N25" s="445">
        <f t="shared" si="14"/>
        <v>0</v>
      </c>
      <c r="O25" s="445">
        <f t="shared" si="15"/>
        <v>0</v>
      </c>
      <c r="P25" s="446">
        <f t="shared" si="16"/>
        <v>0</v>
      </c>
      <c r="Q25" s="444">
        <f t="shared" ca="1" si="17"/>
        <v>2369.5653688389771</v>
      </c>
    </row>
    <row r="26" spans="1:17">
      <c r="A26" s="444" t="s">
        <v>586</v>
      </c>
      <c r="B26" s="445">
        <f t="shared" ca="1" si="2"/>
        <v>47939.264925934978</v>
      </c>
      <c r="C26" s="445">
        <f t="shared" ca="1" si="3"/>
        <v>0</v>
      </c>
      <c r="D26" s="445">
        <f t="shared" si="4"/>
        <v>39033.029081085384</v>
      </c>
      <c r="E26" s="445">
        <f t="shared" si="5"/>
        <v>546.29852847477457</v>
      </c>
      <c r="F26" s="445">
        <f t="shared" si="6"/>
        <v>10497.029174674848</v>
      </c>
      <c r="G26" s="445">
        <f t="shared" si="7"/>
        <v>0</v>
      </c>
      <c r="H26" s="445">
        <f t="shared" si="8"/>
        <v>0</v>
      </c>
      <c r="I26" s="445">
        <f t="shared" si="9"/>
        <v>0</v>
      </c>
      <c r="J26" s="445">
        <f t="shared" si="10"/>
        <v>1250.3235816783299</v>
      </c>
      <c r="K26" s="445">
        <f t="shared" si="11"/>
        <v>0</v>
      </c>
      <c r="L26" s="445">
        <f t="shared" si="12"/>
        <v>0</v>
      </c>
      <c r="M26" s="445">
        <f t="shared" si="13"/>
        <v>0</v>
      </c>
      <c r="N26" s="445">
        <f t="shared" si="14"/>
        <v>0</v>
      </c>
      <c r="O26" s="445">
        <f t="shared" si="15"/>
        <v>0</v>
      </c>
      <c r="P26" s="446">
        <f t="shared" si="16"/>
        <v>0</v>
      </c>
      <c r="Q26" s="444">
        <f t="shared" ca="1" si="17"/>
        <v>99265.9452918483</v>
      </c>
    </row>
    <row r="27" spans="1:17" s="450" customFormat="1">
      <c r="A27" s="448" t="s">
        <v>535</v>
      </c>
      <c r="B27" s="732">
        <f t="shared" ca="1" si="2"/>
        <v>159.7107948736442</v>
      </c>
      <c r="C27" s="449">
        <f t="shared" ca="1" si="3"/>
        <v>0</v>
      </c>
      <c r="D27" s="449">
        <f t="shared" si="4"/>
        <v>219.12294559225941</v>
      </c>
      <c r="E27" s="449">
        <f t="shared" si="5"/>
        <v>108.66102319270003</v>
      </c>
      <c r="F27" s="449">
        <f t="shared" si="6"/>
        <v>0</v>
      </c>
      <c r="G27" s="449">
        <f t="shared" si="7"/>
        <v>78009.187830039693</v>
      </c>
      <c r="H27" s="449">
        <f t="shared" si="8"/>
        <v>14786.761734404108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93283.4443281024</v>
      </c>
    </row>
    <row r="28" spans="1:17" ht="16.5" customHeight="1">
      <c r="A28" s="444" t="s">
        <v>525</v>
      </c>
      <c r="B28" s="445">
        <f t="shared" ca="1" si="2"/>
        <v>5.5232681463861031</v>
      </c>
      <c r="C28" s="445">
        <f t="shared" ca="1" si="3"/>
        <v>0</v>
      </c>
      <c r="D28" s="445">
        <f t="shared" si="4"/>
        <v>0</v>
      </c>
      <c r="E28" s="445">
        <f t="shared" si="5"/>
        <v>0</v>
      </c>
      <c r="F28" s="445">
        <f t="shared" si="6"/>
        <v>0</v>
      </c>
      <c r="G28" s="445">
        <f t="shared" si="7"/>
        <v>473.89512952929516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479.41839767568126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515.97510288835758</v>
      </c>
      <c r="C32" s="445">
        <f t="shared" ca="1" si="3"/>
        <v>0</v>
      </c>
      <c r="D32" s="445">
        <f t="shared" si="4"/>
        <v>1007.9453114665155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1523.9204143548732</v>
      </c>
    </row>
    <row r="33" spans="1:17" s="456" customFormat="1">
      <c r="A33" s="454" t="s">
        <v>529</v>
      </c>
      <c r="B33" s="455">
        <f ca="1">SUM(B22:B32)</f>
        <v>77299.082124291934</v>
      </c>
      <c r="C33" s="455">
        <f t="shared" ref="C33:Q33" ca="1" si="19">SUM(C22:C32)</f>
        <v>0</v>
      </c>
      <c r="D33" s="455">
        <f t="shared" ca="1" si="19"/>
        <v>88725.597078154853</v>
      </c>
      <c r="E33" s="455">
        <f t="shared" si="19"/>
        <v>1732.9833158229956</v>
      </c>
      <c r="F33" s="455">
        <f t="shared" ca="1" si="19"/>
        <v>36515.46971698854</v>
      </c>
      <c r="G33" s="455">
        <f t="shared" si="19"/>
        <v>78483.082959568987</v>
      </c>
      <c r="H33" s="455">
        <f t="shared" si="19"/>
        <v>14786.761734404108</v>
      </c>
      <c r="I33" s="455">
        <f t="shared" si="19"/>
        <v>0</v>
      </c>
      <c r="J33" s="455">
        <f t="shared" si="19"/>
        <v>1576.8796212504471</v>
      </c>
      <c r="K33" s="455">
        <f t="shared" si="19"/>
        <v>0</v>
      </c>
      <c r="L33" s="455">
        <f t="shared" ca="1" si="19"/>
        <v>0</v>
      </c>
      <c r="M33" s="455">
        <f t="shared" si="19"/>
        <v>0</v>
      </c>
      <c r="N33" s="455">
        <f t="shared" ca="1" si="19"/>
        <v>0</v>
      </c>
      <c r="O33" s="455">
        <f t="shared" si="19"/>
        <v>0</v>
      </c>
      <c r="P33" s="455">
        <f t="shared" si="19"/>
        <v>0</v>
      </c>
      <c r="Q33" s="455">
        <f t="shared" ca="1" si="19"/>
        <v>299119.85655048187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8289.5789225742155</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38724.570329294198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47014.14925186841</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0.19481413189897256</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0.19481413189897256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2022-08-09T08:12:19Z</dcterms:modified>
</cp:coreProperties>
</file>