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9\"/>
    </mc:Choice>
  </mc:AlternateContent>
  <xr:revisionPtr revIDLastSave="0" documentId="8_{F932673E-56E0-4A79-88E8-C610087B8EB5}"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9" sheetId="48" r:id="rId4"/>
    <sheet name="betrouwbaarheid inventaris" sheetId="58" r:id="rId5"/>
    <sheet name="Lokale energieproductie 2019"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W25" i="5"/>
  <c r="A34" i="23"/>
  <c r="A35" i="23"/>
  <c r="A36" i="23"/>
  <c r="A37" i="23"/>
  <c r="A38" i="23"/>
  <c r="A39" i="23"/>
  <c r="A40" i="23"/>
  <c r="A41" i="23"/>
  <c r="A42" i="23"/>
  <c r="A43" i="23"/>
  <c r="A44" i="23"/>
  <c r="A45" i="23"/>
  <c r="A46" i="23"/>
  <c r="A47" i="23"/>
  <c r="A48" i="23"/>
  <c r="A49" i="23"/>
  <c r="A50" i="23"/>
  <c r="A51" i="23"/>
  <c r="A52" i="23"/>
  <c r="A53" i="23"/>
  <c r="A54" i="23"/>
  <c r="A55" i="23"/>
  <c r="N25" i="22"/>
  <c r="N24" i="22"/>
  <c r="B4" i="21"/>
  <c r="B26" i="19"/>
  <c r="B46" i="15"/>
  <c r="B38" i="15"/>
  <c r="D5" i="17"/>
  <c r="D15" i="16"/>
  <c r="D14" i="16"/>
  <c r="D13" i="16"/>
  <c r="D12" i="16"/>
  <c r="D11" i="16"/>
  <c r="D10" i="16"/>
  <c r="D9" i="16"/>
  <c r="D8" i="16"/>
  <c r="D7" i="16"/>
  <c r="D6" i="16"/>
  <c r="D12" i="15"/>
  <c r="D11" i="15"/>
  <c r="D10" i="15"/>
  <c r="D9" i="15"/>
  <c r="D8" i="15"/>
  <c r="D7" i="15"/>
  <c r="D6" i="15"/>
  <c r="D5" i="13"/>
  <c r="E78" i="22"/>
  <c r="E42" i="22"/>
  <c r="AB25" i="5"/>
  <c r="Y25" i="5"/>
  <c r="X25" i="5"/>
  <c r="V25" i="5"/>
  <c r="T25" i="5"/>
  <c r="U25" i="5"/>
  <c r="S25" i="5"/>
  <c r="R25" i="5"/>
  <c r="H25" i="5"/>
  <c r="I25" i="5"/>
  <c r="J25" i="5"/>
  <c r="K25" i="5"/>
  <c r="L25" i="5"/>
  <c r="M25" i="5"/>
  <c r="N25" i="5"/>
  <c r="O25" i="5"/>
  <c r="P25" i="5"/>
  <c r="Q25" i="5"/>
  <c r="G25" i="5"/>
  <c r="F25" i="5"/>
  <c r="D25" i="5"/>
  <c r="E25" i="5"/>
  <c r="C25" i="5"/>
  <c r="A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10" i="59" s="1"/>
  <c r="L76" i="14"/>
  <c r="L78" i="14" s="1"/>
  <c r="K76" i="14"/>
  <c r="K8" i="59" s="1"/>
  <c r="K10" i="59" s="1"/>
  <c r="B75" i="14"/>
  <c r="B7" i="59"/>
  <c r="L8" i="59"/>
  <c r="B26" i="17"/>
  <c r="H14" i="15"/>
  <c r="H16" i="15"/>
  <c r="G14" i="15"/>
  <c r="G16" i="15"/>
  <c r="B6" i="6"/>
  <c r="A31" i="23"/>
  <c r="A32" i="23"/>
  <c r="A33" i="23"/>
  <c r="A6" i="23"/>
  <c r="A5" i="23"/>
  <c r="A2" i="23"/>
  <c r="A3" i="23"/>
  <c r="D10" i="22"/>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s="1"/>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27" i="19"/>
  <c r="B6" i="13"/>
  <c r="B17" i="17"/>
  <c r="B34" i="17"/>
  <c r="B6" i="16"/>
  <c r="W39" i="18"/>
  <c r="V39" i="18"/>
  <c r="U39" i="18"/>
  <c r="T39" i="18"/>
  <c r="S39" i="18"/>
  <c r="F6" i="17" s="1"/>
  <c r="F8" i="17" s="1"/>
  <c r="R39" i="18"/>
  <c r="Q39" i="18"/>
  <c r="P39" i="18"/>
  <c r="O39" i="18"/>
  <c r="N39" i="18"/>
  <c r="M39" i="18"/>
  <c r="W38" i="18"/>
  <c r="V38" i="18"/>
  <c r="U38" i="18"/>
  <c r="T38" i="18"/>
  <c r="S38" i="18"/>
  <c r="R38" i="18"/>
  <c r="Q38" i="18"/>
  <c r="P38" i="18"/>
  <c r="O38" i="18"/>
  <c r="C13" i="15" s="1"/>
  <c r="C16" i="15" s="1"/>
  <c r="C5" i="48" s="1"/>
  <c r="N38" i="18"/>
  <c r="M38" i="18"/>
  <c r="W37" i="18"/>
  <c r="V37" i="18"/>
  <c r="U37" i="18"/>
  <c r="T37" i="18"/>
  <c r="S37" i="18"/>
  <c r="R37" i="18"/>
  <c r="Q37" i="18"/>
  <c r="P37" i="18"/>
  <c r="O37" i="18"/>
  <c r="N37" i="18"/>
  <c r="M37" i="18"/>
  <c r="W36" i="18"/>
  <c r="H9" i="18"/>
  <c r="M77" i="14"/>
  <c r="M9" i="59"/>
  <c r="V36" i="18"/>
  <c r="U36" i="18"/>
  <c r="T36" i="18"/>
  <c r="S36" i="18"/>
  <c r="E9" i="18" s="1"/>
  <c r="F77" i="14" s="1"/>
  <c r="R36" i="18"/>
  <c r="Q36" i="18"/>
  <c r="P36" i="18"/>
  <c r="O36" i="18"/>
  <c r="N36" i="18"/>
  <c r="B9" i="18" s="1"/>
  <c r="M36" i="18"/>
  <c r="W32" i="18"/>
  <c r="V32" i="18"/>
  <c r="U32" i="18"/>
  <c r="T32" i="18"/>
  <c r="L6" i="17"/>
  <c r="L5" i="17"/>
  <c r="S32" i="18"/>
  <c r="R32" i="18"/>
  <c r="Q32" i="18"/>
  <c r="P32" i="18"/>
  <c r="O32" i="18"/>
  <c r="N32" i="18"/>
  <c r="M32" i="18"/>
  <c r="W31" i="18"/>
  <c r="V31" i="18"/>
  <c r="U31" i="18"/>
  <c r="T31" i="18"/>
  <c r="S31" i="18"/>
  <c r="R31" i="18"/>
  <c r="Q31" i="18"/>
  <c r="P31" i="18"/>
  <c r="O31" i="18"/>
  <c r="N31" i="18"/>
  <c r="B13" i="15"/>
  <c r="M31" i="18"/>
  <c r="W30" i="18"/>
  <c r="V30" i="18"/>
  <c r="U30" i="18"/>
  <c r="T30" i="18"/>
  <c r="S30" i="18"/>
  <c r="F16" i="16"/>
  <c r="R30" i="18"/>
  <c r="Q30" i="18"/>
  <c r="P30" i="18"/>
  <c r="D16" i="16"/>
  <c r="O30" i="18"/>
  <c r="N30" i="18"/>
  <c r="W29" i="18"/>
  <c r="V29" i="18"/>
  <c r="U29" i="18"/>
  <c r="T29" i="18"/>
  <c r="S29" i="18"/>
  <c r="R29" i="18"/>
  <c r="Q29" i="18"/>
  <c r="P29" i="18"/>
  <c r="O29" i="18"/>
  <c r="B17" i="18"/>
  <c r="N29" i="18"/>
  <c r="B8" i="18" s="1"/>
  <c r="B10" i="18" s="1"/>
  <c r="M29" i="18"/>
  <c r="K22" i="18"/>
  <c r="J22" i="18"/>
  <c r="I22" i="18"/>
  <c r="H22" i="18"/>
  <c r="G22" i="18"/>
  <c r="F22" i="18"/>
  <c r="E22" i="18"/>
  <c r="D22" i="18"/>
  <c r="C22" i="18"/>
  <c r="L19" i="18"/>
  <c r="O89" i="14" s="1"/>
  <c r="K19" i="18"/>
  <c r="N89" i="14"/>
  <c r="N19" i="59" s="1"/>
  <c r="J19" i="18"/>
  <c r="J89" i="14"/>
  <c r="J19" i="59"/>
  <c r="I19" i="18"/>
  <c r="I89" i="14"/>
  <c r="I19" i="59"/>
  <c r="H19" i="18"/>
  <c r="M89" i="14" s="1"/>
  <c r="G19" i="18"/>
  <c r="H89" i="14"/>
  <c r="H19" i="59" s="1"/>
  <c r="F19" i="18"/>
  <c r="G89" i="14"/>
  <c r="G19" i="59"/>
  <c r="E19" i="18"/>
  <c r="F89" i="14"/>
  <c r="F19" i="59"/>
  <c r="D19" i="18"/>
  <c r="E89" i="14" s="1"/>
  <c r="C19" i="18"/>
  <c r="B19" i="18"/>
  <c r="L18" i="18"/>
  <c r="O88" i="14"/>
  <c r="O18" i="59"/>
  <c r="K18" i="18"/>
  <c r="N88" i="14" s="1"/>
  <c r="J18" i="18"/>
  <c r="J88" i="14"/>
  <c r="J18" i="59" s="1"/>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s="1"/>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s="1"/>
  <c r="B35" i="16"/>
  <c r="B34" i="16"/>
  <c r="B12" i="16" s="1"/>
  <c r="B33" i="16"/>
  <c r="C33" i="16"/>
  <c r="F11" i="16"/>
  <c r="B32" i="16"/>
  <c r="C32" i="16"/>
  <c r="J10" i="16"/>
  <c r="B31" i="16"/>
  <c r="C31" i="16" s="1"/>
  <c r="B30" i="16"/>
  <c r="C30" i="16"/>
  <c r="N8" i="16" s="1"/>
  <c r="B29" i="16"/>
  <c r="C29" i="16"/>
  <c r="N20" i="16"/>
  <c r="M20" i="16"/>
  <c r="M22" i="16"/>
  <c r="N43" i="14"/>
  <c r="L20" i="16"/>
  <c r="K20" i="16"/>
  <c r="J20" i="16"/>
  <c r="I20" i="16"/>
  <c r="H20" i="16"/>
  <c r="G20" i="16"/>
  <c r="F20" i="16"/>
  <c r="E20" i="16"/>
  <c r="D20" i="16"/>
  <c r="C5" i="16"/>
  <c r="B40" i="15"/>
  <c r="B32" i="15"/>
  <c r="C32" i="15"/>
  <c r="N12" i="15" s="1"/>
  <c r="B31" i="15"/>
  <c r="C31" i="15"/>
  <c r="E11" i="15"/>
  <c r="B30" i="15"/>
  <c r="C30" i="15"/>
  <c r="E10" i="15"/>
  <c r="B29" i="15"/>
  <c r="C29" i="15" s="1"/>
  <c r="B28" i="15"/>
  <c r="C28" i="15"/>
  <c r="N8" i="15" s="1"/>
  <c r="B27" i="15"/>
  <c r="C27" i="15"/>
  <c r="F7" i="15"/>
  <c r="B26" i="15"/>
  <c r="C26" i="15"/>
  <c r="E6" i="15"/>
  <c r="N18" i="15"/>
  <c r="M18" i="15"/>
  <c r="L18" i="15"/>
  <c r="K18" i="15"/>
  <c r="J18" i="15"/>
  <c r="I18" i="15"/>
  <c r="H18" i="15"/>
  <c r="G18" i="15"/>
  <c r="F18" i="15"/>
  <c r="E18" i="15"/>
  <c r="D18" i="15"/>
  <c r="H10" i="14"/>
  <c r="P5" i="15"/>
  <c r="P16" i="15" s="1"/>
  <c r="P5" i="48" s="1"/>
  <c r="P23" i="48" s="1"/>
  <c r="C5" i="15"/>
  <c r="B60" i="13"/>
  <c r="P5" i="13" s="1"/>
  <c r="P8" i="13" s="1"/>
  <c r="B37" i="13"/>
  <c r="B54" i="13"/>
  <c r="O5" i="13"/>
  <c r="O8" i="13"/>
  <c r="O4" i="48"/>
  <c r="B27" i="13"/>
  <c r="B31" i="13"/>
  <c r="B26" i="13"/>
  <c r="B34"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c r="B5" i="9"/>
  <c r="B8" i="9" s="1"/>
  <c r="B6" i="48" s="1"/>
  <c r="Q6" i="48" s="1"/>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s="1"/>
  <c r="N87" i="14"/>
  <c r="N17" i="59"/>
  <c r="H87" i="14"/>
  <c r="H17" i="59" s="1"/>
  <c r="H20" i="59" s="1"/>
  <c r="G87" i="14"/>
  <c r="G17" i="59"/>
  <c r="G20" i="59" s="1"/>
  <c r="E87" i="14"/>
  <c r="E17" i="59" s="1"/>
  <c r="O76" i="14"/>
  <c r="O8" i="59"/>
  <c r="N76" i="14"/>
  <c r="N8" i="59" s="1"/>
  <c r="H76" i="14"/>
  <c r="H8" i="59"/>
  <c r="G76" i="14"/>
  <c r="G8" i="59" s="1"/>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B32" i="13"/>
  <c r="D6" i="17"/>
  <c r="D8" i="17" s="1"/>
  <c r="C34" i="13"/>
  <c r="J15" i="16"/>
  <c r="J30" i="48"/>
  <c r="J32" i="48"/>
  <c r="I9" i="18"/>
  <c r="I77" i="14"/>
  <c r="I9" i="59"/>
  <c r="F30" i="48"/>
  <c r="F32" i="48"/>
  <c r="N30" i="48"/>
  <c r="N32" i="48"/>
  <c r="D89" i="14"/>
  <c r="D19" i="59"/>
  <c r="O19" i="18"/>
  <c r="K10" i="18"/>
  <c r="N77" i="14"/>
  <c r="L10" i="18"/>
  <c r="O77" i="14"/>
  <c r="H16" i="14"/>
  <c r="L16" i="16"/>
  <c r="L18" i="16"/>
  <c r="M13" i="14" s="1"/>
  <c r="I14" i="15"/>
  <c r="I16" i="15"/>
  <c r="J10" i="14"/>
  <c r="B13" i="16"/>
  <c r="C35" i="16"/>
  <c r="E9" i="14"/>
  <c r="D14" i="15"/>
  <c r="P18" i="16"/>
  <c r="P22" i="16"/>
  <c r="Q43" i="14"/>
  <c r="N6" i="17"/>
  <c r="N5" i="17" s="1"/>
  <c r="N8" i="17" s="1"/>
  <c r="J8" i="17"/>
  <c r="J12" i="17"/>
  <c r="K54" i="14"/>
  <c r="K56" i="14" s="1"/>
  <c r="N16" i="16"/>
  <c r="N13" i="15"/>
  <c r="L13" i="15"/>
  <c r="L16" i="15"/>
  <c r="F13" i="15"/>
  <c r="D13" i="15"/>
  <c r="B67" i="22"/>
  <c r="M11" i="22"/>
  <c r="G10" i="22"/>
  <c r="M9" i="22"/>
  <c r="G8" i="22"/>
  <c r="M7" i="22"/>
  <c r="G6" i="22"/>
  <c r="G11" i="22"/>
  <c r="M8" i="22"/>
  <c r="G7" i="22"/>
  <c r="M10" i="22"/>
  <c r="G9" i="22"/>
  <c r="M6" i="22"/>
  <c r="B12" i="48"/>
  <c r="Q12" i="48"/>
  <c r="O9" i="14"/>
  <c r="B7" i="15"/>
  <c r="O5" i="16"/>
  <c r="C35" i="13"/>
  <c r="B11" i="15"/>
  <c r="B11" i="16"/>
  <c r="J9" i="14"/>
  <c r="J16" i="14"/>
  <c r="B45" i="18"/>
  <c r="B49" i="18"/>
  <c r="C17" i="18" s="1"/>
  <c r="C20" i="18" s="1"/>
  <c r="B16" i="16"/>
  <c r="K9" i="14"/>
  <c r="H77" i="14"/>
  <c r="J11" i="48"/>
  <c r="J29" i="48"/>
  <c r="M9" i="14"/>
  <c r="L11" i="48"/>
  <c r="O19" i="14"/>
  <c r="O22" i="14"/>
  <c r="N10" i="48"/>
  <c r="N28" i="48"/>
  <c r="J19" i="14"/>
  <c r="J22" i="14"/>
  <c r="I10" i="48"/>
  <c r="I28" i="48"/>
  <c r="J19" i="19"/>
  <c r="K39" i="14"/>
  <c r="N19" i="19"/>
  <c r="O39" i="14"/>
  <c r="C45" i="18"/>
  <c r="I48" i="18" s="1"/>
  <c r="H8" i="18" s="1"/>
  <c r="J9" i="18"/>
  <c r="J77" i="14" s="1"/>
  <c r="J9" i="59" s="1"/>
  <c r="C16" i="16"/>
  <c r="C18" i="16" s="1"/>
  <c r="C8" i="48" s="1"/>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L12" i="13"/>
  <c r="M41" i="14"/>
  <c r="E8" i="16"/>
  <c r="F18" i="14"/>
  <c r="E13" i="48"/>
  <c r="E31" i="48"/>
  <c r="K20" i="15"/>
  <c r="L40" i="14"/>
  <c r="L9" i="14"/>
  <c r="K11" i="48"/>
  <c r="K29" i="48"/>
  <c r="D11" i="48"/>
  <c r="D29" i="48"/>
  <c r="F19" i="19"/>
  <c r="G39" i="14"/>
  <c r="L19" i="19"/>
  <c r="M39" i="14"/>
  <c r="M12" i="13"/>
  <c r="N41" i="14"/>
  <c r="C78"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s="1"/>
  <c r="O20" i="15" s="1"/>
  <c r="P40" i="14" s="1"/>
  <c r="M20" i="15"/>
  <c r="N40" i="14"/>
  <c r="N10" i="14"/>
  <c r="N16" i="14"/>
  <c r="G20" i="15"/>
  <c r="H40" i="14"/>
  <c r="H46" i="14"/>
  <c r="H20" i="15"/>
  <c r="I40" i="14"/>
  <c r="I46" i="14"/>
  <c r="I10" i="14"/>
  <c r="I16" i="14"/>
  <c r="B74" i="14"/>
  <c r="B6" i="59" s="1"/>
  <c r="F8" i="16"/>
  <c r="B7" i="48"/>
  <c r="C24" i="14"/>
  <c r="C26" i="14" s="1"/>
  <c r="B73" i="14"/>
  <c r="B5" i="59"/>
  <c r="F6" i="15"/>
  <c r="F8" i="15"/>
  <c r="N10" i="16"/>
  <c r="D5" i="15"/>
  <c r="D16" i="15" s="1"/>
  <c r="D20" i="15" s="1"/>
  <c r="B8" i="15"/>
  <c r="J8" i="15"/>
  <c r="F12" i="15"/>
  <c r="I20" i="15"/>
  <c r="J40" i="14"/>
  <c r="B9" i="16"/>
  <c r="E8" i="15"/>
  <c r="B10" i="15"/>
  <c r="B6" i="15"/>
  <c r="J10" i="15"/>
  <c r="D5" i="16"/>
  <c r="F10" i="16"/>
  <c r="J11" i="16"/>
  <c r="B15" i="16"/>
  <c r="J6" i="15"/>
  <c r="F10" i="15"/>
  <c r="B12" i="15"/>
  <c r="J12" i="15"/>
  <c r="B7" i="16"/>
  <c r="B5" i="16" s="1"/>
  <c r="E10" i="16"/>
  <c r="N11" i="16"/>
  <c r="N6" i="15"/>
  <c r="N10" i="15"/>
  <c r="B8" i="16"/>
  <c r="J8" i="16"/>
  <c r="B10" i="16"/>
  <c r="E11" i="16"/>
  <c r="B14" i="16"/>
  <c r="E15" i="16"/>
  <c r="E7" i="16"/>
  <c r="J7" i="16"/>
  <c r="F7" i="16"/>
  <c r="N7" i="16"/>
  <c r="N15" i="16"/>
  <c r="C34" i="16"/>
  <c r="Q13" i="14"/>
  <c r="B9" i="15"/>
  <c r="E11" i="48"/>
  <c r="E29" i="48"/>
  <c r="F9" i="14"/>
  <c r="D9" i="14"/>
  <c r="E19" i="19"/>
  <c r="F39" i="14"/>
  <c r="C11" i="48"/>
  <c r="D19" i="19"/>
  <c r="E39" i="14"/>
  <c r="C9" i="14"/>
  <c r="B11" i="48"/>
  <c r="E5" i="22"/>
  <c r="E14" i="22" s="1"/>
  <c r="D5" i="22"/>
  <c r="D14" i="22"/>
  <c r="D9" i="48" s="1"/>
  <c r="D27" i="48" s="1"/>
  <c r="B5" i="22"/>
  <c r="B14" i="22" s="1"/>
  <c r="P11" i="48"/>
  <c r="P29" i="48"/>
  <c r="H5" i="48"/>
  <c r="O11" i="48"/>
  <c r="P9" i="14"/>
  <c r="M5" i="48"/>
  <c r="G29" i="48"/>
  <c r="C11" i="14"/>
  <c r="B4" i="48"/>
  <c r="E30" i="48"/>
  <c r="I31" i="48"/>
  <c r="I27" i="48"/>
  <c r="I30" i="48"/>
  <c r="K27" i="48"/>
  <c r="O30" i="48"/>
  <c r="K22" i="48"/>
  <c r="G22" i="48"/>
  <c r="M17" i="48"/>
  <c r="K30" i="48"/>
  <c r="F5" i="13"/>
  <c r="F8" i="13" s="1"/>
  <c r="G11" i="14"/>
  <c r="I22" i="48"/>
  <c r="G30" i="48"/>
  <c r="O22" i="48"/>
  <c r="H25" i="48"/>
  <c r="L17" i="48"/>
  <c r="L32" i="48"/>
  <c r="H22" i="48"/>
  <c r="K25" i="48"/>
  <c r="K26" i="48"/>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s="1"/>
  <c r="B10" i="48"/>
  <c r="P25" i="48"/>
  <c r="E5" i="17"/>
  <c r="C8" i="17"/>
  <c r="C7" i="48" s="1"/>
  <c r="G25" i="48"/>
  <c r="I25" i="48"/>
  <c r="G90" i="14"/>
  <c r="D88" i="14"/>
  <c r="H88" i="14"/>
  <c r="F88" i="14"/>
  <c r="F18" i="59" s="1"/>
  <c r="E77" i="14"/>
  <c r="D20" i="18"/>
  <c r="L20" i="18"/>
  <c r="G77" i="14"/>
  <c r="G9" i="59" s="1"/>
  <c r="F20" i="18"/>
  <c r="D11" i="14"/>
  <c r="C4" i="48"/>
  <c r="O18" i="18"/>
  <c r="N46" i="14"/>
  <c r="G51" i="22"/>
  <c r="G50" i="22" s="1"/>
  <c r="G54" i="22" s="1"/>
  <c r="H19" i="14"/>
  <c r="M51" i="22"/>
  <c r="M50" i="22" s="1"/>
  <c r="M54" i="22" s="1"/>
  <c r="M10" i="48" s="1"/>
  <c r="M28" i="48" s="1"/>
  <c r="I5" i="48"/>
  <c r="J7" i="48"/>
  <c r="J25" i="48" s="1"/>
  <c r="K33" i="48"/>
  <c r="J27" i="14"/>
  <c r="M24" i="48"/>
  <c r="M32" i="48"/>
  <c r="K15" i="48"/>
  <c r="Q89" i="14"/>
  <c r="P19" i="59" s="1"/>
  <c r="H78" i="14"/>
  <c r="H9" i="59"/>
  <c r="H10" i="59" s="1"/>
  <c r="N78" i="14"/>
  <c r="N9" i="59"/>
  <c r="G78" i="14"/>
  <c r="H90" i="14"/>
  <c r="H18" i="59"/>
  <c r="E78" i="14"/>
  <c r="E9" i="59"/>
  <c r="E10" i="59" s="1"/>
  <c r="O78" i="14"/>
  <c r="O9" i="59"/>
  <c r="O10" i="59"/>
  <c r="L8" i="48"/>
  <c r="L26" i="48" s="1"/>
  <c r="L22" i="16"/>
  <c r="M43" i="14" s="1"/>
  <c r="D10" i="14"/>
  <c r="B77" i="14"/>
  <c r="B9" i="59" s="1"/>
  <c r="J46" i="14"/>
  <c r="J61" i="14"/>
  <c r="C77" i="14"/>
  <c r="C9" i="59" s="1"/>
  <c r="L46" i="14"/>
  <c r="L61" i="14"/>
  <c r="L16" i="14"/>
  <c r="L27" i="14"/>
  <c r="P8" i="48"/>
  <c r="P26" i="48"/>
  <c r="D18" i="16"/>
  <c r="D22" i="16" s="1"/>
  <c r="E43" i="14" s="1"/>
  <c r="G31" i="20"/>
  <c r="H48" i="14"/>
  <c r="G12" i="22"/>
  <c r="K24" i="14"/>
  <c r="K26" i="14"/>
  <c r="E8" i="17"/>
  <c r="F24" i="14" s="1"/>
  <c r="F26" i="14" s="1"/>
  <c r="O18" i="16"/>
  <c r="N5" i="13"/>
  <c r="N8" i="13" s="1"/>
  <c r="H13" i="48"/>
  <c r="H31" i="48"/>
  <c r="H12" i="22"/>
  <c r="E5" i="13"/>
  <c r="E8" i="13"/>
  <c r="E12" i="13" s="1"/>
  <c r="F41" i="14" s="1"/>
  <c r="N12" i="17"/>
  <c r="O54" i="14" s="1"/>
  <c r="O56" i="14" s="1"/>
  <c r="L8" i="17"/>
  <c r="L12" i="17"/>
  <c r="M54" i="14"/>
  <c r="M56" i="14" s="1"/>
  <c r="B9" i="48"/>
  <c r="F7" i="48"/>
  <c r="F25" i="48" s="1"/>
  <c r="O9" i="18"/>
  <c r="M29" i="48"/>
  <c r="C49" i="18"/>
  <c r="J17" i="18" s="1"/>
  <c r="J87" i="14" s="1"/>
  <c r="J90" i="14" s="1"/>
  <c r="E49" i="18"/>
  <c r="E17" i="18" s="1"/>
  <c r="G49" i="18"/>
  <c r="D7" i="48"/>
  <c r="D25" i="48" s="1"/>
  <c r="D49" i="18"/>
  <c r="L28" i="48"/>
  <c r="H49" i="18"/>
  <c r="I49" i="18"/>
  <c r="H17" i="18"/>
  <c r="F49" i="18"/>
  <c r="F48" i="18"/>
  <c r="B48" i="18"/>
  <c r="L31" i="48"/>
  <c r="L24" i="48"/>
  <c r="L22" i="48"/>
  <c r="M23" i="48"/>
  <c r="M22" i="48"/>
  <c r="I18" i="14"/>
  <c r="Q88" i="14"/>
  <c r="P18" i="59" s="1"/>
  <c r="D13" i="14"/>
  <c r="F20" i="14"/>
  <c r="F22" i="14" s="1"/>
  <c r="L30" i="48"/>
  <c r="B20" i="18"/>
  <c r="D24" i="14"/>
  <c r="D26" i="14"/>
  <c r="L29" i="48"/>
  <c r="M31" i="20"/>
  <c r="N48" i="14"/>
  <c r="N18" i="14"/>
  <c r="M13" i="48"/>
  <c r="M31" i="48"/>
  <c r="H31" i="20"/>
  <c r="I48" i="14"/>
  <c r="G13" i="48"/>
  <c r="G31" i="48"/>
  <c r="H18" i="14"/>
  <c r="M5" i="22"/>
  <c r="M14" i="22" s="1"/>
  <c r="G5" i="22"/>
  <c r="H5" i="22"/>
  <c r="P10" i="14"/>
  <c r="P16" i="14" s="1"/>
  <c r="P27" i="14" s="1"/>
  <c r="P20" i="15"/>
  <c r="Q40" i="14" s="1"/>
  <c r="Q10" i="14"/>
  <c r="F4" i="48"/>
  <c r="F22" i="48" s="1"/>
  <c r="B5" i="15"/>
  <c r="B16" i="15" s="1"/>
  <c r="B18" i="16"/>
  <c r="F12" i="13"/>
  <c r="G41" i="14"/>
  <c r="F13" i="16"/>
  <c r="E13" i="16"/>
  <c r="N13" i="16"/>
  <c r="J13" i="16"/>
  <c r="N12" i="16"/>
  <c r="J12" i="16"/>
  <c r="F12" i="16"/>
  <c r="E12" i="16"/>
  <c r="Q11" i="48"/>
  <c r="O5" i="48"/>
  <c r="R9" i="14"/>
  <c r="O29" i="48"/>
  <c r="H23" i="48"/>
  <c r="L27" i="48"/>
  <c r="M30" i="48"/>
  <c r="M26" i="48"/>
  <c r="M25" i="48"/>
  <c r="J5" i="13"/>
  <c r="J8" i="13" s="1"/>
  <c r="H14" i="22"/>
  <c r="G14" i="22"/>
  <c r="G18" i="22" s="1"/>
  <c r="H50" i="14" s="1"/>
  <c r="I23" i="48"/>
  <c r="I33" i="48"/>
  <c r="I15" i="48"/>
  <c r="E13" i="14"/>
  <c r="P13" i="14"/>
  <c r="E12" i="17"/>
  <c r="F54" i="14"/>
  <c r="F56" i="14"/>
  <c r="E7" i="48"/>
  <c r="E25" i="48" s="1"/>
  <c r="C15" i="48"/>
  <c r="C8" i="18"/>
  <c r="D76" i="14" s="1"/>
  <c r="D87" i="14"/>
  <c r="D16" i="14"/>
  <c r="N7" i="48"/>
  <c r="N25" i="48" s="1"/>
  <c r="D8" i="48"/>
  <c r="D26" i="48" s="1"/>
  <c r="O24" i="14"/>
  <c r="O26" i="14" s="1"/>
  <c r="L7" i="48"/>
  <c r="L25" i="48"/>
  <c r="M24" i="14"/>
  <c r="M26" i="14" s="1"/>
  <c r="N19" i="14"/>
  <c r="C20" i="14"/>
  <c r="C22" i="14" s="1"/>
  <c r="I17" i="18"/>
  <c r="I87" i="14"/>
  <c r="M87" i="14"/>
  <c r="M17" i="59" s="1"/>
  <c r="H20" i="18"/>
  <c r="E18" i="22"/>
  <c r="F50" i="14"/>
  <c r="F52" i="14" s="1"/>
  <c r="E9" i="48"/>
  <c r="E10" i="14"/>
  <c r="E16" i="14"/>
  <c r="D5" i="48"/>
  <c r="G58" i="22"/>
  <c r="H49" i="14" s="1"/>
  <c r="G10" i="48"/>
  <c r="G28" i="48" s="1"/>
  <c r="G9" i="48"/>
  <c r="R18" i="14"/>
  <c r="Q13" i="48"/>
  <c r="I20" i="14"/>
  <c r="I22" i="14"/>
  <c r="I27" i="14" s="1"/>
  <c r="M9" i="48"/>
  <c r="M15" i="48" s="1"/>
  <c r="J63" i="14"/>
  <c r="L63" i="14"/>
  <c r="L5" i="48"/>
  <c r="L23" i="48" s="1"/>
  <c r="M10" i="14"/>
  <c r="M16" i="14" s="1"/>
  <c r="M27" i="14" s="1"/>
  <c r="O23" i="48"/>
  <c r="O11" i="14"/>
  <c r="E4" i="48"/>
  <c r="E22" i="48" s="1"/>
  <c r="F11" i="14"/>
  <c r="J4" i="48"/>
  <c r="J22" i="48" s="1"/>
  <c r="J12" i="13"/>
  <c r="K41" i="14" s="1"/>
  <c r="K11" i="14"/>
  <c r="L20" i="15"/>
  <c r="I90" i="14"/>
  <c r="I17" i="59"/>
  <c r="I20" i="59" s="1"/>
  <c r="E27" i="48"/>
  <c r="O17" i="18"/>
  <c r="O20" i="18" s="1"/>
  <c r="D78" i="14"/>
  <c r="E40" i="14"/>
  <c r="E46" i="14"/>
  <c r="I20" i="18"/>
  <c r="J20" i="18"/>
  <c r="M90" i="14"/>
  <c r="H20" i="14"/>
  <c r="H18" i="22"/>
  <c r="I50" i="14"/>
  <c r="I52" i="14" s="1"/>
  <c r="I61" i="14" s="1"/>
  <c r="I63" i="14" s="1"/>
  <c r="Q10" i="48"/>
  <c r="H9" i="48"/>
  <c r="H27" i="48" s="1"/>
  <c r="M27" i="48"/>
  <c r="M33" i="48" s="1"/>
  <c r="G27" i="48"/>
  <c r="G33" i="48" s="1"/>
  <c r="M40" i="14"/>
  <c r="J17" i="59"/>
  <c r="J20" i="59"/>
  <c r="H15" i="48"/>
  <c r="M46" i="14"/>
  <c r="M61" i="14" s="1"/>
  <c r="M63" i="14" s="1"/>
  <c r="H33" i="48"/>
  <c r="C13" i="14" l="1"/>
  <c r="B8" i="48"/>
  <c r="G15" i="48"/>
  <c r="Q9" i="48"/>
  <c r="F87" i="14"/>
  <c r="E20" i="18"/>
  <c r="D17" i="59"/>
  <c r="Q87" i="14"/>
  <c r="D90" i="14"/>
  <c r="C87" i="14"/>
  <c r="L33" i="48"/>
  <c r="N22" i="14"/>
  <c r="N27" i="14" s="1"/>
  <c r="D8" i="59"/>
  <c r="D10" i="59" s="1"/>
  <c r="C10" i="14"/>
  <c r="B5" i="48"/>
  <c r="Q7" i="48"/>
  <c r="H22" i="14"/>
  <c r="H27" i="14" s="1"/>
  <c r="L15" i="48"/>
  <c r="H52" i="14"/>
  <c r="H61" i="14" s="1"/>
  <c r="H63" i="14" s="1"/>
  <c r="M18" i="22"/>
  <c r="N50" i="14" s="1"/>
  <c r="N20" i="14"/>
  <c r="C10" i="18"/>
  <c r="D27" i="14"/>
  <c r="B20" i="6" s="1"/>
  <c r="N4" i="48"/>
  <c r="N12" i="13"/>
  <c r="O41" i="14" s="1"/>
  <c r="G10" i="59"/>
  <c r="P4" i="48"/>
  <c r="Q11" i="14"/>
  <c r="R11" i="14" s="1"/>
  <c r="P12" i="13"/>
  <c r="Q41" i="14" s="1"/>
  <c r="Q46" i="14" s="1"/>
  <c r="Q61" i="14" s="1"/>
  <c r="E14" i="16"/>
  <c r="N14" i="16"/>
  <c r="J14" i="16"/>
  <c r="F14" i="16"/>
  <c r="B89" i="14"/>
  <c r="B19" i="59" s="1"/>
  <c r="M19" i="59"/>
  <c r="M20" i="59" s="1"/>
  <c r="M76" i="14"/>
  <c r="H10" i="18"/>
  <c r="N18" i="59"/>
  <c r="N90" i="14"/>
  <c r="O19" i="59"/>
  <c r="O20" i="59" s="1"/>
  <c r="O90" i="14"/>
  <c r="K18" i="59"/>
  <c r="K90" i="14"/>
  <c r="Q4" i="48"/>
  <c r="D23" i="48"/>
  <c r="M58" i="22"/>
  <c r="N49" i="14" s="1"/>
  <c r="O22" i="16"/>
  <c r="P43" i="14" s="1"/>
  <c r="P46" i="14" s="1"/>
  <c r="P61" i="14" s="1"/>
  <c r="P63" i="14" s="1"/>
  <c r="O8" i="48"/>
  <c r="B88" i="14"/>
  <c r="B18" i="59" s="1"/>
  <c r="D18" i="59"/>
  <c r="C88" i="14"/>
  <c r="C18" i="59" s="1"/>
  <c r="N5" i="15"/>
  <c r="N16" i="15" s="1"/>
  <c r="N20" i="59"/>
  <c r="F9" i="59"/>
  <c r="Q77" i="14"/>
  <c r="P9" i="59" s="1"/>
  <c r="G24" i="14"/>
  <c r="G26" i="14" s="1"/>
  <c r="F12" i="17"/>
  <c r="G54" i="14" s="1"/>
  <c r="G56" i="14" s="1"/>
  <c r="L18" i="59"/>
  <c r="L20" i="59" s="1"/>
  <c r="L90" i="14"/>
  <c r="E20" i="14"/>
  <c r="D18" i="22"/>
  <c r="E50" i="14" s="1"/>
  <c r="E52" i="14" s="1"/>
  <c r="D12" i="17"/>
  <c r="E54" i="14" s="1"/>
  <c r="E56" i="14" s="1"/>
  <c r="E24" i="14"/>
  <c r="N10" i="59"/>
  <c r="N9" i="15"/>
  <c r="F9" i="15"/>
  <c r="F5" i="15" s="1"/>
  <c r="F16" i="15" s="1"/>
  <c r="E9" i="15"/>
  <c r="E5" i="15" s="1"/>
  <c r="E16" i="15" s="1"/>
  <c r="J9" i="15"/>
  <c r="J5" i="15" s="1"/>
  <c r="J16" i="15" s="1"/>
  <c r="N9" i="16"/>
  <c r="N5" i="16" s="1"/>
  <c r="N18" i="16" s="1"/>
  <c r="F9" i="16"/>
  <c r="F5" i="16" s="1"/>
  <c r="F18" i="16" s="1"/>
  <c r="J9" i="16"/>
  <c r="J5" i="16" s="1"/>
  <c r="J18" i="16" s="1"/>
  <c r="E9" i="16"/>
  <c r="E5" i="16" s="1"/>
  <c r="E18" i="16" s="1"/>
  <c r="R19" i="14"/>
  <c r="E90" i="14"/>
  <c r="E19" i="59"/>
  <c r="E20" i="59" s="1"/>
  <c r="C89" i="14"/>
  <c r="C19" i="59" s="1"/>
  <c r="K20" i="59"/>
  <c r="G48" i="18"/>
  <c r="I8" i="18" s="1"/>
  <c r="D48" i="18"/>
  <c r="B33" i="13"/>
  <c r="H48" i="18"/>
  <c r="C48" i="18"/>
  <c r="E48" i="18"/>
  <c r="E8" i="18" s="1"/>
  <c r="K78" i="14"/>
  <c r="D14" i="48"/>
  <c r="D32" i="48" l="1"/>
  <c r="Q14" i="48"/>
  <c r="J8" i="18"/>
  <c r="N8" i="48"/>
  <c r="N26" i="48" s="1"/>
  <c r="O13" i="14"/>
  <c r="N22" i="16"/>
  <c r="O43" i="14" s="1"/>
  <c r="C16" i="14"/>
  <c r="C27" i="14" s="1"/>
  <c r="B3" i="6" s="1"/>
  <c r="D15" i="48"/>
  <c r="Q16" i="14"/>
  <c r="Q27" i="14" s="1"/>
  <c r="Q63" i="14" s="1"/>
  <c r="D20" i="59"/>
  <c r="E22" i="16"/>
  <c r="F43" i="14" s="1"/>
  <c r="E8" i="48"/>
  <c r="E26" i="48" s="1"/>
  <c r="F13" i="14"/>
  <c r="K10" i="14"/>
  <c r="J5" i="48"/>
  <c r="J20" i="15"/>
  <c r="K40" i="14" s="1"/>
  <c r="E61" i="14"/>
  <c r="N52" i="14"/>
  <c r="N61" i="14" s="1"/>
  <c r="N63" i="14" s="1"/>
  <c r="P22" i="48"/>
  <c r="P33" i="48" s="1"/>
  <c r="P15" i="48"/>
  <c r="N22" i="48"/>
  <c r="F76" i="14"/>
  <c r="E10" i="18"/>
  <c r="J8" i="48"/>
  <c r="J26" i="48" s="1"/>
  <c r="K13" i="14"/>
  <c r="J22" i="16"/>
  <c r="K43" i="14" s="1"/>
  <c r="F10" i="14"/>
  <c r="F16" i="14" s="1"/>
  <c r="F27" i="14" s="1"/>
  <c r="E5" i="48"/>
  <c r="E20" i="15"/>
  <c r="F40" i="14" s="1"/>
  <c r="F46" i="14" s="1"/>
  <c r="F61" i="14" s="1"/>
  <c r="E26" i="14"/>
  <c r="R24" i="14"/>
  <c r="R26" i="14" s="1"/>
  <c r="E22" i="14"/>
  <c r="E27" i="14" s="1"/>
  <c r="R20" i="14"/>
  <c r="R22" i="14" s="1"/>
  <c r="D33" i="48"/>
  <c r="F90" i="14"/>
  <c r="F17" i="59"/>
  <c r="F20" i="59" s="1"/>
  <c r="B87" i="14"/>
  <c r="R13" i="14"/>
  <c r="I10" i="18"/>
  <c r="I76" i="14"/>
  <c r="G13" i="14"/>
  <c r="F8" i="48"/>
  <c r="F26" i="48" s="1"/>
  <c r="F22" i="16"/>
  <c r="G43" i="14" s="1"/>
  <c r="F5" i="48"/>
  <c r="F20" i="15"/>
  <c r="G40" i="14" s="1"/>
  <c r="G10" i="14"/>
  <c r="G16" i="14" s="1"/>
  <c r="G27" i="14" s="1"/>
  <c r="N20" i="15"/>
  <c r="O40" i="14" s="1"/>
  <c r="O46" i="14" s="1"/>
  <c r="O61" i="14" s="1"/>
  <c r="O63" i="14" s="1"/>
  <c r="O10" i="14"/>
  <c r="O16" i="14" s="1"/>
  <c r="O27" i="14" s="1"/>
  <c r="N5" i="48"/>
  <c r="N23" i="48" s="1"/>
  <c r="O26" i="48"/>
  <c r="O33" i="48" s="1"/>
  <c r="O15" i="48"/>
  <c r="M8" i="59"/>
  <c r="M10" i="59" s="1"/>
  <c r="M78" i="14"/>
  <c r="B15" i="48"/>
  <c r="Q5" i="48"/>
  <c r="C17" i="59"/>
  <c r="C20" i="59" s="1"/>
  <c r="C90" i="14"/>
  <c r="Q90" i="14"/>
  <c r="B17" i="6" s="1"/>
  <c r="B22" i="6" s="1"/>
  <c r="P17" i="59"/>
  <c r="P20" i="59" s="1"/>
  <c r="C18" i="15" l="1"/>
  <c r="C20" i="15" s="1"/>
  <c r="D40" i="14" s="1"/>
  <c r="C22" i="59"/>
  <c r="C10" i="13"/>
  <c r="C16" i="22"/>
  <c r="C20" i="16"/>
  <c r="C22" i="16" s="1"/>
  <c r="D43" i="14" s="1"/>
  <c r="C29" i="20"/>
  <c r="C56" i="22"/>
  <c r="C58" i="22" s="1"/>
  <c r="D49" i="14" s="1"/>
  <c r="D52" i="14" s="1"/>
  <c r="C17" i="49"/>
  <c r="C17" i="19"/>
  <c r="C19" i="19" s="1"/>
  <c r="D39" i="14" s="1"/>
  <c r="C10" i="17"/>
  <c r="C12" i="17" s="1"/>
  <c r="D54" i="14" s="1"/>
  <c r="D56" i="14" s="1"/>
  <c r="R27" i="14"/>
  <c r="F23" i="48"/>
  <c r="F33" i="48" s="1"/>
  <c r="F15" i="48"/>
  <c r="I8" i="59"/>
  <c r="I10" i="59" s="1"/>
  <c r="I78" i="14"/>
  <c r="F63" i="14"/>
  <c r="K46" i="14"/>
  <c r="K61" i="14" s="1"/>
  <c r="E23" i="48"/>
  <c r="E33" i="48" s="1"/>
  <c r="E15" i="48"/>
  <c r="Q8" i="48"/>
  <c r="Q15" i="48" s="1"/>
  <c r="J23" i="48"/>
  <c r="J33" i="48" s="1"/>
  <c r="J15" i="48"/>
  <c r="N15" i="48"/>
  <c r="K16" i="14"/>
  <c r="K27" i="14" s="1"/>
  <c r="R10" i="14"/>
  <c r="R16" i="14" s="1"/>
  <c r="G46" i="14"/>
  <c r="G61" i="14" s="1"/>
  <c r="G63" i="14" s="1"/>
  <c r="B90" i="14"/>
  <c r="B17" i="59"/>
  <c r="B20" i="59" s="1"/>
  <c r="F8" i="59"/>
  <c r="F10" i="59" s="1"/>
  <c r="F78" i="14"/>
  <c r="Q76" i="14"/>
  <c r="N33" i="48"/>
  <c r="E63" i="14"/>
  <c r="J10" i="18"/>
  <c r="J76" i="14"/>
  <c r="B76" i="14" s="1"/>
  <c r="O8" i="18"/>
  <c r="O10" i="18" s="1"/>
  <c r="B8" i="59" l="1"/>
  <c r="B10" i="59" s="1"/>
  <c r="B78" i="14"/>
  <c r="K63" i="14"/>
  <c r="P8" i="59"/>
  <c r="P10" i="59" s="1"/>
  <c r="Q78" i="14"/>
  <c r="B9" i="6" s="1"/>
  <c r="D46" i="14"/>
  <c r="D61" i="14" s="1"/>
  <c r="D63" i="14" s="1"/>
  <c r="C12" i="13"/>
  <c r="D41" i="14" s="1"/>
  <c r="C17" i="48"/>
  <c r="J78" i="14"/>
  <c r="J8" i="59"/>
  <c r="J10" i="59" s="1"/>
  <c r="C76" i="14"/>
  <c r="C8" i="59" l="1"/>
  <c r="C10" i="59" s="1"/>
  <c r="C78" i="14"/>
  <c r="B4" i="6" s="1"/>
  <c r="B12" i="6" s="1"/>
  <c r="C28" i="48"/>
  <c r="C32" i="48"/>
  <c r="C22" i="48"/>
  <c r="C33" i="48" s="1"/>
  <c r="C29" i="48"/>
  <c r="C23" i="48"/>
  <c r="C30" i="48"/>
  <c r="C26" i="48"/>
  <c r="C27" i="48"/>
  <c r="C31" i="48"/>
  <c r="C24" i="48"/>
  <c r="C25" i="48"/>
  <c r="C55" i="14" l="1"/>
  <c r="R55" i="14" s="1"/>
  <c r="B10" i="9"/>
  <c r="B12" i="9" s="1"/>
  <c r="C12" i="59"/>
  <c r="B18" i="15"/>
  <c r="B20" i="15" s="1"/>
  <c r="C40" i="14" s="1"/>
  <c r="R40" i="14" s="1"/>
  <c r="B16" i="22"/>
  <c r="B18" i="22" s="1"/>
  <c r="C50" i="14" s="1"/>
  <c r="R50" i="14" s="1"/>
  <c r="B10" i="13"/>
  <c r="B17" i="49"/>
  <c r="B19" i="49" s="1"/>
  <c r="C42" i="14" s="1"/>
  <c r="R42" i="14" s="1"/>
  <c r="B10" i="17"/>
  <c r="B12" i="17" s="1"/>
  <c r="C54" i="14" s="1"/>
  <c r="B29" i="20"/>
  <c r="B31" i="20" s="1"/>
  <c r="C48" i="14" s="1"/>
  <c r="B56" i="22"/>
  <c r="B58" i="22" s="1"/>
  <c r="C49" i="14" s="1"/>
  <c r="R49" i="14" s="1"/>
  <c r="B20" i="16"/>
  <c r="B22" i="16" s="1"/>
  <c r="C43" i="14" s="1"/>
  <c r="R43" i="14" s="1"/>
  <c r="B17" i="19"/>
  <c r="B19" i="19" s="1"/>
  <c r="C39" i="14" s="1"/>
  <c r="B12" i="13" l="1"/>
  <c r="C41" i="14" s="1"/>
  <c r="R41" i="14" s="1"/>
  <c r="B17" i="48"/>
  <c r="R39" i="14"/>
  <c r="C46" i="14"/>
  <c r="C61" i="14" s="1"/>
  <c r="C63" i="14" s="1"/>
  <c r="R54" i="14"/>
  <c r="R56" i="14" s="1"/>
  <c r="C56" i="14"/>
  <c r="R48" i="14"/>
  <c r="R52" i="14" s="1"/>
  <c r="C52" i="14"/>
  <c r="R46" i="14" l="1"/>
  <c r="R61" i="14" s="1"/>
  <c r="B25" i="48"/>
  <c r="Q25" i="48" s="1"/>
  <c r="B27" i="48"/>
  <c r="Q27" i="48" s="1"/>
  <c r="B28" i="48"/>
  <c r="Q28" i="48" s="1"/>
  <c r="B31" i="48"/>
  <c r="Q31" i="48" s="1"/>
  <c r="B32" i="48"/>
  <c r="Q32" i="48" s="1"/>
  <c r="B24" i="48"/>
  <c r="Q24" i="48" s="1"/>
  <c r="B22" i="48"/>
  <c r="B30" i="48"/>
  <c r="Q30" i="48" s="1"/>
  <c r="B29" i="48"/>
  <c r="Q29" i="48" s="1"/>
  <c r="B23" i="48"/>
  <c r="Q23" i="48" s="1"/>
  <c r="B26" i="48"/>
  <c r="Q26" i="48"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<sst xmlns="http://schemas.openxmlformats.org/spreadsheetml/2006/main" count="2370" uniqueCount="858">
  <si>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</si>
  <si>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</si>
  <si>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</si>
  <si>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</si>
  <si>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</si>
  <si>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</si>
  <si>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</si>
  <si>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</si>
  <si>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</si>
  <si>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</si>
  <si>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</si>
  <si>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</si>
  <si>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</si>
  <si>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</si>
  <si>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</si>
  <si>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</si>
  <si>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</si>
  <si>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</si>
  <si>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</si>
  <si>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</si>
  <si>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</si>
  <si>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</si>
  <si>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</si>
  <si>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</si>
  <si>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</si>
  <si>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</si>
  <si>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</si>
  <si>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</si>
  <si>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</si>
  <si>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</si>
  <si>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</si>
  <si>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</si>
  <si>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</si>
  <si>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</si>
  <si>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</si>
  <si>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</si>
  <si>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</si>
  <si>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</si>
  <si>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</si>
  <si>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</si>
  <si>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</si>
  <si>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</si>
  <si>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</si>
  <si>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</si>
  <si>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</si>
  <si>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</si>
  <si>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</si>
  <si>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</si>
  <si>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</si>
  <si>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</si>
  <si>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</si>
  <si>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</si>
  <si>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</si>
  <si>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</si>
  <si>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</si>
  <si>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</si>
  <si>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</si>
  <si>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</si>
  <si>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</si>
  <si>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</si>
  <si>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</si>
  <si>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</si>
  <si>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</si>
  <si>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</si>
  <si>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</si>
  <si>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</si>
  <si>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</si>
  <si>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</si>
  <si>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</si>
  <si>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</si>
  <si>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</si>
  <si>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</si>
  <si>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</si>
  <si>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</si>
  <si>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</si>
  <si>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</si>
  <si>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</si>
  <si>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</si>
  <si>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</si>
  <si>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</si>
  <si>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</si>
  <si>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</si>
  <si>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</si>
  <si>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</si>
  <si>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</si>
  <si>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</si>
  <si>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</si>
  <si>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</si>
  <si>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</si>
  <si>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</si>
  <si>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</si>
  <si>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</si>
  <si>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</si>
  <si>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</si>
  <si>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</si>
  <si>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</si>
  <si>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</si>
  <si>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</si>
  <si>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</si>
  <si>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</si>
  <si>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</si>
  <si>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</si>
  <si>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</si>
  <si>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</si>
  <si>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</si>
  <si>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</si>
  <si>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</si>
  <si>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</si>
  <si>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</si>
  <si>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</si>
  <si>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</si>
  <si>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</si>
  <si>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</si>
  <si>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</si>
  <si>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</si>
  <si>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</si>
  <si>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</si>
  <si>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</si>
  <si>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</si>
  <si>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</si>
  <si>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</si>
  <si>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</si>
  <si>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</si>
  <si>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</si>
  <si>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</si>
  <si>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</si>
  <si>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</si>
  <si>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</si>
  <si>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</si>
  <si>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</si>
  <si>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</si>
  <si>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</si>
  <si>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</si>
  <si>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</si>
  <si>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</si>
  <si>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</si>
  <si>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</si>
  <si>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</si>
  <si>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</si>
  <si>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</si>
  <si>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</si>
  <si>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</si>
  <si>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</si>
  <si>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</si>
  <si>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</si>
  <si>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</si>
  <si>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</si>
  <si>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</si>
  <si>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</si>
  <si>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</si>
  <si>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</si>
  <si>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</si>
  <si>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</si>
  <si>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</si>
  <si>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</si>
  <si>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</si>
  <si>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</si>
  <si>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</si>
  <si>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</si>
  <si>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</si>
  <si>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</si>
  <si>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</si>
  <si>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</si>
  <si>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</si>
  <si>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</si>
  <si>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</si>
  <si>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</si>
  <si>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</si>
  <si>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</si>
  <si>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</si>
  <si>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</si>
  <si>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</si>
  <si>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</si>
  <si>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</si>
  <si>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</si>
  <si>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</si>
  <si>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</si>
  <si>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</si>
  <si>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</si>
  <si>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</si>
  <si>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</si>
  <si>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</si>
  <si>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</si>
  <si>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</si>
  <si>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</si>
  <si>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</si>
  <si>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</si>
  <si>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</si>
  <si>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</si>
  <si>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</si>
  <si>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</si>
  <si>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</si>
  <si>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</si>
  <si>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</si>
  <si>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</si>
  <si>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</si>
  <si>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</si>
  <si>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</si>
  <si>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</si>
  <si>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</si>
  <si>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</si>
  <si>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</si>
  <si>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</si>
  <si>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</si>
  <si>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</si>
  <si>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</si>
  <si>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</si>
  <si>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</si>
  <si>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</si>
  <si>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</si>
  <si>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</si>
  <si>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</si>
  <si>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</si>
  <si>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</si>
  <si>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</si>
  <si>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</si>
  <si>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</si>
  <si>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</si>
  <si>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</si>
  <si>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</si>
  <si>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</si>
  <si>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</si>
  <si>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</si>
  <si>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</si>
  <si>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</si>
  <si>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</si>
  <si>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</si>
  <si>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</si>
  <si>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</si>
  <si>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</si>
  <si>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</si>
  <si>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</si>
  <si>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</si>
  <si>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</si>
  <si>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</si>
  <si>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</si>
  <si>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</si>
  <si>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</si>
  <si>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</si>
  <si>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</si>
  <si>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</si>
  <si>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</si>
  <si>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</si>
  <si>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</si>
  <si>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</si>
  <si>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</si>
  <si>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</si>
  <si>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</si>
  <si>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</si>
  <si>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</si>
  <si>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</si>
  <si>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</si>
  <si>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</si>
  <si>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</si>
  <si>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</si>
  <si>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</si>
  <si>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</si>
  <si>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</si>
  <si>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</si>
  <si>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</si>
  <si>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</si>
  <si>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</si>
  <si>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</si>
  <si>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</si>
  <si>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</si>
  <si>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</si>
  <si>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</si>
  <si>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</si>
  <si>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</si>
  <si>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</si>
  <si>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</si>
  <si>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</si>
  <si>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</si>
  <si>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</si>
  <si>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</si>
  <si>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</si>
  <si>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</si>
  <si>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</si>
  <si>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</si>
  <si>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</si>
  <si>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</si>
  <si>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</si>
  <si>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</si>
  <si>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</si>
  <si>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</si>
  <si>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</si>
  <si>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</si>
  <si>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</si>
  <si>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</si>
  <si>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</si>
  <si>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</si>
  <si>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</si>
  <si>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</si>
  <si>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</si>
  <si>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</si>
  <si>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</si>
  <si>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</si>
  <si>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</si>
  <si>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</si>
  <si>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</si>
  <si>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</si>
  <si>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</si>
  <si>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</si>
  <si>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</si>
  <si>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</si>
  <si>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</si>
  <si>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</si>
  <si>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</si>
  <si>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</si>
  <si>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</si>
  <si>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</si>
  <si>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</si>
  <si>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</si>
  <si>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</si>
  <si>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</si>
  <si>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</si>
  <si>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</si>
  <si>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</si>
  <si>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</si>
  <si>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</si>
  <si>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</si>
  <si>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</si>
  <si>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</si>
  <si>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</si>
  <si>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</si>
  <si>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</si>
  <si>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</si>
  <si>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</si>
  <si>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</si>
  <si>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</si>
  <si>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</si>
  <si>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</si>
  <si>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</si>
  <si>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</si>
  <si>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</si>
  <si>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</si>
  <si>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</si>
  <si>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</si>
  <si>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</si>
  <si>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</si>
  <si>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</si>
  <si>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</si>
  <si>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</si>
  <si>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</si>
  <si>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</si>
  <si>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</si>
  <si>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</si>
  <si>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</si>
  <si>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</si>
  <si>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</si>
  <si>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</si>
  <si>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</si>
  <si>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</si>
  <si>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</si>
  <si>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</si>
  <si>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</si>
  <si>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</si>
  <si>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</si>
  <si>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</si>
  <si>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</si>
  <si>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</si>
  <si>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</si>
  <si>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</si>
  <si>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</si>
  <si>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</si>
  <si>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</si>
  <si>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</si>
  <si>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</si>
  <si>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</si>
  <si>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</si>
  <si>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</si>
  <si>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</si>
  <si>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</si>
  <si>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</si>
  <si>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</si>
  <si>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</si>
  <si>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</si>
  <si>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</si>
  <si>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</si>
  <si>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</si>
  <si>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</si>
  <si>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</si>
  <si>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</si>
  <si>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</si>
  <si>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</si>
  <si>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</si>
  <si>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</si>
  <si>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</si>
  <si>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</si>
  <si>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</si>
  <si>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</si>
  <si>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</si>
  <si>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</si>
  <si>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</si>
  <si>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</si>
  <si>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</si>
  <si>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</si>
  <si>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</si>
  <si>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</si>
  <si>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</si>
  <si>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</si>
  <si>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</si>
  <si>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</si>
  <si>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</si>
  <si>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</si>
  <si>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</si>
  <si>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</si>
  <si>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</si>
  <si>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</si>
  <si>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</si>
  <si>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</si>
  <si>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</si>
  <si>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</si>
  <si>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</si>
  <si>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</si>
  <si>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</si>
  <si>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</si>
  <si>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</si>
  <si>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</si>
  <si>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</si>
  <si>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</si>
  <si>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</si>
  <si>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</si>
  <si>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</si>
  <si>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</si>
  <si>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</si>
  <si>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</si>
  <si>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</si>
  <si>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</si>
  <si>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</si>
  <si>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</si>
  <si>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</si>
  <si>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</si>
  <si>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</si>
  <si>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</si>
  <si>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</si>
  <si>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</si>
  <si>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</si>
  <si>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</si>
  <si>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</si>
  <si>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</si>
  <si>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</si>
  <si>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</si>
  <si>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</si>
  <si>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</si>
  <si>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</si>
  <si>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</si>
  <si>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</si>
  <si>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</si>
  <si>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</si>
  <si>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</si>
  <si>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</si>
  <si>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</si>
  <si>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</si>
  <si>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</si>
  <si>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</si>
  <si>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</si>
  <si>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</si>
  <si>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</si>
  <si>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</si>
  <si>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</si>
  <si>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</si>
  <si>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</si>
  <si>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</si>
  <si>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</si>
  <si>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</si>
  <si>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</si>
  <si>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</si>
  <si>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</si>
  <si>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</si>
  <si>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</si>
  <si>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</si>
  <si>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</si>
  <si>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</si>
  <si>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</si>
  <si>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</si>
  <si>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</si>
  <si>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</si>
  <si>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</si>
  <si>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</si>
  <si>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</si>
  <si>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</si>
  <si>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</si>
  <si>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</si>
  <si>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</si>
  <si>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</si>
  <si>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</si>
  <si>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</si>
  <si>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</si>
  <si>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</si>
  <si>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</si>
  <si>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</si>
  <si>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</si>
  <si>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</si>
  <si>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</si>
  <si>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</si>
  <si>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</si>
  <si>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</si>
  <si>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</si>
  <si>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</si>
  <si>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</si>
  <si>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</si>
  <si>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</si>
  <si>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</si>
  <si>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</si>
  <si>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</si>
  <si>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</si>
  <si>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</si>
  <si>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</si>
  <si>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</si>
  <si>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</si>
  <si>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</si>
  <si>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</si>
  <si>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</si>
  <si>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</si>
  <si>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</si>
  <si>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</si>
  <si>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</si>
  <si>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</si>
  <si>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</si>
  <si>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</si>
  <si>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</si>
  <si>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</si>
  <si>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</si>
  <si>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</si>
  <si>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</si>
  <si>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</si>
  <si>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</si>
  <si>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</si>
  <si>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</si>
  <si>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</si>
  <si>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</si>
  <si>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</si>
  <si>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</si>
  <si>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</si>
  <si>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</si>
  <si>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</si>
  <si>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</si>
  <si>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</si>
  <si>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</si>
  <si>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</si>
  <si>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</si>
  <si>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</si>
  <si>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</si>
  <si>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</si>
  <si>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</si>
  <si>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</si>
  <si>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</si>
  <si>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</si>
  <si>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</si>
  <si>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</si>
  <si>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</si>
  <si>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</si>
  <si>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</si>
  <si>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</si>
  <si>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</si>
  <si>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</si>
  <si>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</si>
  <si>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</si>
  <si>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</si>
  <si>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</si>
  <si>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</si>
  <si>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</si>
  <si>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</si>
  <si>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</si>
  <si>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</si>
  <si>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</si>
  <si>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</si>
  <si>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</si>
  <si>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</si>
  <si>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</si>
  <si>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</si>
  <si>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</si>
  <si>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</si>
  <si>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</si>
  <si>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</si>
  <si>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</si>
  <si>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</si>
  <si>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</si>
  <si>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</si>
  <si>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</si>
  <si>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</si>
  <si>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</si>
  <si>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</si>
  <si>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</si>
  <si>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</si>
  <si>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</si>
  <si>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</si>
  <si>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</si>
  <si>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</si>
  <si>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</si>
  <si>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</si>
  <si>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</si>
  <si>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</si>
  <si>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</si>
  <si>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</si>
  <si>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</si>
  <si>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</si>
  <si>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</si>
  <si>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</si>
  <si>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</si>
  <si>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</si>
  <si>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</si>
  <si>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</si>
  <si>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</si>
  <si>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</si>
  <si>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</si>
  <si>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</si>
  <si>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</si>
  <si>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</si>
  <si>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</si>
  <si>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</si>
  <si>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</si>
  <si>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</si>
  <si>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</si>
  <si>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</si>
  <si>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</si>
  <si>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</si>
  <si>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</si>
  <si>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</si>
  <si>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</si>
  <si>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</si>
  <si>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</si>
  <si>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</si>
  <si>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</si>
  <si>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</si>
  <si>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</si>
  <si>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</si>
  <si>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</si>
  <si>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</si>
  <si>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</si>
  <si>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</si>
  <si>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</si>
  <si>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</si>
  <si>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</si>
  <si>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</si>
  <si>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</si>
  <si>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</si>
  <si>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</si>
  <si>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</si>
  <si>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</si>
  <si>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</si>
  <si>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</si>
  <si>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</si>
  <si>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</si>
  <si>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</si>
  <si>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</si>
  <si>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</si>
  <si>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</si>
  <si>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</si>
  <si>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</si>
  <si>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</si>
  <si>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</si>
  <si>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</si>
  <si>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</si>
  <si>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</si>
  <si>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</si>
  <si>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</si>
  <si>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</si>
  <si>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</si>
  <si>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</si>
  <si>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</si>
  <si>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</si>
  <si>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</si>
  <si>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</si>
  <si>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</si>
  <si>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</si>
  <si>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</si>
  <si>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</si>
  <si>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</si>
  <si>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</si>
  <si>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</si>
  <si>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</si>
  <si>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</si>
  <si>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</si>
  <si>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</si>
  <si>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</si>
  <si>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</si>
  <si>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</si>
  <si>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</si>
  <si>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</si>
  <si>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</si>
  <si>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</si>
  <si>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</si>
  <si>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</si>
  <si>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</si>
  <si>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</si>
  <si>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</si>
  <si>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</si>
  <si>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</si>
  <si>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</si>
  <si>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</si>
  <si>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</si>
  <si>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</si>
  <si>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</si>
  <si>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</si>
  <si>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</si>
  <si>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</si>
  <si>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</si>
  <si>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</si>
  <si>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</si>
  <si>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</si>
  <si>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</si>
  <si>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</si>
  <si>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</si>
  <si>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</si>
  <si>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</si>
  <si>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</si>
  <si>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</si>
  <si>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</si>
  <si>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</si>
  <si>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</si>
  <si>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</si>
  <si>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</si>
  <si>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</si>
  <si>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</si>
  <si>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</si>
  <si>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</si>
  <si>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</si>
  <si>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</si>
  <si>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</si>
  <si>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</si>
  <si>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</si>
  <si>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</si>
  <si>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</si>
  <si>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</si>
  <si>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</si>
  <si>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</si>
  <si>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</si>
  <si>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</si>
  <si>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</si>
  <si>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</si>
  <si>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</si>
  <si>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</si>
  <si>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</si>
  <si>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</si>
  <si>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</si>
  <si>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</si>
  <si>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</si>
  <si>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</si>
  <si>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COPERT 5 standaardwaardes</t>
  </si>
  <si>
    <t>standaardwaardes in COPERT-tool</t>
  </si>
  <si>
    <t>april 2020</t>
  </si>
  <si>
    <t>SVR-projecties van de bevolking en de huishoudens voor Vlaamse steden en gemeenten, 2010-2019</t>
  </si>
  <si>
    <t>Rita Van Dievoort</t>
  </si>
  <si>
    <t>Rita.VanDievoort@vlm.be</t>
  </si>
  <si>
    <t>januari 2020</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</si>
  <si>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</si>
  <si>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</si>
  <si>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</si>
  <si>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</si>
  <si>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</si>
  <si>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</si>
  <si>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</si>
  <si>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</si>
  <si>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</si>
  <si>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</si>
  <si>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</si>
  <si>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</si>
  <si>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r>
      <t>sheet met resultaten inventaris voor</t>
    </r>
    <r>
      <rPr>
        <b/>
        <sz val="11"/>
        <color rgb="FF009999"/>
        <rFont val="Calibri"/>
        <family val="2"/>
        <scheme val="minor"/>
      </rPr>
      <t xml:space="preserve"> 2019</t>
    </r>
    <r>
      <rPr>
        <sz val="11"/>
        <color theme="1"/>
        <rFont val="Calibri"/>
        <family val="2"/>
        <scheme val="minor"/>
      </rPr>
      <t>, weergegeven in SEAP template</t>
    </r>
  </si>
  <si>
    <t>SEAP template met inventaris voor 2019</t>
  </si>
  <si>
    <t>Inventaris 2019'!A1</t>
  </si>
  <si>
    <t>betrouwbaarheid inventaris</t>
  </si>
  <si>
    <t>Lokale energieproductie 2019</t>
  </si>
  <si>
    <t>betrouwbaarheid productie</t>
  </si>
  <si>
    <t>betrouwbaarheid cijfers inventaris</t>
  </si>
  <si>
    <t>lokale productie van elektriciteit en warmte</t>
  </si>
  <si>
    <t>betrouwbaarheid cijfers lokale energieproductie</t>
  </si>
  <si>
    <t>2019_01</t>
  </si>
  <si>
    <t>Energiebalans Vlaanderen voor 2019 voor sector huishoudens, tertiair, industrie (niet-ETS) en landbouw</t>
  </si>
  <si>
    <t xml:space="preserve">emissiefactoren niet-energiegerelateerde emissies CH4 en N2O voor 2019 uit rekenmodellen VMM </t>
  </si>
  <si>
    <t>VMM (januari 2021)</t>
  </si>
  <si>
    <t>Bron: N2O-model (VMM, januari 2021)</t>
  </si>
  <si>
    <t>januari 2021</t>
  </si>
  <si>
    <t>Mestbank (2021)</t>
  </si>
  <si>
    <t>februari 2021</t>
  </si>
  <si>
    <t>De Lijn (2021)</t>
  </si>
  <si>
    <t>Fuel Cell H2</t>
  </si>
  <si>
    <t>H2</t>
  </si>
  <si>
    <t>Diesel Hybrid PHEV</t>
  </si>
  <si>
    <t>Petrol Hybrid PHEV</t>
  </si>
  <si>
    <t>Petrol Hybrid CS</t>
  </si>
  <si>
    <t>Data VMM 2021</t>
  </si>
  <si>
    <t>Diesel hybride</t>
  </si>
  <si>
    <t>voorjaar 2021</t>
  </si>
  <si>
    <t>"fuel sold" - gerapporteerde brandstofverkopen voor wegtransport voor 2011-2019</t>
  </si>
  <si>
    <t>COPERT 5.4</t>
  </si>
  <si>
    <t>Jaarverslag van De Lijn 2019</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</si>
  <si>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</si>
  <si>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</si>
  <si>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</si>
  <si>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</si>
  <si>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</si>
  <si>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</si>
  <si>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</si>
  <si>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</si>
  <si>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</si>
  <si>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28 februari 2021</t>
  </si>
  <si>
    <t>VEKA</t>
  </si>
  <si>
    <t>1 december 2020</t>
  </si>
  <si>
    <t>30 april 2021</t>
  </si>
  <si>
    <t>3 september 2020</t>
  </si>
  <si>
    <t xml:space="preserve">Energiebalans Vlaanderen (januari 2021) 
</t>
  </si>
  <si>
    <t>Energiebalans Vlaanderen</t>
  </si>
  <si>
    <t>Energiebalans Vlaanderen 1990 - 2019</t>
  </si>
  <si>
    <t>22 januari 2020</t>
  </si>
  <si>
    <t>02 553 15 62 </t>
  </si>
  <si>
    <t>kaat.jespers@vlaanderen.be</t>
  </si>
  <si>
    <t>https://www.energiesparen.be/energiestatistieken</t>
  </si>
  <si>
    <t>Energiebalans Vlaanderen niet-ETS</t>
  </si>
  <si>
    <t>E Balans VL '!A1</t>
  </si>
  <si>
    <t xml:space="preserve">tabblad transport: 'Verdeelsleutel voertuigkm over voertuigtechnologie' o.b.v. doorrekening COPERT 5.4 door VMM (2021) </t>
  </si>
  <si>
    <t xml:space="preserve">tabblad transport: '% Biobrandstoffen' obv doorrekening COPERT 5.4 door VMM (2021) </t>
  </si>
  <si>
    <t>tabblad ECF transport: ECF o.b.v. doorrekening COPERT 5.4 door VMM (2021)</t>
  </si>
  <si>
    <t>kolen HV</t>
  </si>
  <si>
    <t>aardgas HV</t>
  </si>
  <si>
    <t>but/prop</t>
  </si>
  <si>
    <t>elektriciteit HV</t>
  </si>
  <si>
    <t>biomassa</t>
  </si>
  <si>
    <t>aardgas (excl. 5% afnamepunten aardgas enkel koken)</t>
  </si>
  <si>
    <t>aantallen 2019 voor hoofdverwarming</t>
  </si>
  <si>
    <t>%verdeling bijverwarming</t>
  </si>
  <si>
    <t>aantallen 2019 voor bijverwarming</t>
  </si>
  <si>
    <t>MWh hoofdverw/hh (2019)</t>
  </si>
  <si>
    <t>MWh bijverwarming/hh (2019)</t>
  </si>
  <si>
    <t>aantal huishoudens 2019</t>
  </si>
  <si>
    <t>aantal afnemers aardgas 2019</t>
  </si>
  <si>
    <t>verdeling energiedragers Vlaanderen 2019</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</si>
  <si>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</si>
  <si>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2019.
</t>
  </si>
  <si>
    <t>versie: 2019_02</t>
  </si>
  <si>
    <t>2019_02</t>
  </si>
  <si>
    <t>EF N2O en CH4 per dier (runderen totaal, melkkoeien, zoogkoeien)</t>
  </si>
  <si>
    <t>Bron: CH4 vee-model (VMM, januari 2022)</t>
  </si>
  <si>
    <t>januari 2022</t>
  </si>
  <si>
    <t>VITO Energiebalans Vlaanderen (december 2021)</t>
  </si>
  <si>
    <t>gemiddeld verbruik per huishouden en per energiedrager</t>
  </si>
  <si>
    <t>update Energiebalans Vlaanderen voor huishoudens, tertiair, landbouw en industrie niet-ETS</t>
  </si>
  <si>
    <t xml:space="preserve">Energiebalans Vlaanderen (december 2021) 
</t>
  </si>
  <si>
    <t>verdeling energiedragers huishoudens</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</si>
  <si>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</si>
  <si>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</si>
  <si>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</si>
  <si>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</si>
  <si>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</si>
  <si>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</si>
  <si>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</si>
  <si>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</si>
  <si>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</si>
  <si>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</si>
  <si>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</si>
  <si>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</si>
  <si>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23050</t>
  </si>
  <si>
    <t>MEISE</t>
  </si>
  <si>
    <t>waterkracht</t>
  </si>
  <si>
    <t>vloeibaar gas (MWh)</t>
  </si>
  <si>
    <t>brandstofcel</t>
  </si>
  <si>
    <t>SIBELGAS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</si>
</sst>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2">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4">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2" fillId="0" borderId="0"/>
    <xf numFmtId="0" fontId="2" fillId="0" borderId="0" applyNumberFormat="0" applyFill="0" applyBorder="0" applyAlignment="0" applyProtection="0"/>
    <xf numFmtId="0" fontId="103" fillId="0" borderId="175" applyNumberFormat="0" applyFill="0" applyAlignment="0" applyProtection="0"/>
    <xf numFmtId="0" fontId="104" fillId="26" borderId="0" applyNumberFormat="0" applyBorder="0" applyAlignment="0" applyProtection="0"/>
    <xf numFmtId="0" fontId="102" fillId="27" borderId="0" applyNumberFormat="0" applyBorder="0" applyAlignment="0" applyProtection="0"/>
    <xf numFmtId="9" fontId="102"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4" fillId="0" borderId="175" applyNumberFormat="0" applyFill="0" applyAlignment="0" applyProtection="0"/>
    <xf numFmtId="0" fontId="115" fillId="31" borderId="0" applyNumberFormat="0" applyBorder="0" applyAlignment="0" applyProtection="0"/>
    <xf numFmtId="0" fontId="116" fillId="32" borderId="0" applyNumberFormat="0" applyBorder="0" applyAlignment="0" applyProtection="0"/>
    <xf numFmtId="0" fontId="117" fillId="33" borderId="198" applyNumberFormat="0" applyAlignment="0" applyProtection="0"/>
    <xf numFmtId="0" fontId="118" fillId="34" borderId="199" applyNumberFormat="0" applyAlignment="0" applyProtection="0"/>
    <xf numFmtId="0" fontId="119" fillId="34" borderId="198" applyNumberFormat="0" applyAlignment="0" applyProtection="0"/>
    <xf numFmtId="0" fontId="120"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1"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2"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2"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3" fillId="0" borderId="13" applyFill="0" applyBorder="0" applyProtection="0">
      <alignment horizontal="right" vertical="center"/>
    </xf>
    <xf numFmtId="0" fontId="124"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3" fillId="0" borderId="205" applyNumberFormat="0" applyFill="0" applyBorder="0" applyProtection="0">
      <alignment horizontal="left" vertical="center"/>
    </xf>
    <xf numFmtId="0" fontId="27" fillId="0" borderId="205" applyNumberFormat="0" applyFill="0" applyAlignment="0" applyProtection="0"/>
    <xf numFmtId="0" fontId="125"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3"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3"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3"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2" fillId="0" borderId="0"/>
    <xf numFmtId="0" fontId="128" fillId="63" borderId="211">
      <alignment horizontal="center"/>
    </xf>
    <xf numFmtId="0" fontId="129" fillId="64" borderId="211"/>
    <xf numFmtId="0" fontId="129" fillId="65" borderId="211"/>
    <xf numFmtId="0" fontId="5" fillId="0" borderId="0"/>
    <xf numFmtId="0" fontId="102" fillId="0" borderId="0"/>
    <xf numFmtId="9" fontId="102"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0" fontId="102" fillId="0" borderId="0"/>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3"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3"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3"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2" fillId="0" borderId="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88">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0" fontId="5" fillId="3"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0" fillId="24" borderId="0" xfId="0" applyNumberFormat="1" applyFill="1" applyAlignment="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7" fillId="0" borderId="102" xfId="0" applyFont="1" applyBorder="1" applyProtection="1"/>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72" fontId="72" fillId="25" borderId="0" xfId="148" applyFill="1" applyAlignment="1" applyProtection="1">
      <alignment vertical="center"/>
    </xf>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4" fillId="0" borderId="0" xfId="0" applyNumberFormat="1" applyFont="1" applyFill="1" applyBorder="1" applyAlignment="1">
      <alignment vertical="top"/>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5" fillId="12" borderId="183" xfId="0" applyNumberFormat="1" applyFont="1" applyFill="1" applyBorder="1" applyAlignment="1">
      <alignment horizontal="center" vertical="center" wrapText="1"/>
    </xf>
    <xf numFmtId="3" fontId="23" fillId="0" borderId="0" xfId="0" applyNumberFormat="1" applyFont="1"/>
    <xf numFmtId="3" fontId="105"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6"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7"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7" fillId="0" borderId="0" xfId="0" applyNumberFormat="1" applyFont="1" applyAlignment="1">
      <alignment vertical="top"/>
    </xf>
    <xf numFmtId="3" fontId="0" fillId="29" borderId="0" xfId="0" applyNumberFormat="1" applyFont="1" applyFill="1" applyAlignment="1">
      <alignment horizontal="left" vertical="top" wrapText="1"/>
    </xf>
    <xf numFmtId="3" fontId="108"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1"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0"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0"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24" fillId="15" borderId="181" xfId="0" applyNumberFormat="1" applyFont="1" applyFill="1" applyBorder="1" applyAlignment="1" applyProtection="1">
      <alignment horizontal="center" vertical="center"/>
      <protection locked="0"/>
    </xf>
    <xf numFmtId="1" fontId="111"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0"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24" fillId="15" borderId="181" xfId="0" applyNumberFormat="1" applyFont="1" applyFill="1" applyBorder="1" applyAlignment="1" applyProtection="1">
      <alignment horizontal="left" vertical="top"/>
      <protection locked="0"/>
    </xf>
    <xf numFmtId="1" fontId="45" fillId="0" borderId="181"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9" fontId="24" fillId="0" borderId="0" xfId="0" applyNumberFormat="1" applyFont="1" applyFill="1" applyBorder="1"/>
    <xf numFmtId="172" fontId="0" fillId="0" borderId="0" xfId="0" applyFill="1"/>
    <xf numFmtId="172" fontId="72" fillId="0" borderId="0" xfId="148" quotePrefix="1" applyFill="1" applyAlignment="1" applyProtection="1"/>
    <xf numFmtId="0" fontId="126" fillId="4" borderId="0" xfId="148" applyNumberFormat="1" applyFont="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0" fontId="24" fillId="24" borderId="0" xfId="224" applyNumberFormat="1" applyFont="1" applyFill="1"/>
    <xf numFmtId="0" fontId="24" fillId="24" borderId="0" xfId="224" applyNumberFormat="1" applyFont="1" applyFill="1" applyAlignmen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0" fontId="24" fillId="24" borderId="0" xfId="224" quotePrefix="1" applyNumberFormat="1" applyFont="1" applyFill="1"/>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29" fillId="0" borderId="0" xfId="0" applyNumberFormat="1" applyFont="1" applyBorder="1" applyAlignment="1">
      <alignment horizontal="justify"/>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5" fillId="12" borderId="181" xfId="0" applyNumberFormat="1" applyFont="1" applyFill="1" applyBorder="1" applyAlignment="1">
      <alignment horizontal="center" vertical="center" wrapText="1"/>
    </xf>
    <xf numFmtId="3" fontId="105" fillId="12" borderId="182" xfId="0" applyNumberFormat="1" applyFont="1" applyFill="1" applyBorder="1" applyAlignment="1">
      <alignment horizontal="center" vertical="top" wrapText="1"/>
    </xf>
    <xf numFmtId="3" fontId="105" fillId="12" borderId="183" xfId="0" applyNumberFormat="1" applyFont="1" applyFill="1" applyBorder="1" applyAlignment="1">
      <alignment horizontal="center" vertical="top" wrapText="1"/>
    </xf>
    <xf numFmtId="3" fontId="105" fillId="12" borderId="8" xfId="0" applyNumberFormat="1" applyFont="1" applyFill="1" applyBorder="1" applyAlignment="1">
      <alignment horizontal="center" vertical="center" wrapText="1"/>
    </xf>
    <xf numFmtId="3" fontId="105" fillId="12" borderId="11" xfId="0" applyNumberFormat="1" applyFont="1" applyFill="1" applyBorder="1" applyAlignment="1">
      <alignment horizontal="center" vertical="center" wrapText="1"/>
    </xf>
    <xf numFmtId="3" fontId="105" fillId="12" borderId="9" xfId="0" applyNumberFormat="1" applyFont="1" applyFill="1" applyBorder="1" applyAlignment="1">
      <alignment horizontal="center" vertical="center" wrapText="1"/>
    </xf>
    <xf numFmtId="3" fontId="105" fillId="12" borderId="13" xfId="0" applyNumberFormat="1" applyFont="1" applyFill="1" applyBorder="1" applyAlignment="1">
      <alignment horizontal="center" vertical="center" wrapText="1"/>
    </xf>
    <xf numFmtId="3" fontId="105" fillId="12" borderId="10" xfId="0" applyNumberFormat="1" applyFont="1" applyFill="1" applyBorder="1" applyAlignment="1">
      <alignment horizontal="center" vertical="center" wrapText="1"/>
    </xf>
    <xf numFmtId="3" fontId="105"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3"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09"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172" fontId="39" fillId="0" borderId="0" xfId="0"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182" fontId="24" fillId="0" borderId="0" xfId="173" applyNumberFormat="1" applyFont="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3" xfId="239" applyFont="1" applyBorder="1"/>
    <xf numFmtId="182" fontId="0" fillId="0" borderId="213" xfId="173" applyNumberFormat="1" applyFont="1" applyBorder="1"/>
    <xf numFmtId="0" fontId="24" fillId="23" borderId="0" xfId="0" applyNumberFormat="1" applyFont="1" applyFill="1"/>
    <xf numFmtId="0" fontId="45" fillId="23" borderId="0" xfId="0" applyNumberFormat="1" applyFont="1" applyFill="1"/>
    <xf numFmtId="0" fontId="0" fillId="0" borderId="213"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9EB0686C-C4E7-4AAE-B3B3-4078800A51B3}"/>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163531.94798516767</c:v>
                </c:pt>
                <c:pt idx="1">
                  <c:v>50933.147777558464</c:v>
                </c:pt>
                <c:pt idx="2">
                  <c:v>1924.3320000000001</c:v>
                </c:pt>
                <c:pt idx="3">
                  <c:v>2178.9969382941563</c:v>
                </c:pt>
                <c:pt idx="4">
                  <c:v>11703.758313818549</c:v>
                </c:pt>
                <c:pt idx="5">
                  <c:v>270662.11631340918</c:v>
                </c:pt>
                <c:pt idx="6">
                  <c:v>4497.6363108052501</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163531.94798516767</c:v>
                </c:pt>
                <c:pt idx="1">
                  <c:v>50933.147777558464</c:v>
                </c:pt>
                <c:pt idx="2">
                  <c:v>1924.3320000000001</c:v>
                </c:pt>
                <c:pt idx="3">
                  <c:v>2178.9969382941563</c:v>
                </c:pt>
                <c:pt idx="4">
                  <c:v>11703.758313818549</c:v>
                </c:pt>
                <c:pt idx="5">
                  <c:v>270662.11631340918</c:v>
                </c:pt>
                <c:pt idx="6">
                  <c:v>4497.6363108052501</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32736.873313343607</c:v>
                </c:pt>
                <c:pt idx="1">
                  <c:v>10220.71110981876</c:v>
                </c:pt>
                <c:pt idx="2">
                  <c:v>381.6066907516983</c:v>
                </c:pt>
                <c:pt idx="3">
                  <c:v>554.37211363797428</c:v>
                </c:pt>
                <c:pt idx="4">
                  <c:v>2431.6018840225138</c:v>
                </c:pt>
                <c:pt idx="5">
                  <c:v>67017.894578086722</c:v>
                </c:pt>
                <c:pt idx="6">
                  <c:v>1132.0343021522815</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32736.873313343607</c:v>
                </c:pt>
                <c:pt idx="1">
                  <c:v>10220.71110981876</c:v>
                </c:pt>
                <c:pt idx="2">
                  <c:v>381.6066907516983</c:v>
                </c:pt>
                <c:pt idx="3">
                  <c:v>554.37211363797428</c:v>
                </c:pt>
                <c:pt idx="4">
                  <c:v>2431.6018840225138</c:v>
                </c:pt>
                <c:pt idx="5">
                  <c:v>67017.894578086722</c:v>
                </c:pt>
                <c:pt idx="6">
                  <c:v>1132.0343021522815</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laanderen.be" TargetMode="External"/><Relationship Id="rId3" Type="http://schemas.openxmlformats.org/officeDocument/2006/relationships/hyperlink" Target="https://ec.europa.eu/jrc/en/publication/covenant-mayors-climate-and-energy-default-emission-factors-local-emission-inventories-version-2017" TargetMode="External"/><Relationship Id="rId7" Type="http://schemas.openxmlformats.org/officeDocument/2006/relationships/hyperlink" Target="mailto:kaat.jespers@vlaanderen.be" TargetMode="External"/><Relationship Id="rId2" Type="http://schemas.openxmlformats.org/officeDocument/2006/relationships/hyperlink" Target="mailto:marlies.vanhulsel@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Rita.VanDievoort@vlm.be" TargetMode="External"/><Relationship Id="rId5" Type="http://schemas.openxmlformats.org/officeDocument/2006/relationships/hyperlink" Target="mailto:catherine.vanthienen@vea.be" TargetMode="External"/><Relationship Id="rId10" Type="http://schemas.openxmlformats.org/officeDocument/2006/relationships/printerSettings" Target="../printerSettings/printerSettings21.bin"/><Relationship Id="rId4" Type="http://schemas.openxmlformats.org/officeDocument/2006/relationships/hyperlink" Target="mailto:ellen.moons@vea.be" TargetMode="External"/><Relationship Id="rId9"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600</v>
      </c>
      <c r="B2" s="386"/>
      <c r="C2" s="387"/>
    </row>
    <row r="3" spans="1:7" s="11" customFormat="1" ht="15" customHeight="1">
      <c r="A3" s="93"/>
      <c r="B3" s="74"/>
      <c r="C3" s="94"/>
    </row>
    <row r="4" spans="1:7" s="11" customFormat="1" ht="15.75" customHeight="1" thickBot="1">
      <c r="A4" s="105" t="s">
        <v>830</v>
      </c>
      <c r="B4" s="106"/>
      <c r="C4" s="107"/>
    </row>
    <row r="5" spans="1:7" s="380" customFormat="1" ht="15.75" customHeight="1">
      <c r="A5" s="377" t="s">
        <v>0</v>
      </c>
      <c r="B5" s="378"/>
      <c r="C5" s="379"/>
    </row>
    <row r="6" spans="1:7" s="380" customFormat="1" ht="15" customHeight="1">
      <c r="A6" s="381" t="str">
        <f>txtNIS</f>
        <v>23050</v>
      </c>
      <c r="B6" s="382"/>
      <c r="C6" s="383"/>
    </row>
    <row r="7" spans="1:7" s="380" customFormat="1" ht="15.75" customHeight="1">
      <c r="A7" s="384" t="str">
        <f>txtMunicipality</f>
        <v>MEISE</v>
      </c>
      <c r="B7" s="382"/>
      <c r="C7" s="383"/>
    </row>
    <row r="8" spans="1:7" ht="15.75" thickBot="1">
      <c r="A8" s="45"/>
      <c r="B8" s="108"/>
      <c r="C8" s="109"/>
    </row>
    <row r="9" spans="1:7" s="373" customFormat="1" ht="15.75" thickBot="1">
      <c r="A9" s="397" t="s">
        <v>344</v>
      </c>
      <c r="B9" s="400"/>
      <c r="C9" s="401"/>
    </row>
    <row r="10" spans="1:7" s="15" customFormat="1" ht="57.75" customHeight="1" thickBot="1">
      <c r="A10" s="1035" t="s">
        <v>829</v>
      </c>
      <c r="B10" s="1036"/>
      <c r="C10" s="1037"/>
    </row>
    <row r="11" spans="1:7" s="374" customFormat="1" ht="15.75" thickBot="1">
      <c r="A11" s="397" t="s">
        <v>346</v>
      </c>
      <c r="B11" s="400"/>
      <c r="C11" s="401"/>
      <c r="G11" s="375"/>
    </row>
    <row r="12" spans="1:7">
      <c r="A12" s="44"/>
      <c r="B12" s="43"/>
      <c r="C12" s="96"/>
    </row>
    <row r="13" spans="1:7" s="374" customFormat="1">
      <c r="A13" s="730" t="s">
        <v>567</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8" t="s">
        <v>495</v>
      </c>
      <c r="C16" s="1039"/>
    </row>
    <row r="17" spans="1:3" s="15" customFormat="1" ht="15.75">
      <c r="A17" s="98"/>
      <c r="B17" s="70"/>
      <c r="C17" s="99"/>
    </row>
    <row r="18" spans="1:3">
      <c r="A18" s="95" t="s">
        <v>350</v>
      </c>
      <c r="B18" s="69" t="s">
        <v>362</v>
      </c>
      <c r="C18" s="100" t="s">
        <v>361</v>
      </c>
    </row>
    <row r="19" spans="1:3" s="330" customFormat="1">
      <c r="A19" s="364" t="s">
        <v>348</v>
      </c>
      <c r="B19" s="365" t="s">
        <v>759</v>
      </c>
      <c r="C19" s="366" t="s">
        <v>493</v>
      </c>
    </row>
    <row r="20" spans="1:3" s="330" customFormat="1">
      <c r="A20" s="367"/>
      <c r="B20" s="327"/>
      <c r="C20" s="368"/>
    </row>
    <row r="21" spans="1:3" s="330" customFormat="1">
      <c r="A21" s="369" t="s">
        <v>349</v>
      </c>
      <c r="B21" s="365" t="s">
        <v>490</v>
      </c>
      <c r="C21" s="366" t="s">
        <v>494</v>
      </c>
    </row>
    <row r="22" spans="1:3" s="330" customFormat="1">
      <c r="A22" s="370"/>
      <c r="B22" s="327"/>
      <c r="C22" s="368"/>
    </row>
    <row r="23" spans="1:3" s="330" customFormat="1" ht="30">
      <c r="A23" s="364" t="s">
        <v>414</v>
      </c>
      <c r="B23" s="435" t="s">
        <v>418</v>
      </c>
      <c r="C23" s="366" t="s">
        <v>491</v>
      </c>
    </row>
    <row r="24" spans="1:3" s="330" customFormat="1">
      <c r="A24" s="370"/>
      <c r="B24" s="327"/>
      <c r="C24" s="368"/>
    </row>
    <row r="25" spans="1:3" s="330" customFormat="1">
      <c r="A25" s="364" t="s">
        <v>416</v>
      </c>
      <c r="B25" s="365" t="s">
        <v>415</v>
      </c>
      <c r="C25" s="366" t="s">
        <v>492</v>
      </c>
    </row>
    <row r="26" spans="1:3" s="330" customFormat="1">
      <c r="A26" s="370"/>
      <c r="B26" s="327"/>
      <c r="C26" s="368"/>
    </row>
    <row r="27" spans="1:3" s="330" customFormat="1">
      <c r="A27" s="364" t="s">
        <v>389</v>
      </c>
      <c r="B27" s="365" t="s">
        <v>413</v>
      </c>
      <c r="C27" s="366"/>
    </row>
    <row r="28" spans="1:3" s="330" customFormat="1">
      <c r="A28" s="370"/>
      <c r="B28" s="327" t="s">
        <v>547</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9"/>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550</v>
      </c>
      <c r="B13" s="445"/>
      <c r="C13" s="464"/>
      <c r="D13" s="464"/>
      <c r="E13" s="464"/>
      <c r="F13" s="464"/>
      <c r="G13" s="464"/>
      <c r="H13" s="464"/>
      <c r="I13" s="464"/>
      <c r="J13" s="464"/>
      <c r="K13" s="464"/>
      <c r="L13" s="464"/>
      <c r="M13" s="464"/>
      <c r="N13" s="464"/>
      <c r="O13" s="1158"/>
      <c r="P13" s="1158"/>
    </row>
    <row r="14" spans="1:16" outlineLevel="1">
      <c r="A14" s="462"/>
      <c r="B14" s="52"/>
      <c r="C14" s="492"/>
      <c r="D14" s="492"/>
      <c r="E14" s="492"/>
      <c r="F14" s="492"/>
      <c r="G14" s="492"/>
      <c r="H14" s="492"/>
      <c r="I14" s="492"/>
      <c r="J14" s="492"/>
      <c r="K14" s="492"/>
      <c r="L14" s="492"/>
      <c r="M14" s="492"/>
      <c r="N14" s="492"/>
      <c r="O14" s="492"/>
      <c r="P14" s="492"/>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0.19830605672602145</v>
      </c>
      <c r="C17" s="494">
        <f ca="1">'EF ele_warmte'!B22</f>
        <v>0.22444444444444442</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9" t="s">
        <v>316</v>
      </c>
      <c r="B1" s="1152" t="s">
        <v>188</v>
      </c>
      <c r="C1" s="1153"/>
      <c r="D1" s="1153"/>
      <c r="E1" s="1153"/>
      <c r="F1" s="1153"/>
      <c r="G1" s="1153"/>
      <c r="H1" s="1153"/>
      <c r="I1" s="1153"/>
      <c r="J1" s="1153"/>
      <c r="K1" s="1153"/>
      <c r="L1" s="1153"/>
      <c r="M1" s="1153"/>
      <c r="N1" s="1153"/>
      <c r="O1" s="1153"/>
      <c r="P1" s="1153"/>
    </row>
    <row r="2" spans="1:16" ht="15" customHeight="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550</v>
      </c>
    </row>
    <row r="26" spans="1:16" s="456" customFormat="1">
      <c r="A26" s="465" t="s">
        <v>500</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556</v>
      </c>
      <c r="B27" s="465">
        <f>B26</f>
        <v>0</v>
      </c>
      <c r="C27" s="465"/>
      <c r="D27" s="465">
        <f>D26</f>
        <v>0</v>
      </c>
      <c r="E27" s="465">
        <f>E26</f>
        <v>0</v>
      </c>
      <c r="F27" s="465"/>
      <c r="G27" s="465">
        <f>(1-transport!C35)*'Eigen vloot'!G26</f>
        <v>0</v>
      </c>
      <c r="H27" s="465">
        <f>(1-transport!C42)*'Eigen vloot'!H26</f>
        <v>0</v>
      </c>
      <c r="I27" s="465"/>
      <c r="J27" s="465"/>
      <c r="K27" s="465"/>
      <c r="L27" s="465"/>
      <c r="M27" s="640">
        <f>G26*transport!C35+'Eigen vloot'!H26*transport!C42</f>
        <v>0</v>
      </c>
      <c r="N27" s="465"/>
      <c r="O27" s="465"/>
      <c r="P27" s="465"/>
    </row>
    <row r="29" spans="1:16">
      <c r="A29" s="470" t="s">
        <v>559</v>
      </c>
      <c r="B29" s="495">
        <f ca="1">'EF ele_warmte'!B12</f>
        <v>0.19830605672602145</v>
      </c>
      <c r="C29" s="495">
        <f ca="1">'EF ele_warmte'!B22</f>
        <v>0.22444444444444442</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41">
        <f ca="1">B27*B29</f>
        <v>0</v>
      </c>
      <c r="C31" s="641"/>
      <c r="D31" s="641">
        <f>D27*D29</f>
        <v>0</v>
      </c>
      <c r="E31" s="641">
        <f>E27*E29</f>
        <v>0</v>
      </c>
      <c r="F31" s="641"/>
      <c r="G31" s="641">
        <f>G27*G29</f>
        <v>0</v>
      </c>
      <c r="H31" s="641">
        <f>H27*H29</f>
        <v>0</v>
      </c>
      <c r="I31" s="641"/>
      <c r="J31" s="641"/>
      <c r="K31" s="641"/>
      <c r="L31" s="641"/>
      <c r="M31" s="641">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497</v>
      </c>
      <c r="B2" s="496"/>
      <c r="C2" s="181"/>
      <c r="D2" s="182"/>
    </row>
    <row r="3" spans="1:11">
      <c r="A3" s="101"/>
      <c r="B3" s="497"/>
      <c r="C3" s="140" t="s">
        <v>175</v>
      </c>
      <c r="D3" s="143" t="s">
        <v>375</v>
      </c>
    </row>
    <row r="4" spans="1:11">
      <c r="A4" s="44" t="s">
        <v>419</v>
      </c>
      <c r="B4" s="47"/>
      <c r="C4" s="32"/>
      <c r="D4" s="142" t="s">
        <v>377</v>
      </c>
    </row>
    <row r="5" spans="1:11">
      <c r="A5" s="44"/>
      <c r="B5" s="48"/>
      <c r="C5" s="32"/>
      <c r="D5" s="142"/>
    </row>
    <row r="6" spans="1:11" s="10" customFormat="1" ht="21.75" thickBot="1">
      <c r="A6" s="185" t="s">
        <v>452</v>
      </c>
      <c r="B6" s="498"/>
      <c r="C6" s="186"/>
      <c r="D6" s="187"/>
    </row>
    <row r="7" spans="1:11" s="43" customFormat="1" ht="15.75" thickBot="1">
      <c r="B7" s="445"/>
    </row>
    <row r="8" spans="1:11" s="43" customFormat="1">
      <c r="A8" s="180" t="s">
        <v>510</v>
      </c>
      <c r="B8" s="496"/>
      <c r="C8" s="181"/>
      <c r="D8" s="182"/>
    </row>
    <row r="9" spans="1:11" s="32" customFormat="1">
      <c r="A9" s="46"/>
      <c r="B9" s="499"/>
      <c r="C9" s="42"/>
      <c r="D9" s="295"/>
    </row>
    <row r="10" spans="1:11">
      <c r="A10" s="296" t="s">
        <v>538</v>
      </c>
      <c r="B10" s="497"/>
      <c r="C10" s="140" t="s">
        <v>175</v>
      </c>
      <c r="D10" s="143" t="s">
        <v>375</v>
      </c>
      <c r="I10" s="1159"/>
      <c r="K10" s="58"/>
    </row>
    <row r="11" spans="1:11" s="43" customFormat="1">
      <c r="A11" s="44" t="s">
        <v>539</v>
      </c>
      <c r="B11" s="47"/>
      <c r="D11" s="141" t="s">
        <v>376</v>
      </c>
      <c r="I11" s="1159"/>
      <c r="K11" s="58"/>
    </row>
    <row r="12" spans="1:11" s="43" customFormat="1">
      <c r="A12" s="44" t="s">
        <v>540</v>
      </c>
      <c r="B12" s="47"/>
      <c r="D12" s="141" t="s">
        <v>376</v>
      </c>
      <c r="I12" s="1159"/>
      <c r="K12" s="58"/>
    </row>
    <row r="13" spans="1:11" s="43" customFormat="1">
      <c r="A13" s="44"/>
      <c r="B13" s="445"/>
      <c r="D13" s="96"/>
      <c r="I13" s="1159"/>
    </row>
    <row r="14" spans="1:11" s="43" customFormat="1">
      <c r="A14" s="296" t="s">
        <v>537</v>
      </c>
      <c r="B14" s="497"/>
      <c r="C14" s="140" t="s">
        <v>175</v>
      </c>
      <c r="D14" s="143" t="s">
        <v>375</v>
      </c>
      <c r="I14" s="1159"/>
    </row>
    <row r="15" spans="1:11" s="43" customFormat="1">
      <c r="A15" s="44" t="s">
        <v>70</v>
      </c>
      <c r="B15" s="47"/>
      <c r="D15" s="141" t="s">
        <v>376</v>
      </c>
      <c r="I15" s="1159"/>
      <c r="J15" s="1159"/>
    </row>
    <row r="16" spans="1:11" s="43" customFormat="1">
      <c r="A16" s="44" t="s">
        <v>502</v>
      </c>
      <c r="B16" s="47"/>
      <c r="D16" s="141" t="s">
        <v>376</v>
      </c>
      <c r="I16" s="1159"/>
      <c r="J16" s="1159"/>
    </row>
    <row r="17" spans="1:11" s="43" customFormat="1">
      <c r="A17" s="44" t="s">
        <v>77</v>
      </c>
      <c r="B17" s="47"/>
      <c r="D17" s="141" t="s">
        <v>376</v>
      </c>
      <c r="I17" s="1159"/>
      <c r="J17" s="1159"/>
    </row>
    <row r="18" spans="1:11" s="43" customFormat="1">
      <c r="A18" s="44" t="s">
        <v>503</v>
      </c>
      <c r="B18" s="47"/>
      <c r="D18" s="141" t="s">
        <v>376</v>
      </c>
      <c r="I18" s="1159"/>
      <c r="J18" s="1159"/>
      <c r="K18" s="58"/>
    </row>
    <row r="19" spans="1:11" s="43" customFormat="1">
      <c r="A19" s="44" t="s">
        <v>76</v>
      </c>
      <c r="B19" s="47"/>
      <c r="D19" s="141" t="s">
        <v>376</v>
      </c>
      <c r="I19" s="1159"/>
      <c r="J19" s="1160"/>
      <c r="K19" s="58"/>
    </row>
    <row r="20" spans="1:11" s="43" customFormat="1">
      <c r="A20" s="32" t="s">
        <v>504</v>
      </c>
      <c r="B20" s="47"/>
      <c r="D20" s="141" t="s">
        <v>376</v>
      </c>
      <c r="I20" s="297"/>
      <c r="J20" s="298"/>
      <c r="K20" s="58"/>
    </row>
    <row r="21" spans="1:11" s="43" customFormat="1">
      <c r="A21" s="32" t="s">
        <v>505</v>
      </c>
      <c r="B21" s="47"/>
      <c r="D21" s="141" t="s">
        <v>376</v>
      </c>
      <c r="I21" s="297"/>
      <c r="J21" s="298"/>
      <c r="K21" s="58"/>
    </row>
    <row r="22" spans="1:11" s="43" customFormat="1">
      <c r="A22" s="32" t="s">
        <v>506</v>
      </c>
      <c r="B22" s="47"/>
      <c r="D22" s="141" t="s">
        <v>376</v>
      </c>
      <c r="I22" s="297"/>
      <c r="J22" s="298"/>
      <c r="K22" s="58"/>
    </row>
    <row r="23" spans="1:11">
      <c r="A23" s="32" t="s">
        <v>507</v>
      </c>
      <c r="B23" s="47"/>
      <c r="C23" s="43"/>
      <c r="D23" s="141" t="s">
        <v>376</v>
      </c>
      <c r="I23" s="58"/>
      <c r="J23" s="58"/>
      <c r="K23" s="58"/>
    </row>
    <row r="24" spans="1:11">
      <c r="A24" s="32" t="s">
        <v>508</v>
      </c>
      <c r="B24" s="47"/>
      <c r="C24" s="43"/>
      <c r="D24" s="141" t="s">
        <v>376</v>
      </c>
      <c r="I24" s="58"/>
      <c r="J24" s="58"/>
      <c r="K24" s="58"/>
    </row>
    <row r="25" spans="1:11">
      <c r="A25" s="58"/>
      <c r="B25" s="48"/>
      <c r="C25" s="43"/>
      <c r="D25" s="141"/>
      <c r="I25" s="58"/>
      <c r="J25" s="58"/>
      <c r="K25" s="58"/>
    </row>
    <row r="26" spans="1:11" ht="21.75" thickBot="1">
      <c r="A26" s="185" t="s">
        <v>548</v>
      </c>
      <c r="B26" s="500"/>
      <c r="C26" s="108"/>
      <c r="D26" s="109"/>
      <c r="I26" s="58"/>
      <c r="J26" s="58"/>
      <c r="K26" s="58"/>
    </row>
    <row r="28" spans="1:11" ht="15.75" thickBot="1"/>
    <row r="29" spans="1:11" s="43" customFormat="1">
      <c r="A29" s="180" t="s">
        <v>498</v>
      </c>
      <c r="B29" s="496"/>
      <c r="C29" s="181"/>
      <c r="D29" s="182"/>
    </row>
    <row r="30" spans="1:11" s="32" customFormat="1">
      <c r="A30" s="46"/>
      <c r="B30" s="499"/>
      <c r="C30" s="42"/>
      <c r="D30" s="295"/>
    </row>
    <row r="31" spans="1:11">
      <c r="A31" s="296" t="s">
        <v>538</v>
      </c>
      <c r="B31" s="497"/>
      <c r="C31" s="140" t="s">
        <v>175</v>
      </c>
      <c r="D31" s="143" t="s">
        <v>375</v>
      </c>
    </row>
    <row r="32" spans="1:11">
      <c r="A32" s="434" t="s">
        <v>539</v>
      </c>
      <c r="B32" s="47"/>
      <c r="C32" s="48"/>
      <c r="D32" s="141" t="s">
        <v>376</v>
      </c>
    </row>
    <row r="33" spans="1:11">
      <c r="A33" s="44"/>
      <c r="B33" s="48"/>
      <c r="C33" s="48"/>
      <c r="D33" s="141"/>
    </row>
    <row r="34" spans="1:11" s="43" customFormat="1">
      <c r="A34" s="296" t="s">
        <v>537</v>
      </c>
      <c r="B34" s="497"/>
      <c r="C34" s="140" t="s">
        <v>175</v>
      </c>
      <c r="D34" s="143" t="s">
        <v>375</v>
      </c>
      <c r="I34"/>
    </row>
    <row r="35" spans="1:11" s="43" customFormat="1">
      <c r="A35" s="433" t="s">
        <v>70</v>
      </c>
      <c r="B35" s="47"/>
      <c r="D35" s="141" t="s">
        <v>376</v>
      </c>
      <c r="I35" s="1159"/>
      <c r="J35" s="1159"/>
    </row>
    <row r="36" spans="1:11" s="43" customFormat="1">
      <c r="A36" s="433" t="s">
        <v>502</v>
      </c>
      <c r="B36" s="47"/>
      <c r="D36" s="141" t="s">
        <v>376</v>
      </c>
      <c r="I36" s="1159"/>
      <c r="J36" s="1159"/>
    </row>
    <row r="37" spans="1:11" s="43" customFormat="1">
      <c r="A37" s="433" t="s">
        <v>77</v>
      </c>
      <c r="B37" s="47"/>
      <c r="D37" s="141" t="s">
        <v>376</v>
      </c>
      <c r="I37" s="1159"/>
      <c r="J37" s="1159"/>
    </row>
    <row r="38" spans="1:11" s="43" customFormat="1">
      <c r="A38" s="433" t="s">
        <v>503</v>
      </c>
      <c r="B38" s="47"/>
      <c r="D38" s="141" t="s">
        <v>376</v>
      </c>
      <c r="I38" s="1159"/>
      <c r="J38" s="1159"/>
      <c r="K38" s="58"/>
    </row>
    <row r="39" spans="1:11" s="43" customFormat="1">
      <c r="A39" s="433" t="s">
        <v>76</v>
      </c>
      <c r="B39" s="47"/>
      <c r="D39" s="141" t="s">
        <v>376</v>
      </c>
      <c r="I39" s="1159"/>
      <c r="J39" s="1160"/>
      <c r="K39" s="58"/>
    </row>
    <row r="40" spans="1:11" s="43" customFormat="1">
      <c r="A40" s="177" t="s">
        <v>504</v>
      </c>
      <c r="B40" s="48"/>
      <c r="D40" s="141" t="s">
        <v>376</v>
      </c>
      <c r="I40" s="297"/>
      <c r="J40" s="298"/>
      <c r="K40" s="58"/>
    </row>
    <row r="41" spans="1:11" s="43" customFormat="1">
      <c r="A41" s="177" t="s">
        <v>505</v>
      </c>
      <c r="B41" s="47"/>
      <c r="D41" s="141" t="s">
        <v>376</v>
      </c>
      <c r="I41" s="297"/>
      <c r="J41" s="298"/>
      <c r="K41" s="58"/>
    </row>
    <row r="42" spans="1:11" s="43" customFormat="1">
      <c r="A42" s="177" t="s">
        <v>506</v>
      </c>
      <c r="B42" s="47"/>
      <c r="D42" s="141" t="s">
        <v>376</v>
      </c>
      <c r="I42" s="297"/>
      <c r="J42" s="298"/>
      <c r="K42" s="58"/>
    </row>
    <row r="43" spans="1:11">
      <c r="A43" s="177" t="s">
        <v>507</v>
      </c>
      <c r="B43" s="47"/>
      <c r="C43" s="43"/>
      <c r="D43" s="141" t="s">
        <v>376</v>
      </c>
      <c r="I43" s="58"/>
      <c r="J43" s="58"/>
      <c r="K43" s="58"/>
    </row>
    <row r="44" spans="1:11">
      <c r="A44" s="177" t="s">
        <v>508</v>
      </c>
      <c r="B44" s="47"/>
      <c r="C44" s="43"/>
      <c r="D44" s="141" t="s">
        <v>376</v>
      </c>
      <c r="I44" s="58"/>
      <c r="J44" s="58"/>
      <c r="K44" s="58"/>
    </row>
    <row r="45" spans="1:11" s="842" customFormat="1">
      <c r="A45" s="177" t="s">
        <v>670</v>
      </c>
      <c r="B45" s="47"/>
      <c r="C45" s="43"/>
      <c r="D45" s="141" t="s">
        <v>376</v>
      </c>
      <c r="I45" s="58"/>
      <c r="J45" s="58"/>
      <c r="K45" s="58"/>
    </row>
    <row r="46" spans="1:11" s="842" customFormat="1">
      <c r="A46" s="177" t="s">
        <v>671</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6"/>
      <c r="C50" s="181"/>
      <c r="D50" s="182"/>
    </row>
    <row r="51" spans="1:4">
      <c r="A51" s="101"/>
      <c r="B51" s="497"/>
      <c r="C51" s="140" t="s">
        <v>175</v>
      </c>
      <c r="D51" s="143" t="s">
        <v>375</v>
      </c>
    </row>
    <row r="52" spans="1:4">
      <c r="A52" s="44" t="s">
        <v>541</v>
      </c>
      <c r="B52" s="47"/>
      <c r="C52" s="32"/>
      <c r="D52" s="142" t="s">
        <v>377</v>
      </c>
    </row>
    <row r="53" spans="1:4">
      <c r="A53" s="44" t="s">
        <v>542</v>
      </c>
      <c r="B53" s="47"/>
      <c r="C53" s="32"/>
      <c r="D53" s="142" t="s">
        <v>377</v>
      </c>
    </row>
    <row r="54" spans="1:4" ht="15.75" thickBot="1">
      <c r="A54" s="45"/>
      <c r="B54" s="183"/>
      <c r="C54" s="152"/>
      <c r="D54" s="188"/>
    </row>
    <row r="56" spans="1:4" ht="15.75" thickBot="1"/>
    <row r="57" spans="1:4" s="43" customFormat="1">
      <c r="A57" s="180" t="s">
        <v>499</v>
      </c>
      <c r="B57" s="496"/>
      <c r="C57" s="181"/>
      <c r="D57" s="182"/>
    </row>
    <row r="58" spans="1:4">
      <c r="A58" s="101"/>
      <c r="B58" s="497"/>
      <c r="C58" s="140" t="s">
        <v>175</v>
      </c>
      <c r="D58" s="143" t="s">
        <v>375</v>
      </c>
    </row>
    <row r="59" spans="1:4">
      <c r="A59" s="44" t="s">
        <v>543</v>
      </c>
      <c r="B59" s="47"/>
      <c r="C59" s="32"/>
      <c r="D59" s="141" t="s">
        <v>148</v>
      </c>
    </row>
    <row r="60" spans="1:4">
      <c r="A60" s="44" t="s">
        <v>544</v>
      </c>
      <c r="B60" s="47"/>
      <c r="C60" s="32"/>
      <c r="D60" s="141" t="s">
        <v>149</v>
      </c>
    </row>
    <row r="61" spans="1:4">
      <c r="A61" s="44" t="s">
        <v>545</v>
      </c>
      <c r="B61" s="47"/>
      <c r="C61" s="48"/>
      <c r="D61" s="141" t="s">
        <v>373</v>
      </c>
    </row>
    <row r="62" spans="1:4">
      <c r="A62" s="44" t="s">
        <v>546</v>
      </c>
      <c r="B62" s="47"/>
      <c r="C62" s="48"/>
      <c r="D62" s="141" t="s">
        <v>105</v>
      </c>
    </row>
    <row r="63" spans="1:4">
      <c r="A63" s="44"/>
      <c r="B63" s="48"/>
      <c r="C63" s="48"/>
      <c r="D63" s="141"/>
    </row>
    <row r="64" spans="1:4" ht="21.75" thickBot="1">
      <c r="A64" s="185" t="s">
        <v>501</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560</v>
      </c>
    </row>
    <row r="8" spans="1:3" s="11" customFormat="1">
      <c r="A8" s="131"/>
      <c r="B8" s="132"/>
      <c r="C8" s="133"/>
    </row>
    <row r="9" spans="1:3" s="11" customFormat="1">
      <c r="A9" s="113" t="s">
        <v>432</v>
      </c>
      <c r="B9" s="129" t="s">
        <v>435</v>
      </c>
      <c r="C9" s="130" t="s">
        <v>486</v>
      </c>
    </row>
    <row r="10" spans="1:3" s="11" customFormat="1">
      <c r="A10" s="131"/>
      <c r="B10" s="132"/>
      <c r="C10" s="133"/>
    </row>
    <row r="11" spans="1:3" s="11" customFormat="1" ht="18">
      <c r="A11" s="113" t="s">
        <v>434</v>
      </c>
      <c r="B11" s="129" t="s">
        <v>436</v>
      </c>
      <c r="C11" s="155" t="s">
        <v>484</v>
      </c>
    </row>
    <row r="12" spans="1:3" s="11" customFormat="1">
      <c r="A12" s="131"/>
      <c r="B12" s="132"/>
      <c r="C12" s="133"/>
    </row>
    <row r="13" spans="1:3" s="11" customFormat="1" ht="18">
      <c r="A13" s="113" t="s">
        <v>437</v>
      </c>
      <c r="B13" s="129" t="s">
        <v>438</v>
      </c>
      <c r="C13" s="156" t="s">
        <v>485</v>
      </c>
    </row>
    <row r="14" spans="1:3" s="11" customFormat="1">
      <c r="A14" s="131"/>
      <c r="B14" s="132"/>
      <c r="C14" s="133"/>
    </row>
    <row r="15" spans="1:3" s="11" customFormat="1" ht="18">
      <c r="A15" s="113" t="s">
        <v>439</v>
      </c>
      <c r="B15" t="s">
        <v>443</v>
      </c>
      <c r="C15" s="130" t="s">
        <v>487</v>
      </c>
    </row>
    <row r="16" spans="1:3" s="11" customFormat="1">
      <c r="A16" s="131"/>
      <c r="B16" s="132"/>
      <c r="C16" s="133"/>
    </row>
    <row r="17" spans="1:3" s="11" customFormat="1" ht="30">
      <c r="A17" s="113" t="s">
        <v>377</v>
      </c>
      <c r="B17" s="129" t="s">
        <v>444</v>
      </c>
      <c r="C17" s="130" t="s">
        <v>488</v>
      </c>
    </row>
    <row r="18" spans="1:3" s="11" customFormat="1">
      <c r="A18" s="131"/>
      <c r="B18" s="132"/>
      <c r="C18" s="133" t="s">
        <v>440</v>
      </c>
    </row>
    <row r="19" spans="1:3" s="11" customFormat="1" ht="30">
      <c r="A19" s="113" t="s">
        <v>441</v>
      </c>
      <c r="B19" s="129" t="s">
        <v>445</v>
      </c>
      <c r="C19" s="130" t="s">
        <v>489</v>
      </c>
    </row>
    <row r="20" spans="1:3" s="11" customFormat="1">
      <c r="A20" s="131"/>
      <c r="B20" s="132"/>
      <c r="C20" s="133"/>
    </row>
    <row r="21" spans="1:3" s="11" customFormat="1" ht="30">
      <c r="A21" s="113" t="s">
        <v>442</v>
      </c>
      <c r="B21" s="129" t="s">
        <v>769</v>
      </c>
      <c r="C21" s="130" t="s">
        <v>551</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0" bestFit="1" customWidth="1"/>
    <col min="2" max="2" width="59.42578125" style="1000" bestFit="1" customWidth="1"/>
    <col min="3" max="4" width="28.7109375" style="1000" customWidth="1"/>
    <col min="5" max="5" width="44.28515625" style="1000" customWidth="1"/>
    <col min="6" max="6" width="35" style="1000" bestFit="1" customWidth="1"/>
    <col min="7" max="16384" width="9.140625" style="1000"/>
  </cols>
  <sheetData>
    <row r="1" spans="1:6" ht="62.45" customHeight="1" thickTop="1" thickBot="1">
      <c r="A1" s="135" t="s">
        <v>852</v>
      </c>
      <c r="B1" s="1252">
        <v>2019</v>
      </c>
      <c r="C1" s="1253"/>
      <c r="D1" s="1253"/>
      <c r="E1" s="1253"/>
      <c r="F1" s="1254"/>
    </row>
    <row r="2" spans="1:6">
      <c r="A2" s="324"/>
      <c r="B2" s="324"/>
      <c r="C2" s="324"/>
      <c r="D2" s="324"/>
      <c r="E2" s="324"/>
      <c r="F2" s="324"/>
    </row>
    <row r="3" spans="1:6" ht="19.5">
      <c r="A3" s="1255" t="s">
        <v>0</v>
      </c>
      <c r="B3" s="324"/>
      <c r="C3" s="324"/>
      <c r="D3" s="324"/>
      <c r="E3" s="324"/>
      <c r="F3" s="324"/>
    </row>
    <row r="4" spans="1:6" ht="22.5">
      <c r="A4" s="1256" t="s">
        <v>852</v>
      </c>
      <c r="B4" s="324"/>
      <c r="C4" s="324"/>
      <c r="D4" s="324"/>
      <c r="E4" s="324"/>
      <c r="F4" s="324"/>
    </row>
    <row r="5" spans="1:6" ht="22.5">
      <c r="A5" s="1256" t="s">
        <v>853</v>
      </c>
      <c r="B5" s="324"/>
      <c r="C5" s="324"/>
      <c r="D5" s="324"/>
      <c r="E5" s="324"/>
      <c r="F5" s="324"/>
    </row>
    <row r="6" spans="1:6" ht="15.75" thickBot="1">
      <c r="A6" s="324"/>
      <c r="B6" s="324"/>
      <c r="C6" s="324"/>
      <c r="D6" s="324"/>
      <c r="E6" s="324"/>
      <c r="F6" s="324"/>
    </row>
    <row r="7" spans="1:6" ht="20.25" thickBot="1">
      <c r="A7" s="1257" t="s">
        <v>1</v>
      </c>
      <c r="B7" s="325"/>
      <c r="C7" s="325"/>
      <c r="D7" s="325"/>
      <c r="E7" s="325"/>
      <c r="F7" s="326"/>
    </row>
    <row r="8" spans="1:6" ht="16.5" thickTop="1" thickBot="1">
      <c r="A8" s="1258" t="s">
        <v>4</v>
      </c>
      <c r="B8" s="1259"/>
      <c r="C8" s="1259"/>
      <c r="D8" s="1253"/>
      <c r="E8" s="1253"/>
      <c r="F8" s="1254"/>
    </row>
    <row r="9" spans="1:6">
      <c r="A9" s="1260" t="s">
        <v>2</v>
      </c>
      <c r="B9" s="1261">
        <v>7828</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7" t="s">
        <v>3</v>
      </c>
      <c r="B12" s="325"/>
      <c r="C12" s="325"/>
      <c r="D12" s="325"/>
      <c r="E12" s="325"/>
      <c r="F12" s="329"/>
    </row>
    <row r="13" spans="1:6" ht="16.5" thickTop="1" thickBot="1">
      <c r="A13" s="1262" t="s">
        <v>4</v>
      </c>
      <c r="B13" s="1263" t="s">
        <v>5</v>
      </c>
      <c r="C13" s="1263"/>
      <c r="D13" s="1263"/>
      <c r="E13" s="1263"/>
      <c r="F13" s="1264"/>
    </row>
    <row r="14" spans="1:6">
      <c r="A14" s="1265" t="s">
        <v>624</v>
      </c>
      <c r="B14" s="1266">
        <v>1776.44</v>
      </c>
      <c r="C14" s="324"/>
      <c r="D14" s="324"/>
      <c r="E14" s="324"/>
      <c r="F14" s="324"/>
    </row>
    <row r="15" spans="1:6">
      <c r="A15" s="1265" t="s">
        <v>177</v>
      </c>
      <c r="B15" s="1266">
        <v>4</v>
      </c>
      <c r="C15" s="324"/>
      <c r="D15" s="324"/>
      <c r="E15" s="324"/>
      <c r="F15" s="324"/>
    </row>
    <row r="16" spans="1:6">
      <c r="A16" s="1265" t="s">
        <v>6</v>
      </c>
      <c r="B16" s="1266">
        <v>202</v>
      </c>
      <c r="C16" s="324"/>
      <c r="D16" s="324"/>
      <c r="E16" s="324"/>
      <c r="F16" s="324"/>
    </row>
    <row r="17" spans="1:6">
      <c r="A17" s="1265" t="s">
        <v>7</v>
      </c>
      <c r="B17" s="1266">
        <v>370</v>
      </c>
      <c r="C17" s="324"/>
      <c r="D17" s="324"/>
      <c r="E17" s="324"/>
      <c r="F17" s="324"/>
    </row>
    <row r="18" spans="1:6">
      <c r="A18" s="1265" t="s">
        <v>8</v>
      </c>
      <c r="B18" s="1266">
        <v>461</v>
      </c>
      <c r="C18" s="324"/>
      <c r="D18" s="324"/>
      <c r="E18" s="324"/>
      <c r="F18" s="324"/>
    </row>
    <row r="19" spans="1:6">
      <c r="A19" s="1265" t="s">
        <v>9</v>
      </c>
      <c r="B19" s="1266">
        <v>418</v>
      </c>
      <c r="C19" s="324"/>
      <c r="D19" s="324"/>
      <c r="E19" s="324"/>
      <c r="F19" s="324"/>
    </row>
    <row r="20" spans="1:6">
      <c r="A20" s="1265" t="s">
        <v>10</v>
      </c>
      <c r="B20" s="1266">
        <v>600</v>
      </c>
      <c r="C20" s="324"/>
      <c r="D20" s="324"/>
      <c r="E20" s="324"/>
      <c r="F20" s="324"/>
    </row>
    <row r="21" spans="1:6">
      <c r="A21" s="1265" t="s">
        <v>11</v>
      </c>
      <c r="B21" s="1266">
        <v>0</v>
      </c>
      <c r="C21" s="324"/>
      <c r="D21" s="324"/>
      <c r="E21" s="324"/>
      <c r="F21" s="324"/>
    </row>
    <row r="22" spans="1:6">
      <c r="A22" s="1265" t="s">
        <v>12</v>
      </c>
      <c r="B22" s="1266">
        <v>0</v>
      </c>
      <c r="C22" s="324"/>
      <c r="D22" s="324"/>
      <c r="E22" s="324"/>
      <c r="F22" s="324"/>
    </row>
    <row r="23" spans="1:6">
      <c r="A23" s="1265" t="s">
        <v>13</v>
      </c>
      <c r="B23" s="1266">
        <v>2</v>
      </c>
      <c r="C23" s="324"/>
      <c r="D23" s="324"/>
      <c r="E23" s="324"/>
      <c r="F23" s="324"/>
    </row>
    <row r="24" spans="1:6">
      <c r="A24" s="1265" t="s">
        <v>14</v>
      </c>
      <c r="B24" s="1266">
        <v>0</v>
      </c>
      <c r="C24" s="324"/>
      <c r="D24" s="324"/>
      <c r="E24" s="324"/>
      <c r="F24" s="324"/>
    </row>
    <row r="25" spans="1:6">
      <c r="A25" s="1265" t="s">
        <v>15</v>
      </c>
      <c r="B25" s="1266">
        <v>0</v>
      </c>
      <c r="C25" s="324"/>
      <c r="D25" s="324"/>
      <c r="E25" s="324"/>
      <c r="F25" s="324"/>
    </row>
    <row r="26" spans="1:6">
      <c r="A26" s="1265" t="s">
        <v>16</v>
      </c>
      <c r="B26" s="1266">
        <v>319</v>
      </c>
      <c r="C26" s="324"/>
      <c r="D26" s="324"/>
      <c r="E26" s="324"/>
      <c r="F26" s="324"/>
    </row>
    <row r="27" spans="1:6">
      <c r="A27" s="1265" t="s">
        <v>17</v>
      </c>
      <c r="B27" s="1266">
        <v>2</v>
      </c>
      <c r="C27" s="324"/>
      <c r="D27" s="324"/>
      <c r="E27" s="324"/>
      <c r="F27" s="324"/>
    </row>
    <row r="28" spans="1:6">
      <c r="A28" s="1265" t="s">
        <v>18</v>
      </c>
      <c r="B28" s="1267">
        <v>47</v>
      </c>
      <c r="C28" s="324"/>
      <c r="D28" s="324"/>
      <c r="E28" s="324"/>
      <c r="F28" s="324"/>
    </row>
    <row r="29" spans="1:6">
      <c r="A29" s="1265" t="s">
        <v>653</v>
      </c>
      <c r="B29" s="1267">
        <v>307</v>
      </c>
      <c r="C29" s="324"/>
      <c r="D29" s="324"/>
      <c r="E29" s="324"/>
      <c r="F29" s="324"/>
    </row>
    <row r="30" spans="1:6">
      <c r="A30" s="1260" t="s">
        <v>654</v>
      </c>
      <c r="B30" s="1268">
        <v>40</v>
      </c>
      <c r="C30" s="327"/>
      <c r="D30" s="327"/>
      <c r="E30" s="327"/>
      <c r="F30" s="327"/>
    </row>
    <row r="31" spans="1:6" ht="15.75" thickBot="1">
      <c r="A31" s="328"/>
      <c r="B31" s="324"/>
      <c r="C31" s="324"/>
      <c r="D31" s="324"/>
      <c r="E31" s="324"/>
      <c r="F31" s="324"/>
    </row>
    <row r="32" spans="1:6" ht="20.25" thickBot="1">
      <c r="A32" s="1257" t="s">
        <v>19</v>
      </c>
      <c r="B32" s="325"/>
      <c r="C32" s="325"/>
      <c r="D32" s="325"/>
      <c r="E32" s="325"/>
      <c r="F32" s="329"/>
    </row>
    <row r="33" spans="1:6" ht="16.5" thickTop="1" thickBot="1">
      <c r="A33" s="1269"/>
      <c r="B33" s="1270"/>
      <c r="C33" s="1270"/>
      <c r="D33" s="1270"/>
      <c r="E33" s="1270" t="s">
        <v>20</v>
      </c>
      <c r="F33" s="1271"/>
    </row>
    <row r="34" spans="1:6" ht="16.5" thickTop="1" thickBot="1">
      <c r="A34" s="1272" t="s">
        <v>21</v>
      </c>
      <c r="B34" s="1273" t="s">
        <v>22</v>
      </c>
      <c r="C34" s="1273" t="s">
        <v>5</v>
      </c>
      <c r="D34" s="1273" t="s">
        <v>23</v>
      </c>
      <c r="E34" s="1273" t="s">
        <v>5</v>
      </c>
      <c r="F34" s="1274" t="s">
        <v>23</v>
      </c>
    </row>
    <row r="35" spans="1:6">
      <c r="A35" s="1265" t="s">
        <v>24</v>
      </c>
      <c r="B35" s="1265" t="s">
        <v>25</v>
      </c>
      <c r="C35" s="1266">
        <v>0</v>
      </c>
      <c r="D35" s="1266">
        <v>0</v>
      </c>
      <c r="E35" s="1266">
        <v>0</v>
      </c>
      <c r="F35" s="1266">
        <v>0</v>
      </c>
    </row>
    <row r="36" spans="1:6">
      <c r="A36" s="1265" t="s">
        <v>24</v>
      </c>
      <c r="B36" s="1265" t="s">
        <v>26</v>
      </c>
      <c r="C36" s="1266">
        <v>0</v>
      </c>
      <c r="D36" s="1266">
        <v>0</v>
      </c>
      <c r="E36" s="1266">
        <v>4</v>
      </c>
      <c r="F36" s="1266">
        <v>18582.241770443201</v>
      </c>
    </row>
    <row r="37" spans="1:6">
      <c r="A37" s="1265" t="s">
        <v>24</v>
      </c>
      <c r="B37" s="1265" t="s">
        <v>27</v>
      </c>
      <c r="C37" s="1266">
        <v>0</v>
      </c>
      <c r="D37" s="1266">
        <v>0</v>
      </c>
      <c r="E37" s="1266">
        <v>0</v>
      </c>
      <c r="F37" s="1266">
        <v>0</v>
      </c>
    </row>
    <row r="38" spans="1:6">
      <c r="A38" s="1265" t="s">
        <v>24</v>
      </c>
      <c r="B38" s="1265" t="s">
        <v>28</v>
      </c>
      <c r="C38" s="1266">
        <v>1</v>
      </c>
      <c r="D38" s="1266">
        <v>13429.584810026299</v>
      </c>
      <c r="E38" s="1266">
        <v>1</v>
      </c>
      <c r="F38" s="1266">
        <v>1454</v>
      </c>
    </row>
    <row r="39" spans="1:6">
      <c r="A39" s="1265" t="s">
        <v>29</v>
      </c>
      <c r="B39" s="1265" t="s">
        <v>30</v>
      </c>
      <c r="C39" s="1266">
        <v>5356</v>
      </c>
      <c r="D39" s="1266">
        <v>91393625.335873693</v>
      </c>
      <c r="E39" s="1266">
        <v>7833</v>
      </c>
      <c r="F39" s="1266">
        <v>29755168.435250901</v>
      </c>
    </row>
    <row r="40" spans="1:6">
      <c r="A40" s="1265" t="s">
        <v>29</v>
      </c>
      <c r="B40" s="1265" t="s">
        <v>28</v>
      </c>
      <c r="C40" s="1266">
        <v>0</v>
      </c>
      <c r="D40" s="1266">
        <v>0</v>
      </c>
      <c r="E40" s="1266">
        <v>0</v>
      </c>
      <c r="F40" s="1266">
        <v>0</v>
      </c>
    </row>
    <row r="41" spans="1:6">
      <c r="A41" s="1265" t="s">
        <v>31</v>
      </c>
      <c r="B41" s="1265" t="s">
        <v>32</v>
      </c>
      <c r="C41" s="1266">
        <v>51</v>
      </c>
      <c r="D41" s="1266">
        <v>1152280.4657899099</v>
      </c>
      <c r="E41" s="1266">
        <v>104</v>
      </c>
      <c r="F41" s="1266">
        <v>2007001.5305063201</v>
      </c>
    </row>
    <row r="42" spans="1:6">
      <c r="A42" s="1265" t="s">
        <v>31</v>
      </c>
      <c r="B42" s="1265" t="s">
        <v>33</v>
      </c>
      <c r="C42" s="1266">
        <v>0</v>
      </c>
      <c r="D42" s="1266">
        <v>0</v>
      </c>
      <c r="E42" s="1266">
        <v>0</v>
      </c>
      <c r="F42" s="1266">
        <v>0</v>
      </c>
    </row>
    <row r="43" spans="1:6">
      <c r="A43" s="1265" t="s">
        <v>31</v>
      </c>
      <c r="B43" s="1265" t="s">
        <v>34</v>
      </c>
      <c r="C43" s="1266">
        <v>0</v>
      </c>
      <c r="D43" s="1266">
        <v>0</v>
      </c>
      <c r="E43" s="1266">
        <v>0</v>
      </c>
      <c r="F43" s="1266">
        <v>0</v>
      </c>
    </row>
    <row r="44" spans="1:6">
      <c r="A44" s="1265" t="s">
        <v>31</v>
      </c>
      <c r="B44" s="1265" t="s">
        <v>35</v>
      </c>
      <c r="C44" s="1266">
        <v>4</v>
      </c>
      <c r="D44" s="1266">
        <v>94516.467546186599</v>
      </c>
      <c r="E44" s="1266">
        <v>18</v>
      </c>
      <c r="F44" s="1266">
        <v>331040.22421584901</v>
      </c>
    </row>
    <row r="45" spans="1:6">
      <c r="A45" s="1265" t="s">
        <v>31</v>
      </c>
      <c r="B45" s="1265" t="s">
        <v>36</v>
      </c>
      <c r="C45" s="1266">
        <v>0</v>
      </c>
      <c r="D45" s="1266">
        <v>0</v>
      </c>
      <c r="E45" s="1266">
        <v>0</v>
      </c>
      <c r="F45" s="1266">
        <v>0</v>
      </c>
    </row>
    <row r="46" spans="1:6">
      <c r="A46" s="1265" t="s">
        <v>31</v>
      </c>
      <c r="B46" s="1265" t="s">
        <v>37</v>
      </c>
      <c r="C46" s="1266">
        <v>0</v>
      </c>
      <c r="D46" s="1266">
        <v>0</v>
      </c>
      <c r="E46" s="1266">
        <v>0</v>
      </c>
      <c r="F46" s="1266">
        <v>0</v>
      </c>
    </row>
    <row r="47" spans="1:6">
      <c r="A47" s="1265" t="s">
        <v>31</v>
      </c>
      <c r="B47" s="1265" t="s">
        <v>38</v>
      </c>
      <c r="C47" s="1266">
        <v>0</v>
      </c>
      <c r="D47" s="1266">
        <v>0</v>
      </c>
      <c r="E47" s="1266">
        <v>4</v>
      </c>
      <c r="F47" s="1266">
        <v>45524.711291790001</v>
      </c>
    </row>
    <row r="48" spans="1:6">
      <c r="A48" s="1265" t="s">
        <v>31</v>
      </c>
      <c r="B48" s="1265" t="s">
        <v>28</v>
      </c>
      <c r="C48" s="1266">
        <v>2</v>
      </c>
      <c r="D48" s="1266">
        <v>78119.890631841205</v>
      </c>
      <c r="E48" s="1266">
        <v>4</v>
      </c>
      <c r="F48" s="1266">
        <v>4862845.610709941</v>
      </c>
    </row>
    <row r="49" spans="1:6">
      <c r="A49" s="1265" t="s">
        <v>31</v>
      </c>
      <c r="B49" s="1265" t="s">
        <v>39</v>
      </c>
      <c r="C49" s="1266">
        <v>0</v>
      </c>
      <c r="D49" s="1266">
        <v>0</v>
      </c>
      <c r="E49" s="1266">
        <v>0</v>
      </c>
      <c r="F49" s="1266">
        <v>0</v>
      </c>
    </row>
    <row r="50" spans="1:6">
      <c r="A50" s="1265" t="s">
        <v>31</v>
      </c>
      <c r="B50" s="1265" t="s">
        <v>40</v>
      </c>
      <c r="C50" s="1266">
        <v>5</v>
      </c>
      <c r="D50" s="1266">
        <v>330397.12839926197</v>
      </c>
      <c r="E50" s="1266">
        <v>9</v>
      </c>
      <c r="F50" s="1266">
        <v>321035.58384604502</v>
      </c>
    </row>
    <row r="51" spans="1:6">
      <c r="A51" s="1265" t="s">
        <v>41</v>
      </c>
      <c r="B51" s="1265" t="s">
        <v>42</v>
      </c>
      <c r="C51" s="1266">
        <v>5</v>
      </c>
      <c r="D51" s="1266">
        <v>104241.350668778</v>
      </c>
      <c r="E51" s="1266">
        <v>45</v>
      </c>
      <c r="F51" s="1266">
        <v>443805.11992095702</v>
      </c>
    </row>
    <row r="52" spans="1:6">
      <c r="A52" s="1265" t="s">
        <v>41</v>
      </c>
      <c r="B52" s="1265" t="s">
        <v>28</v>
      </c>
      <c r="C52" s="1266">
        <v>0</v>
      </c>
      <c r="D52" s="1266">
        <v>0</v>
      </c>
      <c r="E52" s="1266">
        <v>0</v>
      </c>
      <c r="F52" s="1266">
        <v>0</v>
      </c>
    </row>
    <row r="53" spans="1:6">
      <c r="A53" s="1265" t="s">
        <v>43</v>
      </c>
      <c r="B53" s="1265" t="s">
        <v>44</v>
      </c>
      <c r="C53" s="1266">
        <v>134</v>
      </c>
      <c r="D53" s="1266">
        <v>2868194.0957161901</v>
      </c>
      <c r="E53" s="1266">
        <v>256</v>
      </c>
      <c r="F53" s="1266">
        <v>911575.97036013496</v>
      </c>
    </row>
    <row r="54" spans="1:6">
      <c r="A54" s="1265" t="s">
        <v>45</v>
      </c>
      <c r="B54" s="1265" t="s">
        <v>46</v>
      </c>
      <c r="C54" s="1266">
        <v>0</v>
      </c>
      <c r="D54" s="1266">
        <v>0</v>
      </c>
      <c r="E54" s="1266">
        <v>1</v>
      </c>
      <c r="F54" s="1266">
        <v>1924332</v>
      </c>
    </row>
    <row r="55" spans="1:6">
      <c r="A55" s="1265" t="s">
        <v>45</v>
      </c>
      <c r="B55" s="1265" t="s">
        <v>28</v>
      </c>
      <c r="C55" s="1266">
        <v>0</v>
      </c>
      <c r="D55" s="1266">
        <v>0</v>
      </c>
      <c r="E55" s="1266">
        <v>0</v>
      </c>
      <c r="F55" s="1266">
        <v>0</v>
      </c>
    </row>
    <row r="56" spans="1:6">
      <c r="A56" s="1265" t="s">
        <v>47</v>
      </c>
      <c r="B56" s="1265" t="s">
        <v>28</v>
      </c>
      <c r="C56" s="1266">
        <v>0</v>
      </c>
      <c r="D56" s="1266">
        <v>0</v>
      </c>
      <c r="E56" s="1266">
        <v>0</v>
      </c>
      <c r="F56" s="1266">
        <v>0</v>
      </c>
    </row>
    <row r="57" spans="1:6">
      <c r="A57" s="1265" t="s">
        <v>48</v>
      </c>
      <c r="B57" s="1265" t="s">
        <v>49</v>
      </c>
      <c r="C57" s="1266">
        <v>74</v>
      </c>
      <c r="D57" s="1266">
        <v>18113048.8609364</v>
      </c>
      <c r="E57" s="1266">
        <v>190</v>
      </c>
      <c r="F57" s="1266">
        <v>3871840.9972494198</v>
      </c>
    </row>
    <row r="58" spans="1:6">
      <c r="A58" s="1265" t="s">
        <v>48</v>
      </c>
      <c r="B58" s="1265" t="s">
        <v>50</v>
      </c>
      <c r="C58" s="1266">
        <v>33</v>
      </c>
      <c r="D58" s="1266">
        <v>2435415.7857561298</v>
      </c>
      <c r="E58" s="1266">
        <v>48</v>
      </c>
      <c r="F58" s="1266">
        <v>1156629.0112701501</v>
      </c>
    </row>
    <row r="59" spans="1:6">
      <c r="A59" s="1265" t="s">
        <v>48</v>
      </c>
      <c r="B59" s="1265" t="s">
        <v>51</v>
      </c>
      <c r="C59" s="1266">
        <v>91</v>
      </c>
      <c r="D59" s="1266">
        <v>2966171.43287584</v>
      </c>
      <c r="E59" s="1266">
        <v>199</v>
      </c>
      <c r="F59" s="1266">
        <v>4680130.3014547601</v>
      </c>
    </row>
    <row r="60" spans="1:6">
      <c r="A60" s="1265" t="s">
        <v>48</v>
      </c>
      <c r="B60" s="1265" t="s">
        <v>52</v>
      </c>
      <c r="C60" s="1266">
        <v>40</v>
      </c>
      <c r="D60" s="1266">
        <v>2861782.92793599</v>
      </c>
      <c r="E60" s="1266">
        <v>55</v>
      </c>
      <c r="F60" s="1266">
        <v>1434885.94889113</v>
      </c>
    </row>
    <row r="61" spans="1:6">
      <c r="A61" s="1265" t="s">
        <v>48</v>
      </c>
      <c r="B61" s="1265" t="s">
        <v>53</v>
      </c>
      <c r="C61" s="1266">
        <v>201</v>
      </c>
      <c r="D61" s="1266">
        <v>5525863.0729090301</v>
      </c>
      <c r="E61" s="1266">
        <v>399</v>
      </c>
      <c r="F61" s="1266">
        <v>4098106.7612677501</v>
      </c>
    </row>
    <row r="62" spans="1:6">
      <c r="A62" s="1265" t="s">
        <v>48</v>
      </c>
      <c r="B62" s="1265" t="s">
        <v>54</v>
      </c>
      <c r="C62" s="1266">
        <v>11</v>
      </c>
      <c r="D62" s="1266">
        <v>517953.92678130802</v>
      </c>
      <c r="E62" s="1266">
        <v>10</v>
      </c>
      <c r="F62" s="1266">
        <v>124371.21846879899</v>
      </c>
    </row>
    <row r="63" spans="1:6">
      <c r="A63" s="1265" t="s">
        <v>48</v>
      </c>
      <c r="B63" s="1265" t="s">
        <v>28</v>
      </c>
      <c r="C63" s="1266">
        <v>0</v>
      </c>
      <c r="D63" s="1266">
        <v>0</v>
      </c>
      <c r="E63" s="1266">
        <v>0</v>
      </c>
      <c r="F63" s="1266">
        <v>0</v>
      </c>
    </row>
    <row r="64" spans="1:6">
      <c r="A64" s="1265" t="s">
        <v>55</v>
      </c>
      <c r="B64" s="1265" t="s">
        <v>56</v>
      </c>
      <c r="C64" s="1266">
        <v>0</v>
      </c>
      <c r="D64" s="1266">
        <v>0</v>
      </c>
      <c r="E64" s="1266">
        <v>0</v>
      </c>
      <c r="F64" s="1266">
        <v>0</v>
      </c>
    </row>
    <row r="65" spans="1:6">
      <c r="A65" s="1265" t="s">
        <v>55</v>
      </c>
      <c r="B65" s="1265" t="s">
        <v>28</v>
      </c>
      <c r="C65" s="1266">
        <v>0</v>
      </c>
      <c r="D65" s="1266">
        <v>0</v>
      </c>
      <c r="E65" s="1266">
        <v>0</v>
      </c>
      <c r="F65" s="1266">
        <v>0</v>
      </c>
    </row>
    <row r="66" spans="1:6">
      <c r="A66" s="1265" t="s">
        <v>55</v>
      </c>
      <c r="B66" s="1265" t="s">
        <v>57</v>
      </c>
      <c r="C66" s="1266">
        <v>0</v>
      </c>
      <c r="D66" s="1266">
        <v>0</v>
      </c>
      <c r="E66" s="1266">
        <v>10</v>
      </c>
      <c r="F66" s="1266">
        <v>372668.354210096</v>
      </c>
    </row>
    <row r="67" spans="1:6">
      <c r="A67" s="1265" t="s">
        <v>55</v>
      </c>
      <c r="B67" s="1265" t="s">
        <v>58</v>
      </c>
      <c r="C67" s="1266">
        <v>0</v>
      </c>
      <c r="D67" s="1266">
        <v>0</v>
      </c>
      <c r="E67" s="1266">
        <v>0</v>
      </c>
      <c r="F67" s="1266">
        <v>0</v>
      </c>
    </row>
    <row r="68" spans="1:6">
      <c r="A68" s="1260" t="s">
        <v>55</v>
      </c>
      <c r="B68" s="1260" t="s">
        <v>59</v>
      </c>
      <c r="C68" s="1268">
        <v>9</v>
      </c>
      <c r="D68" s="1268">
        <v>247768.69180072</v>
      </c>
      <c r="E68" s="1268">
        <v>18</v>
      </c>
      <c r="F68" s="1268">
        <v>145548.69672487999</v>
      </c>
    </row>
    <row r="69" spans="1:6" ht="15.75" thickBot="1">
      <c r="A69" s="328"/>
      <c r="B69" s="324"/>
      <c r="C69" s="324"/>
      <c r="D69" s="324"/>
      <c r="E69" s="324"/>
      <c r="F69" s="324"/>
    </row>
    <row r="70" spans="1:6" ht="19.5">
      <c r="A70" s="1257" t="s">
        <v>60</v>
      </c>
      <c r="B70" s="325"/>
      <c r="C70" s="325"/>
      <c r="D70" s="325"/>
      <c r="E70" s="325"/>
      <c r="F70" s="329"/>
    </row>
    <row r="71" spans="1:6" ht="20.25" thickBot="1">
      <c r="A71" s="1275"/>
      <c r="B71" s="1285"/>
      <c r="C71" s="1285"/>
      <c r="D71" s="1286" t="s">
        <v>420</v>
      </c>
      <c r="E71" s="1285"/>
      <c r="F71" s="331"/>
    </row>
    <row r="72" spans="1:6" ht="16.5" thickTop="1" thickBot="1">
      <c r="A72" s="1262" t="s">
        <v>61</v>
      </c>
      <c r="B72" s="1263" t="s">
        <v>62</v>
      </c>
      <c r="C72" s="1276" t="s">
        <v>623</v>
      </c>
      <c r="D72" s="1277"/>
      <c r="E72" s="1277"/>
      <c r="F72" s="1264"/>
    </row>
    <row r="73" spans="1:6">
      <c r="A73" s="1265" t="s">
        <v>63</v>
      </c>
      <c r="B73" s="1265" t="s">
        <v>606</v>
      </c>
      <c r="C73" s="1278" t="s">
        <v>608</v>
      </c>
      <c r="D73" s="1266">
        <v>89202841</v>
      </c>
      <c r="E73" s="443"/>
      <c r="F73" s="324"/>
    </row>
    <row r="74" spans="1:6">
      <c r="A74" s="1265" t="s">
        <v>63</v>
      </c>
      <c r="B74" s="1265" t="s">
        <v>607</v>
      </c>
      <c r="C74" s="1278" t="s">
        <v>609</v>
      </c>
      <c r="D74" s="1266">
        <v>3862914.3983267052</v>
      </c>
      <c r="E74" s="443"/>
      <c r="F74" s="324"/>
    </row>
    <row r="75" spans="1:6">
      <c r="A75" s="1265" t="s">
        <v>64</v>
      </c>
      <c r="B75" s="1265" t="s">
        <v>606</v>
      </c>
      <c r="C75" s="1278" t="s">
        <v>610</v>
      </c>
      <c r="D75" s="1266">
        <v>40445638</v>
      </c>
      <c r="E75" s="443"/>
      <c r="F75" s="324"/>
    </row>
    <row r="76" spans="1:6">
      <c r="A76" s="1265" t="s">
        <v>64</v>
      </c>
      <c r="B76" s="1265" t="s">
        <v>607</v>
      </c>
      <c r="C76" s="1278" t="s">
        <v>611</v>
      </c>
      <c r="D76" s="1266">
        <v>1443982.398326705</v>
      </c>
      <c r="E76" s="443"/>
      <c r="F76" s="324"/>
    </row>
    <row r="77" spans="1:6">
      <c r="A77" s="1265" t="s">
        <v>65</v>
      </c>
      <c r="B77" s="1265" t="s">
        <v>606</v>
      </c>
      <c r="C77" s="1278" t="s">
        <v>612</v>
      </c>
      <c r="D77" s="1266">
        <v>161457504</v>
      </c>
      <c r="E77" s="443"/>
      <c r="F77" s="324"/>
    </row>
    <row r="78" spans="1:6">
      <c r="A78" s="1260" t="s">
        <v>65</v>
      </c>
      <c r="B78" s="1260" t="s">
        <v>607</v>
      </c>
      <c r="C78" s="1260" t="s">
        <v>613</v>
      </c>
      <c r="D78" s="1268">
        <v>20423262</v>
      </c>
      <c r="E78" s="1279"/>
      <c r="F78" s="327"/>
    </row>
    <row r="79" spans="1:6">
      <c r="A79" s="1280"/>
      <c r="B79" s="1280"/>
      <c r="C79" s="324"/>
      <c r="D79" s="324"/>
      <c r="E79" s="324"/>
      <c r="F79" s="324"/>
    </row>
    <row r="80" spans="1:6" ht="15.75" thickBot="1">
      <c r="A80" s="1280"/>
      <c r="B80" s="1280"/>
      <c r="C80" s="324"/>
      <c r="D80" s="324"/>
      <c r="E80" s="324"/>
      <c r="F80" s="324"/>
    </row>
    <row r="81" spans="1:6" ht="20.25" thickBot="1">
      <c r="A81" s="1257" t="s">
        <v>321</v>
      </c>
      <c r="B81" s="1281"/>
      <c r="C81" s="325"/>
      <c r="D81" s="325"/>
      <c r="E81" s="325"/>
      <c r="F81" s="329"/>
    </row>
    <row r="82" spans="1:6" ht="16.5" thickTop="1" thickBot="1">
      <c r="A82" s="1262" t="s">
        <v>322</v>
      </c>
      <c r="B82" s="1277"/>
      <c r="C82" s="1277"/>
      <c r="D82" s="1263"/>
      <c r="E82" s="1263"/>
      <c r="F82" s="1264"/>
    </row>
    <row r="83" spans="1:6">
      <c r="A83" s="1265" t="s">
        <v>323</v>
      </c>
      <c r="B83" s="1266">
        <v>1248419.20334659</v>
      </c>
      <c r="C83" s="443"/>
      <c r="D83" s="324"/>
      <c r="E83" s="324"/>
      <c r="F83" s="324"/>
    </row>
    <row r="84" spans="1:6">
      <c r="A84" s="1260" t="s">
        <v>324</v>
      </c>
      <c r="B84" s="1268">
        <v>0</v>
      </c>
      <c r="C84" s="1279"/>
      <c r="D84" s="327"/>
      <c r="E84" s="327"/>
      <c r="F84" s="327"/>
    </row>
    <row r="85" spans="1:6">
      <c r="A85" s="1280"/>
      <c r="B85" s="1282"/>
      <c r="C85" s="324"/>
      <c r="D85" s="324"/>
      <c r="E85" s="324"/>
      <c r="F85" s="324"/>
    </row>
    <row r="86" spans="1:6" ht="15.75" thickBot="1">
      <c r="A86" s="328"/>
      <c r="B86" s="324"/>
      <c r="C86" s="324"/>
      <c r="D86" s="324"/>
      <c r="E86" s="324"/>
      <c r="F86" s="324"/>
    </row>
    <row r="87" spans="1:6" ht="20.25" thickBot="1">
      <c r="A87" s="1257" t="s">
        <v>66</v>
      </c>
      <c r="B87" s="325"/>
      <c r="C87" s="325"/>
      <c r="D87" s="325"/>
      <c r="E87" s="325"/>
      <c r="F87" s="329"/>
    </row>
    <row r="88" spans="1:6" ht="16.5" thickTop="1" thickBot="1">
      <c r="A88" s="1262" t="s">
        <v>4</v>
      </c>
      <c r="B88" s="1263" t="s">
        <v>163</v>
      </c>
      <c r="C88" s="1263"/>
      <c r="D88" s="1263"/>
      <c r="E88" s="1263"/>
      <c r="F88" s="1264"/>
    </row>
    <row r="89" spans="1:6">
      <c r="A89" s="1265" t="s">
        <v>854</v>
      </c>
      <c r="B89" s="1266">
        <v>0</v>
      </c>
      <c r="C89" s="324"/>
      <c r="D89" s="324"/>
      <c r="E89" s="324"/>
      <c r="F89" s="324"/>
    </row>
    <row r="90" spans="1:6">
      <c r="A90" s="1265" t="s">
        <v>523</v>
      </c>
      <c r="B90" s="1266">
        <v>0</v>
      </c>
      <c r="C90" s="324"/>
      <c r="D90" s="324"/>
      <c r="E90" s="324"/>
      <c r="F90" s="324"/>
    </row>
    <row r="91" spans="1:6">
      <c r="A91" s="1265" t="s">
        <v>67</v>
      </c>
      <c r="B91" s="1266">
        <v>4895.957871456565</v>
      </c>
      <c r="C91" s="324"/>
      <c r="D91" s="324"/>
      <c r="E91" s="324"/>
      <c r="F91" s="324"/>
    </row>
    <row r="92" spans="1:6">
      <c r="A92" s="1260" t="s">
        <v>68</v>
      </c>
      <c r="B92" s="1261">
        <v>1440.7994975509241</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7" t="s">
        <v>69</v>
      </c>
      <c r="B95" s="325"/>
      <c r="C95" s="325"/>
      <c r="D95" s="325"/>
      <c r="E95" s="325"/>
      <c r="F95" s="329"/>
    </row>
    <row r="96" spans="1:6" ht="16.5" thickTop="1" thickBot="1">
      <c r="A96" s="1262" t="s">
        <v>4</v>
      </c>
      <c r="B96" s="1263" t="s">
        <v>5</v>
      </c>
      <c r="C96" s="1263"/>
      <c r="D96" s="1263"/>
      <c r="E96" s="1263"/>
      <c r="F96" s="1264"/>
    </row>
    <row r="97" spans="1:6">
      <c r="A97" s="1265" t="s">
        <v>70</v>
      </c>
      <c r="B97" s="1266">
        <v>3173</v>
      </c>
      <c r="C97" s="324"/>
      <c r="D97" s="324"/>
      <c r="E97" s="324"/>
      <c r="F97" s="324"/>
    </row>
    <row r="98" spans="1:6">
      <c r="A98" s="1265" t="s">
        <v>71</v>
      </c>
      <c r="B98" s="1266">
        <v>1</v>
      </c>
      <c r="C98" s="324"/>
      <c r="D98" s="324"/>
      <c r="E98" s="324"/>
      <c r="F98" s="324"/>
    </row>
    <row r="99" spans="1:6">
      <c r="A99" s="1265" t="s">
        <v>72</v>
      </c>
      <c r="B99" s="1266">
        <v>41</v>
      </c>
      <c r="C99" s="324"/>
      <c r="D99" s="324"/>
      <c r="E99" s="324"/>
      <c r="F99" s="324"/>
    </row>
    <row r="100" spans="1:6">
      <c r="A100" s="1265" t="s">
        <v>73</v>
      </c>
      <c r="B100" s="1266">
        <v>622</v>
      </c>
      <c r="C100" s="324"/>
      <c r="D100" s="324"/>
      <c r="E100" s="324"/>
      <c r="F100" s="324"/>
    </row>
    <row r="101" spans="1:6">
      <c r="A101" s="1265" t="s">
        <v>74</v>
      </c>
      <c r="B101" s="1266">
        <v>47</v>
      </c>
      <c r="C101" s="324"/>
      <c r="D101" s="324"/>
      <c r="E101" s="324"/>
      <c r="F101" s="324"/>
    </row>
    <row r="102" spans="1:6">
      <c r="A102" s="1265" t="s">
        <v>75</v>
      </c>
      <c r="B102" s="1266">
        <v>97</v>
      </c>
      <c r="C102" s="324"/>
      <c r="D102" s="324"/>
      <c r="E102" s="324"/>
      <c r="F102" s="324"/>
    </row>
    <row r="103" spans="1:6">
      <c r="A103" s="1265" t="s">
        <v>76</v>
      </c>
      <c r="B103" s="1266">
        <v>88</v>
      </c>
      <c r="C103" s="324"/>
      <c r="D103" s="324"/>
      <c r="E103" s="324"/>
      <c r="F103" s="324"/>
    </row>
    <row r="104" spans="1:6">
      <c r="A104" s="1265" t="s">
        <v>77</v>
      </c>
      <c r="B104" s="1266">
        <v>2710</v>
      </c>
      <c r="C104" s="324"/>
      <c r="D104" s="324"/>
      <c r="E104" s="324"/>
      <c r="F104" s="324"/>
    </row>
    <row r="105" spans="1:6">
      <c r="A105" s="1260" t="s">
        <v>78</v>
      </c>
      <c r="B105" s="1268">
        <v>5</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7" t="s">
        <v>596</v>
      </c>
      <c r="B108" s="325"/>
      <c r="C108" s="325"/>
      <c r="D108" s="325"/>
      <c r="E108" s="325"/>
      <c r="F108" s="329"/>
    </row>
    <row r="109" spans="1:6" ht="16.5" thickTop="1" thickBot="1">
      <c r="A109" s="1262" t="s">
        <v>4</v>
      </c>
      <c r="B109" s="1263" t="s">
        <v>5</v>
      </c>
      <c r="C109" s="1263"/>
      <c r="D109" s="1263"/>
      <c r="E109" s="1263"/>
      <c r="F109" s="1264"/>
    </row>
    <row r="110" spans="1:6">
      <c r="A110" s="1265" t="s">
        <v>597</v>
      </c>
      <c r="B110" s="1266">
        <v>1</v>
      </c>
      <c r="C110" s="324"/>
      <c r="D110" s="324"/>
      <c r="E110" s="324"/>
      <c r="F110" s="324"/>
    </row>
    <row r="111" spans="1:6">
      <c r="A111" s="1283" t="s">
        <v>598</v>
      </c>
      <c r="B111" s="1284">
        <v>0</v>
      </c>
      <c r="C111" s="1287"/>
      <c r="D111" s="1287"/>
      <c r="E111" s="1287"/>
      <c r="F111" s="1287"/>
    </row>
    <row r="112" spans="1:6">
      <c r="A112" s="1265"/>
      <c r="B112" s="324"/>
      <c r="C112" s="324"/>
      <c r="D112" s="324"/>
      <c r="E112" s="324"/>
      <c r="F112" s="324"/>
    </row>
    <row r="113" spans="1:6" ht="15.75" thickBot="1">
      <c r="A113" s="1260"/>
      <c r="B113" s="327"/>
      <c r="C113" s="327"/>
      <c r="D113" s="327"/>
      <c r="E113" s="327"/>
      <c r="F113" s="327"/>
    </row>
    <row r="114" spans="1:6" ht="20.25" thickBot="1">
      <c r="A114" s="125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2" t="s">
        <v>4</v>
      </c>
      <c r="B116" s="1263" t="s">
        <v>5</v>
      </c>
      <c r="C116" s="1263" t="s">
        <v>5</v>
      </c>
      <c r="D116" s="1263"/>
      <c r="E116" s="1263"/>
      <c r="F116" s="1264"/>
    </row>
    <row r="117" spans="1:6">
      <c r="A117" s="1265" t="s">
        <v>82</v>
      </c>
      <c r="B117" s="1266">
        <v>0</v>
      </c>
      <c r="C117" s="1266">
        <v>0</v>
      </c>
      <c r="D117" s="324"/>
      <c r="E117" s="324"/>
      <c r="F117" s="324"/>
    </row>
    <row r="118" spans="1:6">
      <c r="A118" s="1265" t="s">
        <v>83</v>
      </c>
      <c r="B118" s="1266">
        <v>0</v>
      </c>
      <c r="C118" s="1266">
        <v>0</v>
      </c>
      <c r="D118" s="324"/>
      <c r="E118" s="324"/>
      <c r="F118" s="324"/>
    </row>
    <row r="119" spans="1:6">
      <c r="A119" s="1265" t="s">
        <v>31</v>
      </c>
      <c r="B119" s="1266">
        <v>0</v>
      </c>
      <c r="C119" s="1266">
        <v>0</v>
      </c>
      <c r="D119" s="324"/>
      <c r="E119" s="324"/>
      <c r="F119" s="324"/>
    </row>
    <row r="120" spans="1:6">
      <c r="A120" s="1265" t="s">
        <v>84</v>
      </c>
      <c r="B120" s="1266">
        <v>0</v>
      </c>
      <c r="C120" s="1266">
        <v>0</v>
      </c>
      <c r="D120" s="324"/>
      <c r="E120" s="324"/>
      <c r="F120" s="324"/>
    </row>
    <row r="121" spans="1:6">
      <c r="A121" s="1265" t="s">
        <v>85</v>
      </c>
      <c r="B121" s="1266">
        <v>0</v>
      </c>
      <c r="C121" s="1266">
        <v>0</v>
      </c>
      <c r="D121" s="324"/>
      <c r="E121" s="324"/>
      <c r="F121" s="324"/>
    </row>
    <row r="122" spans="1:6">
      <c r="A122" s="1265" t="s">
        <v>86</v>
      </c>
      <c r="B122" s="1266">
        <v>0</v>
      </c>
      <c r="C122" s="1266">
        <v>0</v>
      </c>
      <c r="D122" s="324"/>
      <c r="E122" s="324"/>
      <c r="F122" s="324"/>
    </row>
    <row r="123" spans="1:6">
      <c r="A123" s="1265" t="s">
        <v>87</v>
      </c>
      <c r="B123" s="1266">
        <v>109</v>
      </c>
      <c r="C123" s="1266">
        <v>26</v>
      </c>
      <c r="D123" s="324"/>
      <c r="E123" s="324"/>
      <c r="F123" s="324"/>
    </row>
    <row r="124" spans="1:6">
      <c r="A124" s="1265" t="s">
        <v>88</v>
      </c>
      <c r="B124" s="1266">
        <v>4</v>
      </c>
      <c r="C124" s="1266">
        <v>0</v>
      </c>
      <c r="D124" s="324"/>
      <c r="E124" s="324"/>
      <c r="F124" s="324"/>
    </row>
    <row r="125" spans="1:6">
      <c r="A125" s="1260" t="s">
        <v>753</v>
      </c>
      <c r="B125" s="1266">
        <v>0</v>
      </c>
      <c r="C125" s="1266">
        <v>0</v>
      </c>
      <c r="D125" s="324"/>
      <c r="E125" s="324"/>
      <c r="F125" s="324"/>
    </row>
    <row r="126" spans="1:6" ht="15.75" thickBot="1">
      <c r="A126" s="1280"/>
      <c r="B126" s="324"/>
      <c r="C126" s="324"/>
      <c r="D126" s="324"/>
      <c r="E126" s="324"/>
      <c r="F126" s="324"/>
    </row>
    <row r="127" spans="1:6" ht="20.25" thickBot="1">
      <c r="A127" s="1257" t="s">
        <v>282</v>
      </c>
      <c r="B127" s="325"/>
      <c r="C127" s="325"/>
      <c r="D127" s="325"/>
      <c r="E127" s="325"/>
      <c r="F127" s="329"/>
    </row>
    <row r="128" spans="1:6" ht="16.5" thickTop="1" thickBot="1">
      <c r="A128" s="1262" t="s">
        <v>4</v>
      </c>
      <c r="B128" s="1263" t="s">
        <v>5</v>
      </c>
      <c r="C128" s="1263"/>
      <c r="D128" s="1263"/>
      <c r="E128" s="1263"/>
      <c r="F128" s="1264"/>
    </row>
    <row r="129" spans="1:6">
      <c r="A129" s="1265" t="s">
        <v>283</v>
      </c>
      <c r="B129" s="1266">
        <v>156</v>
      </c>
      <c r="C129" s="324"/>
      <c r="D129" s="324"/>
      <c r="E129" s="324"/>
      <c r="F129" s="324"/>
    </row>
    <row r="130" spans="1:6">
      <c r="A130" s="1265" t="s">
        <v>284</v>
      </c>
      <c r="B130" s="1266">
        <v>0</v>
      </c>
      <c r="C130" s="324"/>
      <c r="D130" s="324"/>
      <c r="E130" s="324"/>
      <c r="F130" s="324"/>
    </row>
    <row r="131" spans="1:6">
      <c r="A131" s="1265" t="s">
        <v>285</v>
      </c>
      <c r="B131" s="1266">
        <v>1</v>
      </c>
      <c r="C131" s="324"/>
      <c r="D131" s="324"/>
      <c r="E131" s="324"/>
      <c r="F131" s="324"/>
    </row>
    <row r="132" spans="1:6">
      <c r="A132" s="1260" t="s">
        <v>286</v>
      </c>
      <c r="B132" s="1261">
        <v>30</v>
      </c>
      <c r="C132" s="327"/>
      <c r="D132" s="327"/>
      <c r="E132" s="327"/>
      <c r="F132" s="327"/>
    </row>
    <row r="133" spans="1:6">
      <c r="A133" s="324"/>
      <c r="B133" s="324"/>
      <c r="C133" s="324"/>
      <c r="D133" s="324"/>
      <c r="E133" s="324"/>
      <c r="F133" s="324"/>
    </row>
    <row r="134" spans="1:6">
      <c r="A134" s="128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election activeCell="E5" sqref="E5"/>
    </sheetView>
  </sheetViews>
  <sheetFormatPr defaultRowHeight="15"/>
  <cols>
    <col min="1" max="1" width="46.7109375" bestFit="1" customWidth="1"/>
    <col min="2" max="2" width="38.5703125" style="513" customWidth="1"/>
    <col min="7" max="7" width="26.5703125" bestFit="1" customWidth="1"/>
  </cols>
  <sheetData>
    <row r="1" spans="1:12" ht="18.75" thickBot="1">
      <c r="A1" s="121" t="s">
        <v>173</v>
      </c>
      <c r="B1" s="501"/>
      <c r="E1" s="637"/>
      <c r="F1" s="637"/>
    </row>
    <row r="2" spans="1:12">
      <c r="A2" s="433" t="s">
        <v>833</v>
      </c>
      <c r="B2" s="502"/>
      <c r="E2" s="637"/>
      <c r="F2" s="637"/>
    </row>
    <row r="3" spans="1:12">
      <c r="A3" s="44"/>
      <c r="B3" s="502"/>
      <c r="E3" s="637"/>
      <c r="F3" s="637"/>
    </row>
    <row r="4" spans="1:12" ht="18">
      <c r="A4" s="136" t="s">
        <v>174</v>
      </c>
      <c r="B4" s="503" t="s">
        <v>372</v>
      </c>
      <c r="E4" s="637"/>
      <c r="F4" s="637"/>
    </row>
    <row r="5" spans="1:12" ht="21">
      <c r="A5" s="116" t="s">
        <v>176</v>
      </c>
      <c r="B5" s="504"/>
      <c r="E5" s="852"/>
      <c r="F5" s="853"/>
      <c r="G5" s="861"/>
      <c r="H5" s="861"/>
      <c r="I5" s="9"/>
      <c r="J5" s="9"/>
    </row>
    <row r="6" spans="1:12">
      <c r="A6" s="117" t="s">
        <v>177</v>
      </c>
      <c r="B6" s="505">
        <v>4.0513950503279288</v>
      </c>
      <c r="E6" s="854"/>
      <c r="F6" s="854"/>
      <c r="G6" s="862"/>
      <c r="H6" s="862"/>
      <c r="I6" s="10"/>
      <c r="J6" s="10"/>
      <c r="K6" s="10"/>
      <c r="L6" s="10"/>
    </row>
    <row r="7" spans="1:12">
      <c r="A7" s="117" t="s">
        <v>6</v>
      </c>
      <c r="B7" s="505">
        <v>132.10924078534327</v>
      </c>
      <c r="E7" s="637"/>
      <c r="F7" s="637"/>
      <c r="G7" s="863"/>
      <c r="H7" s="863"/>
      <c r="K7" s="10"/>
      <c r="L7" s="10"/>
    </row>
    <row r="8" spans="1:12">
      <c r="A8" s="117" t="s">
        <v>7</v>
      </c>
      <c r="B8" s="505">
        <v>68.833455301444758</v>
      </c>
      <c r="E8" s="637"/>
      <c r="F8" s="637"/>
      <c r="G8" s="863"/>
      <c r="H8" s="863"/>
      <c r="K8" s="10"/>
      <c r="L8" s="10"/>
    </row>
    <row r="9" spans="1:12">
      <c r="A9" s="117" t="s">
        <v>8</v>
      </c>
      <c r="B9" s="505">
        <v>31.909886478760502</v>
      </c>
      <c r="E9" s="854"/>
      <c r="F9" s="854"/>
      <c r="G9" s="862"/>
      <c r="H9" s="862"/>
      <c r="I9" s="10"/>
      <c r="J9" s="10"/>
      <c r="K9" s="10"/>
      <c r="L9" s="10"/>
    </row>
    <row r="10" spans="1:12">
      <c r="A10" s="117" t="s">
        <v>9</v>
      </c>
      <c r="B10" s="505">
        <v>47.900718217356051</v>
      </c>
      <c r="E10" s="855"/>
      <c r="F10" s="855"/>
      <c r="G10" s="864"/>
      <c r="H10" s="864"/>
      <c r="I10" s="11"/>
      <c r="J10" s="11"/>
      <c r="K10" s="10"/>
      <c r="L10" s="10"/>
    </row>
    <row r="11" spans="1:12">
      <c r="A11" s="117" t="s">
        <v>10</v>
      </c>
      <c r="B11" s="505">
        <v>41.361552447157969</v>
      </c>
      <c r="E11" s="637"/>
      <c r="F11" s="855"/>
      <c r="G11" s="864"/>
      <c r="H11" s="864"/>
      <c r="I11" s="11"/>
      <c r="J11" s="11"/>
      <c r="K11" s="10"/>
      <c r="L11" s="10"/>
    </row>
    <row r="12" spans="1:12">
      <c r="A12" s="118" t="s">
        <v>16</v>
      </c>
      <c r="B12" s="505">
        <v>8</v>
      </c>
      <c r="E12" s="855"/>
      <c r="F12" s="854"/>
      <c r="G12" s="862"/>
      <c r="H12" s="862"/>
      <c r="I12" s="10"/>
      <c r="J12" s="10"/>
      <c r="K12" s="10"/>
      <c r="L12" s="10"/>
    </row>
    <row r="13" spans="1:12">
      <c r="A13" s="118" t="s">
        <v>17</v>
      </c>
      <c r="B13" s="505">
        <v>5</v>
      </c>
      <c r="E13" s="854"/>
      <c r="F13" s="854"/>
      <c r="G13" s="862"/>
      <c r="H13" s="862"/>
      <c r="I13" s="10"/>
      <c r="J13" s="10"/>
      <c r="K13" s="10"/>
      <c r="L13" s="10"/>
    </row>
    <row r="14" spans="1:12">
      <c r="A14" s="118" t="s">
        <v>178</v>
      </c>
      <c r="B14" s="505">
        <v>1.5</v>
      </c>
      <c r="E14" s="854"/>
      <c r="F14" s="854"/>
      <c r="G14" s="862"/>
      <c r="H14" s="862"/>
      <c r="I14" s="10"/>
      <c r="J14" s="10"/>
      <c r="K14" s="10"/>
      <c r="L14" s="10"/>
    </row>
    <row r="15" spans="1:12">
      <c r="A15" s="118" t="s">
        <v>179</v>
      </c>
      <c r="B15" s="505">
        <v>18</v>
      </c>
      <c r="E15" s="854"/>
      <c r="F15" s="854"/>
      <c r="G15" s="862"/>
      <c r="H15" s="862"/>
      <c r="I15" s="10"/>
      <c r="J15" s="10"/>
      <c r="K15" s="10"/>
      <c r="L15" s="10"/>
    </row>
    <row r="16" spans="1:12">
      <c r="A16" s="118" t="s">
        <v>729</v>
      </c>
      <c r="B16" s="506">
        <v>10</v>
      </c>
      <c r="E16" s="854"/>
      <c r="F16" s="854"/>
      <c r="G16" s="862"/>
      <c r="H16" s="862"/>
      <c r="I16" s="10"/>
      <c r="J16" s="10"/>
      <c r="K16" s="10"/>
      <c r="L16" s="10"/>
    </row>
    <row r="17" spans="1:12" s="43" customFormat="1" ht="15.75" thickBot="1">
      <c r="A17" s="119"/>
      <c r="B17" s="507"/>
      <c r="E17" s="856"/>
      <c r="F17" s="856"/>
      <c r="G17" s="153"/>
      <c r="H17" s="153"/>
      <c r="I17" s="153"/>
      <c r="J17" s="153"/>
      <c r="K17" s="153"/>
      <c r="L17" s="153"/>
    </row>
    <row r="18" spans="1:12" s="43" customFormat="1" ht="15.75" thickBot="1">
      <c r="A18" s="191"/>
      <c r="B18" s="508"/>
      <c r="E18" s="856"/>
      <c r="F18" s="856"/>
      <c r="G18" s="153"/>
      <c r="H18" s="153"/>
      <c r="I18" s="153"/>
      <c r="J18" s="153"/>
      <c r="K18" s="153"/>
      <c r="L18" s="153"/>
    </row>
    <row r="19" spans="1:12" ht="18.75" thickBot="1">
      <c r="A19" s="121" t="s">
        <v>181</v>
      </c>
      <c r="B19" s="501"/>
      <c r="E19" s="854"/>
      <c r="F19" s="854"/>
      <c r="G19" s="10"/>
      <c r="H19" s="10"/>
      <c r="I19" s="10"/>
      <c r="J19" s="10"/>
      <c r="K19" s="10"/>
      <c r="L19" s="10"/>
    </row>
    <row r="20" spans="1:12">
      <c r="A20" s="44" t="s">
        <v>833</v>
      </c>
      <c r="B20" s="502"/>
      <c r="E20" s="854"/>
      <c r="F20" s="854"/>
      <c r="G20" s="10"/>
      <c r="H20" s="10"/>
      <c r="I20" s="10"/>
      <c r="J20" s="10"/>
      <c r="K20" s="10"/>
      <c r="L20" s="10"/>
    </row>
    <row r="21" spans="1:12">
      <c r="A21" s="44"/>
      <c r="B21" s="502"/>
      <c r="E21" s="854"/>
      <c r="F21" s="854"/>
      <c r="G21" s="10"/>
      <c r="H21" s="10"/>
      <c r="I21" s="10"/>
      <c r="J21" s="10"/>
      <c r="K21" s="10"/>
      <c r="L21" s="10"/>
    </row>
    <row r="22" spans="1:12" ht="18">
      <c r="A22" s="137" t="s">
        <v>174</v>
      </c>
      <c r="B22" s="509" t="s">
        <v>372</v>
      </c>
      <c r="E22" s="854"/>
      <c r="F22" s="854"/>
      <c r="G22" s="10"/>
      <c r="H22" s="10"/>
      <c r="I22" s="10"/>
      <c r="J22" s="10"/>
      <c r="K22" s="10"/>
      <c r="L22" s="10"/>
    </row>
    <row r="23" spans="1:12" s="72" customFormat="1">
      <c r="A23" s="118" t="s">
        <v>176</v>
      </c>
      <c r="B23" s="505">
        <v>10.243494399810933</v>
      </c>
      <c r="E23" s="857"/>
      <c r="F23" s="857"/>
      <c r="G23" s="865"/>
      <c r="H23" s="865"/>
    </row>
    <row r="24" spans="1:12">
      <c r="A24" s="117" t="s">
        <v>177</v>
      </c>
      <c r="B24" s="505">
        <v>4.2231090152811745</v>
      </c>
      <c r="E24" s="854"/>
      <c r="F24" s="854"/>
      <c r="G24" s="862"/>
      <c r="H24" s="862"/>
      <c r="I24" s="10"/>
      <c r="J24" s="10"/>
      <c r="K24" s="10"/>
      <c r="L24" s="10"/>
    </row>
    <row r="25" spans="1:12">
      <c r="A25" s="117" t="s">
        <v>6</v>
      </c>
      <c r="B25" s="505">
        <v>32.850504351045871</v>
      </c>
      <c r="E25" s="854"/>
      <c r="F25" s="854"/>
      <c r="G25" s="862"/>
      <c r="H25" s="862"/>
      <c r="I25" s="10"/>
      <c r="J25" s="10"/>
      <c r="K25" s="10"/>
      <c r="L25" s="10"/>
    </row>
    <row r="26" spans="1:12">
      <c r="A26" s="117" t="s">
        <v>7</v>
      </c>
      <c r="B26" s="505">
        <v>1.9384068389912461</v>
      </c>
      <c r="E26" s="854"/>
      <c r="F26" s="854"/>
      <c r="G26" s="862"/>
      <c r="H26" s="862"/>
      <c r="I26" s="10"/>
      <c r="J26" s="10"/>
      <c r="K26" s="10"/>
      <c r="L26" s="10"/>
    </row>
    <row r="27" spans="1:12">
      <c r="A27" s="117" t="s">
        <v>8</v>
      </c>
      <c r="B27" s="505">
        <v>1.1993683996109175</v>
      </c>
      <c r="E27" s="854"/>
      <c r="F27" s="854"/>
      <c r="G27" s="862"/>
      <c r="H27" s="862"/>
      <c r="I27" s="10"/>
      <c r="J27" s="10"/>
      <c r="K27" s="10"/>
      <c r="L27" s="10"/>
    </row>
    <row r="28" spans="1:12">
      <c r="A28" s="117" t="s">
        <v>9</v>
      </c>
      <c r="B28" s="505">
        <v>5.0655067831320864</v>
      </c>
      <c r="E28" s="854"/>
      <c r="F28" s="854"/>
      <c r="G28" s="862"/>
      <c r="H28" s="862"/>
      <c r="I28" s="10"/>
      <c r="J28" s="10"/>
      <c r="K28" s="10"/>
      <c r="L28" s="10"/>
    </row>
    <row r="29" spans="1:12">
      <c r="A29" s="117" t="s">
        <v>10</v>
      </c>
      <c r="B29" s="505">
        <v>3.3232292777158934</v>
      </c>
      <c r="E29" s="854"/>
      <c r="F29" s="854"/>
      <c r="G29" s="862"/>
      <c r="H29" s="862"/>
      <c r="I29" s="10"/>
      <c r="J29" s="10"/>
      <c r="K29" s="10"/>
      <c r="L29" s="10"/>
    </row>
    <row r="30" spans="1:12">
      <c r="A30" s="118" t="s">
        <v>178</v>
      </c>
      <c r="B30" s="505">
        <v>4.4492685035760537</v>
      </c>
      <c r="E30" s="854"/>
      <c r="F30" s="854"/>
      <c r="G30" s="862"/>
      <c r="H30" s="862"/>
      <c r="I30" s="10"/>
      <c r="J30" s="10"/>
      <c r="K30" s="10"/>
      <c r="L30" s="10"/>
    </row>
    <row r="31" spans="1:12">
      <c r="A31" s="117" t="s">
        <v>11</v>
      </c>
      <c r="B31" s="505">
        <v>1.6075002802320004</v>
      </c>
      <c r="E31" s="854"/>
      <c r="F31" s="854"/>
      <c r="G31" s="862"/>
      <c r="H31" s="862"/>
      <c r="I31" s="10"/>
      <c r="J31" s="10"/>
      <c r="K31" s="10"/>
      <c r="L31" s="10"/>
    </row>
    <row r="32" spans="1:12">
      <c r="A32" s="117" t="s">
        <v>12</v>
      </c>
      <c r="B32" s="505">
        <v>4.8225008406960006</v>
      </c>
      <c r="E32" s="854"/>
      <c r="F32" s="854"/>
      <c r="G32" s="862"/>
      <c r="H32" s="862"/>
      <c r="I32" s="10"/>
      <c r="J32" s="10"/>
      <c r="K32" s="10"/>
      <c r="L32" s="10"/>
    </row>
    <row r="33" spans="1:14">
      <c r="A33" s="117" t="s">
        <v>13</v>
      </c>
      <c r="B33" s="505">
        <v>6.3685027042560023</v>
      </c>
      <c r="E33" s="854"/>
      <c r="F33" s="854"/>
      <c r="G33" s="862"/>
      <c r="H33" s="862"/>
      <c r="I33" s="10"/>
      <c r="J33" s="10"/>
      <c r="K33" s="10"/>
      <c r="L33" s="10"/>
    </row>
    <row r="34" spans="1:14">
      <c r="A34" s="117" t="s">
        <v>14</v>
      </c>
      <c r="B34" s="505">
        <v>4.6362973013280016</v>
      </c>
      <c r="E34" s="854"/>
      <c r="F34" s="854"/>
      <c r="G34" s="862"/>
      <c r="H34" s="862"/>
      <c r="I34" s="10"/>
      <c r="J34" s="10"/>
      <c r="K34" s="10"/>
      <c r="L34" s="10"/>
    </row>
    <row r="35" spans="1:14">
      <c r="A35" s="117" t="s">
        <v>15</v>
      </c>
      <c r="B35" s="505">
        <v>12.338973989496003</v>
      </c>
      <c r="E35" s="854"/>
      <c r="F35" s="854"/>
      <c r="G35" s="862"/>
      <c r="H35" s="862"/>
      <c r="I35" s="10"/>
      <c r="J35" s="10"/>
      <c r="K35" s="10"/>
      <c r="L35" s="10"/>
    </row>
    <row r="36" spans="1:14">
      <c r="A36" s="118" t="s">
        <v>16</v>
      </c>
      <c r="B36" s="505">
        <v>0.19</v>
      </c>
      <c r="E36" s="854"/>
      <c r="F36" s="854"/>
      <c r="G36" s="862"/>
      <c r="H36" s="862"/>
      <c r="I36" s="10"/>
      <c r="J36" s="10"/>
      <c r="K36" s="10"/>
      <c r="L36" s="10"/>
    </row>
    <row r="37" spans="1:14">
      <c r="A37" s="118" t="s">
        <v>17</v>
      </c>
      <c r="B37" s="505">
        <v>0.13</v>
      </c>
      <c r="E37" s="637"/>
      <c r="F37" s="637"/>
      <c r="G37" s="863"/>
      <c r="H37" s="863"/>
    </row>
    <row r="38" spans="1:14">
      <c r="A38" s="118" t="s">
        <v>179</v>
      </c>
      <c r="B38" s="505">
        <v>1.56</v>
      </c>
      <c r="E38" s="637"/>
      <c r="F38" s="637"/>
      <c r="G38" s="863"/>
      <c r="H38" s="863"/>
    </row>
    <row r="39" spans="1:14">
      <c r="A39" s="118" t="s">
        <v>180</v>
      </c>
      <c r="B39" s="505">
        <v>0.76</v>
      </c>
      <c r="E39" s="637"/>
      <c r="F39" s="637"/>
      <c r="G39" s="863"/>
      <c r="H39" s="863"/>
    </row>
    <row r="40" spans="1:14">
      <c r="A40" s="118" t="s">
        <v>18</v>
      </c>
      <c r="B40" s="506">
        <v>2.3174639728315766E-2</v>
      </c>
      <c r="E40" s="637"/>
      <c r="F40" s="637"/>
      <c r="G40" s="863"/>
      <c r="H40" s="863"/>
    </row>
    <row r="41" spans="1:14" s="1000" customFormat="1">
      <c r="A41" s="118" t="s">
        <v>747</v>
      </c>
      <c r="B41" s="506">
        <v>0.08</v>
      </c>
      <c r="E41" s="637"/>
      <c r="F41" s="637"/>
      <c r="G41" s="863"/>
      <c r="H41" s="863"/>
    </row>
    <row r="42" spans="1:14" s="1000" customFormat="1">
      <c r="A42" s="118" t="s">
        <v>748</v>
      </c>
      <c r="B42" s="506">
        <v>0.68</v>
      </c>
      <c r="E42" s="637"/>
      <c r="F42" s="637"/>
      <c r="G42" s="863"/>
      <c r="H42" s="863"/>
    </row>
    <row r="43" spans="1:14" ht="15.75" thickBot="1">
      <c r="A43" s="119"/>
      <c r="B43" s="510"/>
      <c r="E43" s="637"/>
      <c r="F43" s="637"/>
    </row>
    <row r="44" spans="1:14" s="43" customFormat="1" ht="15.75" thickBot="1">
      <c r="A44" s="192"/>
      <c r="B44" s="508"/>
      <c r="E44" s="858"/>
      <c r="F44" s="858"/>
      <c r="G44" s="193"/>
      <c r="H44" s="193"/>
      <c r="I44" s="193"/>
      <c r="J44" s="193"/>
      <c r="K44" s="193"/>
      <c r="L44" s="193"/>
      <c r="M44" s="193"/>
      <c r="N44" s="193"/>
    </row>
    <row r="45" spans="1:14" ht="15.75" thickBot="1">
      <c r="A45" s="121" t="s">
        <v>182</v>
      </c>
      <c r="B45" s="511"/>
      <c r="E45" s="637"/>
      <c r="F45" s="637"/>
    </row>
    <row r="46" spans="1:14">
      <c r="A46" s="44" t="s">
        <v>772</v>
      </c>
      <c r="B46" s="502"/>
      <c r="E46" s="637"/>
      <c r="F46" s="637"/>
    </row>
    <row r="47" spans="1:14">
      <c r="A47" s="44"/>
      <c r="B47" s="502"/>
      <c r="E47" s="637"/>
      <c r="F47" s="637"/>
    </row>
    <row r="48" spans="1:14" ht="18">
      <c r="A48" s="136" t="s">
        <v>183</v>
      </c>
      <c r="B48" s="503" t="s">
        <v>549</v>
      </c>
      <c r="E48" s="637"/>
      <c r="F48" s="637"/>
    </row>
    <row r="49" spans="1:12">
      <c r="A49" s="116" t="s">
        <v>184</v>
      </c>
      <c r="B49" s="992">
        <v>0.86890018239138</v>
      </c>
      <c r="E49" s="637"/>
      <c r="F49" s="637"/>
    </row>
    <row r="50" spans="1:12">
      <c r="A50" s="118" t="s">
        <v>185</v>
      </c>
      <c r="B50" s="993">
        <v>0.96772660984113001</v>
      </c>
      <c r="E50" s="637"/>
      <c r="F50" s="637"/>
    </row>
    <row r="51" spans="1:12">
      <c r="A51" s="118" t="s">
        <v>178</v>
      </c>
      <c r="B51" s="993">
        <v>3.110715244837E-2</v>
      </c>
      <c r="E51" s="637"/>
      <c r="F51" s="637"/>
    </row>
    <row r="52" spans="1:12">
      <c r="A52" s="118" t="s">
        <v>18</v>
      </c>
      <c r="B52" s="994">
        <v>9.0468335177000005E-4</v>
      </c>
      <c r="E52" s="854"/>
      <c r="F52" s="854"/>
      <c r="G52" s="10"/>
      <c r="H52" s="10"/>
      <c r="I52" s="10"/>
      <c r="J52" s="10"/>
      <c r="K52" s="10"/>
      <c r="L52" s="10"/>
    </row>
    <row r="53" spans="1:12">
      <c r="A53" s="118" t="s">
        <v>16</v>
      </c>
      <c r="B53" s="995">
        <v>6.5423193697900003E-3</v>
      </c>
      <c r="E53" s="854"/>
      <c r="F53" s="854"/>
      <c r="G53" s="10"/>
      <c r="H53" s="10"/>
      <c r="I53" s="10"/>
      <c r="J53" s="10"/>
      <c r="K53" s="10"/>
      <c r="L53" s="10"/>
    </row>
    <row r="54" spans="1:12" ht="15.75" thickBot="1">
      <c r="A54" s="119" t="s">
        <v>120</v>
      </c>
      <c r="B54" s="996">
        <v>0.10979893533914409</v>
      </c>
      <c r="E54" s="637"/>
      <c r="F54" s="637"/>
    </row>
    <row r="55" spans="1:12">
      <c r="B55" s="51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6" customWidth="1"/>
  </cols>
  <sheetData>
    <row r="1" spans="1:3" s="324" customFormat="1" ht="15.75" thickBot="1">
      <c r="A1" s="358" t="s">
        <v>577</v>
      </c>
      <c r="B1" s="514"/>
      <c r="C1" s="515"/>
    </row>
    <row r="2" spans="1:3" s="324" customFormat="1">
      <c r="A2" s="362"/>
      <c r="B2" s="482"/>
      <c r="C2" s="517"/>
    </row>
    <row r="3" spans="1:3" s="324" customFormat="1">
      <c r="A3" s="360"/>
      <c r="B3" s="518">
        <v>2019</v>
      </c>
      <c r="C3" s="363" t="s">
        <v>175</v>
      </c>
    </row>
    <row r="4" spans="1:3">
      <c r="A4" s="120" t="s">
        <v>290</v>
      </c>
      <c r="B4" s="519">
        <f>4401755.19117513/1000</f>
        <v>4401.7551911751298</v>
      </c>
      <c r="C4" s="138" t="s">
        <v>771</v>
      </c>
    </row>
    <row r="5" spans="1:3" ht="15.75" thickBot="1">
      <c r="A5" s="874" t="s">
        <v>576</v>
      </c>
      <c r="B5" s="880">
        <v>674939.59000000008</v>
      </c>
      <c r="C5" s="881" t="s">
        <v>774</v>
      </c>
    </row>
    <row r="11" spans="1:3">
      <c r="B11" s="752"/>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20">
        <v>310</v>
      </c>
    </row>
    <row r="5" spans="1:2" ht="18.75" thickBot="1">
      <c r="A5" s="115" t="s">
        <v>423</v>
      </c>
      <c r="B5" s="521">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61707.834723399654</v>
      </c>
      <c r="C3" s="43" t="s">
        <v>163</v>
      </c>
      <c r="D3" s="43"/>
      <c r="E3" s="153"/>
      <c r="F3" s="43"/>
      <c r="G3" s="43"/>
      <c r="H3" s="43"/>
      <c r="I3" s="43"/>
      <c r="J3" s="43"/>
      <c r="K3" s="96"/>
    </row>
    <row r="4" spans="1:11">
      <c r="A4" s="350" t="s">
        <v>164</v>
      </c>
      <c r="B4" s="49">
        <f>IF(ISERROR('SEAP template'!B78+'SEAP template'!C78),0,'SEAP template'!B78+'SEAP template'!C78)</f>
        <v>6345.2573690074896</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3">
        <f>E6</f>
        <v>0.221</v>
      </c>
      <c r="C6" s="43" t="s">
        <v>166</v>
      </c>
      <c r="D6" s="43"/>
      <c r="E6" s="878">
        <v>0.221</v>
      </c>
      <c r="F6" s="43" t="s">
        <v>647</v>
      </c>
      <c r="G6" s="43" t="s">
        <v>652</v>
      </c>
      <c r="H6" s="43"/>
      <c r="I6" s="43"/>
      <c r="J6" s="43"/>
      <c r="K6" s="96"/>
    </row>
    <row r="7" spans="1:11">
      <c r="A7" s="350"/>
      <c r="B7" s="445"/>
      <c r="C7" s="43"/>
      <c r="D7" s="43"/>
      <c r="E7" s="43"/>
      <c r="F7" s="48"/>
      <c r="G7" s="43"/>
      <c r="H7" s="43"/>
      <c r="I7" s="43"/>
      <c r="J7" s="43"/>
      <c r="K7" s="96"/>
    </row>
    <row r="8" spans="1:11">
      <c r="A8" s="350"/>
      <c r="B8" s="445"/>
      <c r="C8" s="43"/>
      <c r="D8" s="43"/>
      <c r="E8" s="43"/>
      <c r="F8" s="48"/>
      <c r="G8" s="43"/>
      <c r="H8" s="877"/>
      <c r="I8" s="154"/>
      <c r="J8" s="43"/>
      <c r="K8" s="96"/>
    </row>
    <row r="9" spans="1:11">
      <c r="A9" s="350" t="s">
        <v>168</v>
      </c>
      <c r="B9" s="49">
        <f>IF(ISERROR('SEAP template'!Q78),0,'SEAP template'!Q78)</f>
        <v>1.9077777777777776</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2">
        <f ca="1">IF((B4+B5)&gt;B3,(B9+B10)/(B4+B5),((B3-B4-B5)*B6+B9+B10)/B3)</f>
        <v>0.19830605672602145</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2.7327627627627624</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12.175675675675675</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4">
        <f ca="1">IF(B20=0,0,(B17+B18-B19)/B20)</f>
        <v>0.22444444444444442</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8"/>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605</v>
      </c>
      <c r="B6" s="406" t="s">
        <v>760</v>
      </c>
      <c r="C6" s="407" t="s">
        <v>345</v>
      </c>
    </row>
    <row r="7" spans="1:3" s="324" customFormat="1">
      <c r="A7" s="867" t="s">
        <v>761</v>
      </c>
      <c r="B7" s="408" t="s">
        <v>558</v>
      </c>
      <c r="C7" s="409" t="s">
        <v>557</v>
      </c>
    </row>
    <row r="8" spans="1:3" s="324" customFormat="1">
      <c r="A8" s="1010" t="s">
        <v>762</v>
      </c>
      <c r="B8" s="408" t="s">
        <v>765</v>
      </c>
      <c r="C8" s="409" t="s">
        <v>345</v>
      </c>
    </row>
    <row r="9" spans="1:3" s="324" customFormat="1">
      <c r="A9" s="1010" t="s">
        <v>763</v>
      </c>
      <c r="B9" s="408" t="s">
        <v>766</v>
      </c>
      <c r="C9" s="409" t="s">
        <v>345</v>
      </c>
    </row>
    <row r="10" spans="1:3" s="324" customFormat="1">
      <c r="A10" s="1010" t="s">
        <v>764</v>
      </c>
      <c r="B10" s="408" t="s">
        <v>767</v>
      </c>
      <c r="C10" s="409" t="s">
        <v>345</v>
      </c>
    </row>
    <row r="11" spans="1:3" s="324" customFormat="1">
      <c r="A11" s="438"/>
      <c r="B11" s="408"/>
      <c r="C11" s="409"/>
    </row>
    <row r="12" spans="1:3" ht="21">
      <c r="A12" s="125" t="s">
        <v>447</v>
      </c>
      <c r="B12" s="124"/>
      <c r="C12" s="122"/>
    </row>
  </sheetData>
  <hyperlinks>
    <hyperlink ref="A7" location="'Inventaris 2019'!A1" display="Inventaris 2019'!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19'!A1" display="Lokale energieproductie 2019"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3"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3" t="s">
        <v>623</v>
      </c>
      <c r="B1" s="843" t="s">
        <v>297</v>
      </c>
      <c r="C1" s="843" t="s">
        <v>301</v>
      </c>
      <c r="D1" s="843" t="s">
        <v>302</v>
      </c>
      <c r="E1" s="843" t="s">
        <v>303</v>
      </c>
      <c r="F1" s="843" t="s">
        <v>304</v>
      </c>
      <c r="H1" s="873" t="s">
        <v>848</v>
      </c>
    </row>
    <row r="2" spans="1:8">
      <c r="A2" s="308" t="str">
        <f>CONCATENATE(TableECFTransport[[#This Row],[Voertuigtype]],"_",TableECFTransport[[#This Row],[Wegtype]],"_",TableECFTransport[[#This Row],[Brandstoftechnologie]],"_",TableECFTransport[[#This Row],[Brandstof]])</f>
        <v>Tram_gemiddeld_Electric_Electric</v>
      </c>
      <c r="B2" s="308" t="s">
        <v>318</v>
      </c>
      <c r="C2" s="308" t="s">
        <v>329</v>
      </c>
      <c r="D2" s="308" t="s">
        <v>299</v>
      </c>
      <c r="E2" s="308" t="s">
        <v>299</v>
      </c>
      <c r="F2" s="1016">
        <v>1.269E-8</v>
      </c>
    </row>
    <row r="3" spans="1:8">
      <c r="A3" s="308" t="str">
        <f>CONCATENATE(TableECFTransport[[#This Row],[Voertuigtype]],"_",TableECFTransport[[#This Row],[Wegtype]],"_",TableECFTransport[[#This Row],[Brandstoftechnologie]],"_",TableECFTransport[[#This Row],[Brandstof]])</f>
        <v>Lichte voertuigen_Niet-genummerde wegen_Fuel Cell H2_H2</v>
      </c>
      <c r="B3" s="308" t="s">
        <v>606</v>
      </c>
      <c r="C3" s="308" t="s">
        <v>64</v>
      </c>
      <c r="D3" s="308" t="s">
        <v>777</v>
      </c>
      <c r="E3" s="308" t="s">
        <v>778</v>
      </c>
      <c r="F3" s="1016">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308" t="s">
        <v>606</v>
      </c>
      <c r="C4" s="308" t="s">
        <v>63</v>
      </c>
      <c r="D4" s="308" t="s">
        <v>777</v>
      </c>
      <c r="E4" s="308" t="s">
        <v>778</v>
      </c>
      <c r="F4" s="1016">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308" t="s">
        <v>606</v>
      </c>
      <c r="C5" s="308" t="s">
        <v>65</v>
      </c>
      <c r="D5" s="308" t="s">
        <v>777</v>
      </c>
      <c r="E5" s="308" t="s">
        <v>778</v>
      </c>
      <c r="F5" s="1016">
        <v>1.5973299999999999E-9</v>
      </c>
    </row>
    <row r="6" spans="1:8" s="843" customFormat="1">
      <c r="A6" s="308" t="str">
        <f>CONCATENATE(TableECFTransport[[#This Row],[Voertuigtype]],"_",TableECFTransport[[#This Row],[Wegtype]],"_",TableECFTransport[[#This Row],[Brandstoftechnologie]],"_",TableECFTransport[[#This Row],[Brandstof]])</f>
        <v>Lichte voertuigen_Niet-genummerde wegen_Electric_Electric</v>
      </c>
      <c r="B6" s="308" t="s">
        <v>606</v>
      </c>
      <c r="C6" s="308" t="s">
        <v>64</v>
      </c>
      <c r="D6" s="308" t="s">
        <v>299</v>
      </c>
      <c r="E6" s="308" t="s">
        <v>299</v>
      </c>
      <c r="F6" s="1016">
        <v>6.8243001494121781E-10</v>
      </c>
    </row>
    <row r="7" spans="1:8">
      <c r="A7" s="308" t="str">
        <f>CONCATENATE(TableECFTransport[[#This Row],[Voertuigtype]],"_",TableECFTransport[[#This Row],[Wegtype]],"_",TableECFTransport[[#This Row],[Brandstoftechnologie]],"_",TableECFTransport[[#This Row],[Brandstof]])</f>
        <v>Lichte voertuigen_Genummerde wegen_Electric_Electric</v>
      </c>
      <c r="B7" s="308" t="s">
        <v>606</v>
      </c>
      <c r="C7" s="308" t="s">
        <v>63</v>
      </c>
      <c r="D7" s="308" t="s">
        <v>299</v>
      </c>
      <c r="E7" s="308" t="s">
        <v>299</v>
      </c>
      <c r="F7" s="1016">
        <v>6.8243001494121781E-10</v>
      </c>
    </row>
    <row r="8" spans="1:8">
      <c r="A8" s="308" t="str">
        <f>CONCATENATE(TableECFTransport[[#This Row],[Voertuigtype]],"_",TableECFTransport[[#This Row],[Wegtype]],"_",TableECFTransport[[#This Row],[Brandstoftechnologie]],"_",TableECFTransport[[#This Row],[Brandstof]])</f>
        <v>Lichte voertuigen_Snelwegen_Electric_Electric</v>
      </c>
      <c r="B8" s="308" t="s">
        <v>606</v>
      </c>
      <c r="C8" s="308" t="s">
        <v>65</v>
      </c>
      <c r="D8" s="308" t="s">
        <v>299</v>
      </c>
      <c r="E8" s="308" t="s">
        <v>299</v>
      </c>
      <c r="F8" s="1016">
        <v>6.8243001494121781E-10</v>
      </c>
    </row>
    <row r="9" spans="1:8">
      <c r="A9" s="308" t="str">
        <f>CONCATENATE(TableECFTransport[[#This Row],[Voertuigtype]],"_",TableECFTransport[[#This Row],[Wegtype]],"_",TableECFTransport[[#This Row],[Brandstoftechnologie]],"_",TableECFTransport[[#This Row],[Brandstof]])</f>
        <v>Zware voertuigen_Niet-genummerde wegen_Electric_Electric</v>
      </c>
      <c r="B9" s="308" t="s">
        <v>607</v>
      </c>
      <c r="C9" s="308" t="s">
        <v>64</v>
      </c>
      <c r="D9" s="308" t="s">
        <v>299</v>
      </c>
      <c r="E9" s="308" t="s">
        <v>299</v>
      </c>
      <c r="F9" s="1016">
        <v>4.5055237460239913E-9</v>
      </c>
    </row>
    <row r="10" spans="1:8">
      <c r="A10" s="308" t="str">
        <f>CONCATENATE(TableECFTransport[[#This Row],[Voertuigtype]],"_",TableECFTransport[[#This Row],[Wegtype]],"_",TableECFTransport[[#This Row],[Brandstoftechnologie]],"_",TableECFTransport[[#This Row],[Brandstof]])</f>
        <v>Zware voertuigen_Genummerde wegen_Electric_Electric</v>
      </c>
      <c r="B10" s="308" t="s">
        <v>607</v>
      </c>
      <c r="C10" s="308" t="s">
        <v>63</v>
      </c>
      <c r="D10" s="308" t="s">
        <v>299</v>
      </c>
      <c r="E10" s="308" t="s">
        <v>299</v>
      </c>
      <c r="F10" s="1016">
        <v>4.5055237460239913E-9</v>
      </c>
    </row>
    <row r="11" spans="1:8">
      <c r="A11" s="308" t="str">
        <f>CONCATENATE(TableECFTransport[[#This Row],[Voertuigtype]],"_",TableECFTransport[[#This Row],[Wegtype]],"_",TableECFTransport[[#This Row],[Brandstoftechnologie]],"_",TableECFTransport[[#This Row],[Brandstof]])</f>
        <v>Zware voertuigen_Snelwegen_Electric_Electric</v>
      </c>
      <c r="B11" s="308" t="s">
        <v>607</v>
      </c>
      <c r="C11" s="308" t="s">
        <v>65</v>
      </c>
      <c r="D11" s="308" t="s">
        <v>299</v>
      </c>
      <c r="E11" s="308" t="s">
        <v>299</v>
      </c>
      <c r="F11" s="1016">
        <v>4.5055237460239913E-9</v>
      </c>
    </row>
    <row r="12" spans="1:8">
      <c r="A12" s="308" t="str">
        <f>CONCATENATE(TableECFTransport[[#This Row],[Voertuigtype]],"_",TableECFTransport[[#This Row],[Wegtype]],"_",TableECFTransport[[#This Row],[Brandstoftechnologie]],"_",TableECFTransport[[#This Row],[Brandstof]])</f>
        <v>BUS_Niet-genummerde wegen_Electric_Electric</v>
      </c>
      <c r="B12" s="308" t="s">
        <v>622</v>
      </c>
      <c r="C12" s="308" t="s">
        <v>64</v>
      </c>
      <c r="D12" s="308" t="s">
        <v>299</v>
      </c>
      <c r="E12" s="308" t="s">
        <v>299</v>
      </c>
      <c r="F12" s="1016">
        <v>4.6799999999999996E-9</v>
      </c>
    </row>
    <row r="13" spans="1:8">
      <c r="A13" s="308" t="str">
        <f>CONCATENATE(TableECFTransport[[#This Row],[Voertuigtype]],"_",TableECFTransport[[#This Row],[Wegtype]],"_",TableECFTransport[[#This Row],[Brandstoftechnologie]],"_",TableECFTransport[[#This Row],[Brandstof]])</f>
        <v>BUS_Genummerde wegen_Electric_Electric</v>
      </c>
      <c r="B13" s="308" t="s">
        <v>622</v>
      </c>
      <c r="C13" s="308" t="s">
        <v>63</v>
      </c>
      <c r="D13" s="308" t="s">
        <v>299</v>
      </c>
      <c r="E13" s="308" t="s">
        <v>299</v>
      </c>
      <c r="F13" s="1016">
        <v>4.6799999999999996E-9</v>
      </c>
    </row>
    <row r="14" spans="1:8">
      <c r="A14" s="308" t="str">
        <f>CONCATENATE(TableECFTransport[[#This Row],[Voertuigtype]],"_",TableECFTransport[[#This Row],[Wegtype]],"_",TableECFTransport[[#This Row],[Brandstoftechnologie]],"_",TableECFTransport[[#This Row],[Brandstof]])</f>
        <v>BUS_Snelwegen_Electric_Electric</v>
      </c>
      <c r="B14" s="308" t="s">
        <v>622</v>
      </c>
      <c r="C14" s="308" t="s">
        <v>65</v>
      </c>
      <c r="D14" s="308" t="s">
        <v>299</v>
      </c>
      <c r="E14" s="308" t="s">
        <v>299</v>
      </c>
      <c r="F14" s="1016">
        <v>4.6799999999999996E-9</v>
      </c>
    </row>
    <row r="15" spans="1:8">
      <c r="A15" s="308" t="str">
        <f>CONCATENATE(TableECFTransport[[#This Row],[Voertuigtype]],"_",TableECFTransport[[#This Row],[Wegtype]],"_",TableECFTransport[[#This Row],[Brandstoftechnologie]],"_",TableECFTransport[[#This Row],[Brandstof]])</f>
        <v>Lichte voertuigen_Niet-genummerde wegen_CNG_CNG</v>
      </c>
      <c r="B15" s="308" t="s">
        <v>606</v>
      </c>
      <c r="C15" s="308" t="s">
        <v>64</v>
      </c>
      <c r="D15" s="308" t="s">
        <v>298</v>
      </c>
      <c r="E15" s="308" t="s">
        <v>298</v>
      </c>
      <c r="F15" s="1016">
        <v>4.3016730123326056E-9</v>
      </c>
    </row>
    <row r="16" spans="1:8">
      <c r="A16" s="308" t="str">
        <f>CONCATENATE(TableECFTransport[[#This Row],[Voertuigtype]],"_",TableECFTransport[[#This Row],[Wegtype]],"_",TableECFTransport[[#This Row],[Brandstoftechnologie]],"_",TableECFTransport[[#This Row],[Brandstof]])</f>
        <v>Lichte voertuigen_Genummerde wegen_CNG_CNG</v>
      </c>
      <c r="B16" s="308" t="s">
        <v>606</v>
      </c>
      <c r="C16" s="308" t="s">
        <v>63</v>
      </c>
      <c r="D16" s="308" t="s">
        <v>298</v>
      </c>
      <c r="E16" s="308" t="s">
        <v>298</v>
      </c>
      <c r="F16" s="1016">
        <v>2.5212519952979716E-9</v>
      </c>
    </row>
    <row r="17" spans="1:7">
      <c r="A17" s="308" t="str">
        <f>CONCATENATE(TableECFTransport[[#This Row],[Voertuigtype]],"_",TableECFTransport[[#This Row],[Wegtype]],"_",TableECFTransport[[#This Row],[Brandstoftechnologie]],"_",TableECFTransport[[#This Row],[Brandstof]])</f>
        <v>Lichte voertuigen_Snelwegen_CNG_CNG</v>
      </c>
      <c r="B17" s="308" t="s">
        <v>606</v>
      </c>
      <c r="C17" s="308" t="s">
        <v>65</v>
      </c>
      <c r="D17" s="308" t="s">
        <v>298</v>
      </c>
      <c r="E17" s="308" t="s">
        <v>298</v>
      </c>
      <c r="F17" s="1016">
        <v>2.5331960015390856E-9</v>
      </c>
    </row>
    <row r="18" spans="1:7">
      <c r="A18" s="308" t="str">
        <f>CONCATENATE(TableECFTransport[[#This Row],[Voertuigtype]],"_",TableECFTransport[[#This Row],[Wegtype]],"_",TableECFTransport[[#This Row],[Brandstoftechnologie]],"_",TableECFTransport[[#This Row],[Brandstof]])</f>
        <v>Lichte voertuigen_Niet-genummerde wegen_Diesel_Diesel</v>
      </c>
      <c r="B18" s="308" t="s">
        <v>606</v>
      </c>
      <c r="C18" s="308" t="s">
        <v>64</v>
      </c>
      <c r="D18" s="308" t="s">
        <v>195</v>
      </c>
      <c r="E18" s="308" t="s">
        <v>195</v>
      </c>
      <c r="F18" s="1016">
        <v>3.3175958754900339E-9</v>
      </c>
    </row>
    <row r="19" spans="1:7">
      <c r="A19" s="308" t="str">
        <f>CONCATENATE(TableECFTransport[[#This Row],[Voertuigtype]],"_",TableECFTransport[[#This Row],[Wegtype]],"_",TableECFTransport[[#This Row],[Brandstoftechnologie]],"_",TableECFTransport[[#This Row],[Brandstof]])</f>
        <v>Lichte voertuigen_Genummerde wegen_Diesel_Diesel</v>
      </c>
      <c r="B19" s="308" t="s">
        <v>606</v>
      </c>
      <c r="C19" s="308" t="s">
        <v>63</v>
      </c>
      <c r="D19" s="308" t="s">
        <v>195</v>
      </c>
      <c r="E19" s="308" t="s">
        <v>195</v>
      </c>
      <c r="F19" s="1016">
        <v>2.2143254133377662E-9</v>
      </c>
    </row>
    <row r="20" spans="1:7">
      <c r="A20" s="308" t="str">
        <f>CONCATENATE(TableECFTransport[[#This Row],[Voertuigtype]],"_",TableECFTransport[[#This Row],[Wegtype]],"_",TableECFTransport[[#This Row],[Brandstoftechnologie]],"_",TableECFTransport[[#This Row],[Brandstof]])</f>
        <v>Lichte voertuigen_Snelwegen_Diesel_Diesel</v>
      </c>
      <c r="B20" s="308" t="s">
        <v>606</v>
      </c>
      <c r="C20" s="308" t="s">
        <v>65</v>
      </c>
      <c r="D20" s="308" t="s">
        <v>195</v>
      </c>
      <c r="E20" s="308" t="s">
        <v>195</v>
      </c>
      <c r="F20" s="1016">
        <v>2.4568694592400089E-9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308" t="s">
        <v>606</v>
      </c>
      <c r="C21" s="308" t="s">
        <v>64</v>
      </c>
      <c r="D21" s="308" t="s">
        <v>779</v>
      </c>
      <c r="E21" s="308" t="s">
        <v>195</v>
      </c>
      <c r="F21" s="1016">
        <v>1.9042418208587238E-9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308" t="s">
        <v>606</v>
      </c>
      <c r="C22" s="308" t="s">
        <v>64</v>
      </c>
      <c r="D22" s="308" t="s">
        <v>779</v>
      </c>
      <c r="E22" s="308" t="s">
        <v>299</v>
      </c>
      <c r="F22" s="1016">
        <v>6.3474727361957459E-10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308" t="s">
        <v>606</v>
      </c>
      <c r="C23" s="308" t="s">
        <v>63</v>
      </c>
      <c r="D23" s="308" t="s">
        <v>779</v>
      </c>
      <c r="E23" s="308" t="s">
        <v>195</v>
      </c>
      <c r="F23" s="1016">
        <v>1.1751608372325303E-9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308" t="s">
        <v>606</v>
      </c>
      <c r="C24" s="308" t="s">
        <v>63</v>
      </c>
      <c r="D24" s="308" t="s">
        <v>779</v>
      </c>
      <c r="E24" s="308" t="s">
        <v>299</v>
      </c>
      <c r="F24" s="1016">
        <v>3.9172027907751011E-10</v>
      </c>
    </row>
    <row r="25" spans="1:7">
      <c r="A25" s="308" t="str">
        <f>CONCATENATE(TableECFTransport[[#This Row],[Voertuigtype]],"_",TableECFTransport[[#This Row],[Wegtype]],"_",TableECFTransport[[#This Row],[Brandstoftechnologie]],"_",TableECFTransport[[#This Row],[Brandstof]])</f>
        <v>Lichte voertuigen_Snelwegen_Diesel Hybrid PHEV_Diesel</v>
      </c>
      <c r="B25" s="308" t="s">
        <v>606</v>
      </c>
      <c r="C25" s="308" t="s">
        <v>65</v>
      </c>
      <c r="D25" s="308" t="s">
        <v>779</v>
      </c>
      <c r="E25" s="308" t="s">
        <v>195</v>
      </c>
      <c r="F25" s="1016">
        <v>1.8700795395232485E-9</v>
      </c>
    </row>
    <row r="26" spans="1:7">
      <c r="A26" s="308" t="str">
        <f>CONCATENATE(TableECFTransport[[#This Row],[Voertuigtype]],"_",TableECFTransport[[#This Row],[Wegtype]],"_",TableECFTransport[[#This Row],[Brandstoftechnologie]],"_",TableECFTransport[[#This Row],[Brandstof]])</f>
        <v>Lichte voertuigen_Snelwegen_Diesel Hybrid PHEV_Electric</v>
      </c>
      <c r="B26" s="308" t="s">
        <v>606</v>
      </c>
      <c r="C26" s="308" t="s">
        <v>65</v>
      </c>
      <c r="D26" s="308" t="s">
        <v>779</v>
      </c>
      <c r="E26" s="308" t="s">
        <v>299</v>
      </c>
      <c r="F26" s="1016">
        <v>6.2335984650774939E-10</v>
      </c>
    </row>
    <row r="27" spans="1:7">
      <c r="A27" s="308" t="str">
        <f>CONCATENATE(TableECFTransport[[#This Row],[Voertuigtype]],"_",TableECFTransport[[#This Row],[Wegtype]],"_",TableECFTransport[[#This Row],[Brandstoftechnologie]],"_",TableECFTransport[[#This Row],[Brandstof]])</f>
        <v>Lichte voertuigen_Niet-genummerde wegen_LPG_LPG</v>
      </c>
      <c r="B27" s="308" t="s">
        <v>606</v>
      </c>
      <c r="C27" s="308" t="s">
        <v>64</v>
      </c>
      <c r="D27" s="308" t="s">
        <v>112</v>
      </c>
      <c r="E27" s="308" t="s">
        <v>112</v>
      </c>
      <c r="F27" s="1016">
        <v>3.6595215578123597E-9</v>
      </c>
      <c r="G27" s="859"/>
    </row>
    <row r="28" spans="1:7">
      <c r="A28" s="308" t="str">
        <f>CONCATENATE(TableECFTransport[[#This Row],[Voertuigtype]],"_",TableECFTransport[[#This Row],[Wegtype]],"_",TableECFTransport[[#This Row],[Brandstoftechnologie]],"_",TableECFTransport[[#This Row],[Brandstof]])</f>
        <v>Lichte voertuigen_Genummerde wegen_LPG_LPG</v>
      </c>
      <c r="B28" s="308" t="s">
        <v>606</v>
      </c>
      <c r="C28" s="308" t="s">
        <v>63</v>
      </c>
      <c r="D28" s="308" t="s">
        <v>112</v>
      </c>
      <c r="E28" s="308" t="s">
        <v>112</v>
      </c>
      <c r="F28" s="1016">
        <v>2.2459586561915142E-9</v>
      </c>
    </row>
    <row r="29" spans="1:7">
      <c r="A29" s="308" t="str">
        <f>CONCATENATE(TableECFTransport[[#This Row],[Voertuigtype]],"_",TableECFTransport[[#This Row],[Wegtype]],"_",TableECFTransport[[#This Row],[Brandstoftechnologie]],"_",TableECFTransport[[#This Row],[Brandstof]])</f>
        <v>Lichte voertuigen_Snelwegen_LPG_LPG</v>
      </c>
      <c r="B29" s="308" t="s">
        <v>606</v>
      </c>
      <c r="C29" s="308" t="s">
        <v>65</v>
      </c>
      <c r="D29" s="308" t="s">
        <v>112</v>
      </c>
      <c r="E29" s="308" t="s">
        <v>112</v>
      </c>
      <c r="F29" s="1016">
        <v>2.7821236540926198E-9</v>
      </c>
    </row>
    <row r="30" spans="1:7">
      <c r="A30" s="308" t="str">
        <f>CONCATENATE(TableECFTransport[[#This Row],[Voertuigtype]],"_",TableECFTransport[[#This Row],[Wegtype]],"_",TableECFTransport[[#This Row],[Brandstoftechnologie]],"_",TableECFTransport[[#This Row],[Brandstof]])</f>
        <v>Lichte voertuigen_Niet-genummerde wegen_Petrol_Petrol</v>
      </c>
      <c r="B30" s="308" t="s">
        <v>606</v>
      </c>
      <c r="C30" s="308" t="s">
        <v>64</v>
      </c>
      <c r="D30" s="308" t="s">
        <v>300</v>
      </c>
      <c r="E30" s="308" t="s">
        <v>300</v>
      </c>
      <c r="F30" s="1016">
        <v>3.7046617627063682E-9</v>
      </c>
    </row>
    <row r="31" spans="1:7">
      <c r="A31" s="308" t="str">
        <f>CONCATENATE(TableECFTransport[[#This Row],[Voertuigtype]],"_",TableECFTransport[[#This Row],[Wegtype]],"_",TableECFTransport[[#This Row],[Brandstoftechnologie]],"_",TableECFTransport[[#This Row],[Brandstof]])</f>
        <v>Lichte voertuigen_Genummerde wegen_Petrol_Petrol</v>
      </c>
      <c r="B31" s="308" t="s">
        <v>606</v>
      </c>
      <c r="C31" s="308" t="s">
        <v>63</v>
      </c>
      <c r="D31" s="308" t="s">
        <v>300</v>
      </c>
      <c r="E31" s="308" t="s">
        <v>300</v>
      </c>
      <c r="F31" s="1016">
        <v>2.2052538795269304E-9</v>
      </c>
    </row>
    <row r="32" spans="1:7">
      <c r="A32" s="308" t="str">
        <f>CONCATENATE(TableECFTransport[[#This Row],[Voertuigtype]],"_",TableECFTransport[[#This Row],[Wegtype]],"_",TableECFTransport[[#This Row],[Brandstoftechnologie]],"_",TableECFTransport[[#This Row],[Brandstof]])</f>
        <v>Lichte voertuigen_Snelwegen_Petrol_Petrol</v>
      </c>
      <c r="B32" s="308" t="s">
        <v>606</v>
      </c>
      <c r="C32" s="308" t="s">
        <v>65</v>
      </c>
      <c r="D32" s="308" t="s">
        <v>300</v>
      </c>
      <c r="E32" s="308" t="s">
        <v>300</v>
      </c>
      <c r="F32" s="1016">
        <v>2.3127151919215792E-9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308" t="s">
        <v>606</v>
      </c>
      <c r="C33" s="308" t="s">
        <v>64</v>
      </c>
      <c r="D33" s="308" t="s">
        <v>781</v>
      </c>
      <c r="E33" s="308" t="s">
        <v>300</v>
      </c>
      <c r="F33" s="1016">
        <v>2.7322455463723202E-9</v>
      </c>
    </row>
    <row r="34" spans="1:6">
      <c r="A34" s="308" t="str">
        <f>CONCATENATE(TableECFTransport[[#This Row],[Voertuigtype]],"_",TableECFTransport[[#This Row],[Wegtype]],"_",TableECFTransport[[#This Row],[Brandstoftechnologie]],"_",TableECFTransport[[#This Row],[Brandstof]])</f>
        <v>Lichte voertuigen_Genummerde wegen_Petrol Hybrid CS_Petrol</v>
      </c>
      <c r="B34" s="308" t="s">
        <v>606</v>
      </c>
      <c r="C34" s="308" t="s">
        <v>63</v>
      </c>
      <c r="D34" s="308" t="s">
        <v>781</v>
      </c>
      <c r="E34" s="308" t="s">
        <v>300</v>
      </c>
      <c r="F34" s="1016">
        <v>1.4918651724000814E-9</v>
      </c>
    </row>
    <row r="35" spans="1:6">
      <c r="A35" s="308" t="str">
        <f>CONCATENATE(TableECFTransport[[#This Row],[Voertuigtype]],"_",TableECFTransport[[#This Row],[Wegtype]],"_",TableECFTransport[[#This Row],[Brandstoftechnologie]],"_",TableECFTransport[[#This Row],[Brandstof]])</f>
        <v>Lichte voertuigen_Snelwegen_Petrol Hybrid CS_Petrol</v>
      </c>
      <c r="B35" s="308" t="s">
        <v>606</v>
      </c>
      <c r="C35" s="308" t="s">
        <v>65</v>
      </c>
      <c r="D35" s="308" t="s">
        <v>781</v>
      </c>
      <c r="E35" s="308" t="s">
        <v>300</v>
      </c>
      <c r="F35" s="1016">
        <v>1.8414418073367417E-9</v>
      </c>
    </row>
    <row r="36" spans="1:6">
      <c r="A36" s="308" t="str">
        <f>CONCATENATE(TableECFTransport[[#This Row],[Voertuigtype]],"_",TableECFTransport[[#This Row],[Wegtype]],"_",TableECFTransport[[#This Row],[Brandstoftechnologie]],"_",TableECFTransport[[#This Row],[Brandstof]])</f>
        <v>Lichte voertuigen_Niet-genummerde wegen_Petrol Hybrid PHEV_Electric</v>
      </c>
      <c r="B36" s="308" t="s">
        <v>606</v>
      </c>
      <c r="C36" s="308" t="s">
        <v>64</v>
      </c>
      <c r="D36" s="308" t="s">
        <v>780</v>
      </c>
      <c r="E36" s="308" t="s">
        <v>299</v>
      </c>
      <c r="F36" s="1016">
        <v>6.6610275485254107E-10</v>
      </c>
    </row>
    <row r="37" spans="1:6">
      <c r="A37" s="308" t="str">
        <f>CONCATENATE(TableECFTransport[[#This Row],[Voertuigtype]],"_",TableECFTransport[[#This Row],[Wegtype]],"_",TableECFTransport[[#This Row],[Brandstoftechnologie]],"_",TableECFTransport[[#This Row],[Brandstof]])</f>
        <v>Lichte voertuigen_Niet-genummerde wegen_Petrol Hybrid PHEV_Petrol</v>
      </c>
      <c r="B37" s="308" t="s">
        <v>606</v>
      </c>
      <c r="C37" s="308" t="s">
        <v>64</v>
      </c>
      <c r="D37" s="308" t="s">
        <v>780</v>
      </c>
      <c r="E37" s="308" t="s">
        <v>300</v>
      </c>
      <c r="F37" s="1016">
        <v>1.9983082645576233E-9</v>
      </c>
    </row>
    <row r="38" spans="1:6">
      <c r="A38" s="308" t="str">
        <f>CONCATENATE(TableECFTransport[[#This Row],[Voertuigtype]],"_",TableECFTransport[[#This Row],[Wegtype]],"_",TableECFTransport[[#This Row],[Brandstoftechnologie]],"_",TableECFTransport[[#This Row],[Brandstof]])</f>
        <v>Lichte voertuigen_Genummerde wegen_Petrol Hybrid PHEV_Electric</v>
      </c>
      <c r="B38" s="308" t="s">
        <v>606</v>
      </c>
      <c r="C38" s="308" t="s">
        <v>63</v>
      </c>
      <c r="D38" s="308" t="s">
        <v>780</v>
      </c>
      <c r="E38" s="308" t="s">
        <v>299</v>
      </c>
      <c r="F38" s="1016">
        <v>3.7135330513989729E-10</v>
      </c>
    </row>
    <row r="39" spans="1:6">
      <c r="A39" s="308" t="str">
        <f>CONCATENATE(TableECFTransport[[#This Row],[Voertuigtype]],"_",TableECFTransport[[#This Row],[Wegtype]],"_",TableECFTransport[[#This Row],[Brandstoftechnologie]],"_",TableECFTransport[[#This Row],[Brandstof]])</f>
        <v>Lichte voertuigen_Genummerde wegen_Petrol Hybrid PHEV_Petrol</v>
      </c>
      <c r="B39" s="308" t="s">
        <v>606</v>
      </c>
      <c r="C39" s="308" t="s">
        <v>63</v>
      </c>
      <c r="D39" s="308" t="s">
        <v>780</v>
      </c>
      <c r="E39" s="308" t="s">
        <v>300</v>
      </c>
      <c r="F39" s="1016">
        <v>1.1140599154196919E-9</v>
      </c>
    </row>
    <row r="40" spans="1:6">
      <c r="A40" s="308" t="str">
        <f>CONCATENATE(TableECFTransport[[#This Row],[Voertuigtype]],"_",TableECFTransport[[#This Row],[Wegtype]],"_",TableECFTransport[[#This Row],[Brandstoftechnologie]],"_",TableECFTransport[[#This Row],[Brandstof]])</f>
        <v>Lichte voertuigen_Snelwegen_Petrol Hybrid PHEV_Electric</v>
      </c>
      <c r="B40" s="308" t="s">
        <v>606</v>
      </c>
      <c r="C40" s="308" t="s">
        <v>65</v>
      </c>
      <c r="D40" s="308" t="s">
        <v>780</v>
      </c>
      <c r="E40" s="308" t="s">
        <v>299</v>
      </c>
      <c r="F40" s="1016">
        <v>5.7810080050873318E-10</v>
      </c>
    </row>
    <row r="41" spans="1:6">
      <c r="A41" s="308" t="str">
        <f>CONCATENATE(TableECFTransport[[#This Row],[Voertuigtype]],"_",TableECFTransport[[#This Row],[Wegtype]],"_",TableECFTransport[[#This Row],[Brandstoftechnologie]],"_",TableECFTransport[[#This Row],[Brandstof]])</f>
        <v>Lichte voertuigen_Snelwegen_Petrol Hybrid PHEV_Petrol</v>
      </c>
      <c r="B41" s="308" t="s">
        <v>606</v>
      </c>
      <c r="C41" s="308" t="s">
        <v>65</v>
      </c>
      <c r="D41" s="308" t="s">
        <v>780</v>
      </c>
      <c r="E41" s="308" t="s">
        <v>300</v>
      </c>
      <c r="F41" s="1016">
        <v>1.7343024015261996E-9</v>
      </c>
    </row>
    <row r="42" spans="1:6">
      <c r="A42" s="308" t="str">
        <f>CONCATENATE(TableECFTransport[[#This Row],[Voertuigtype]],"_",TableECFTransport[[#This Row],[Wegtype]],"_",TableECFTransport[[#This Row],[Brandstoftechnologie]],"_",TableECFTransport[[#This Row],[Brandstof]])</f>
        <v>Zware voertuigen_Niet-genummerde wegen_Diesel_Diesel</v>
      </c>
      <c r="B42" s="308" t="s">
        <v>607</v>
      </c>
      <c r="C42" s="308" t="s">
        <v>64</v>
      </c>
      <c r="D42" s="308" t="s">
        <v>195</v>
      </c>
      <c r="E42" s="308" t="s">
        <v>195</v>
      </c>
      <c r="F42" s="1016">
        <v>1.3133979822000111E-8</v>
      </c>
    </row>
    <row r="43" spans="1:6">
      <c r="A43" s="308" t="str">
        <f>CONCATENATE(TableECFTransport[[#This Row],[Voertuigtype]],"_",TableECFTransport[[#This Row],[Wegtype]],"_",TableECFTransport[[#This Row],[Brandstoftechnologie]],"_",TableECFTransport[[#This Row],[Brandstof]])</f>
        <v>Zware voertuigen_Genummerde wegen_Diesel_Diesel</v>
      </c>
      <c r="B43" s="308" t="s">
        <v>607</v>
      </c>
      <c r="C43" s="308" t="s">
        <v>63</v>
      </c>
      <c r="D43" s="308" t="s">
        <v>195</v>
      </c>
      <c r="E43" s="308" t="s">
        <v>195</v>
      </c>
      <c r="F43" s="1016">
        <v>1.0199017500778319E-8</v>
      </c>
    </row>
    <row r="44" spans="1:6">
      <c r="A44" s="308" t="str">
        <f>CONCATENATE(TableECFTransport[[#This Row],[Voertuigtype]],"_",TableECFTransport[[#This Row],[Wegtype]],"_",TableECFTransport[[#This Row],[Brandstoftechnologie]],"_",TableECFTransport[[#This Row],[Brandstof]])</f>
        <v>Zware voertuigen_Snelwegen_Diesel_Diesel</v>
      </c>
      <c r="B44" s="308" t="s">
        <v>607</v>
      </c>
      <c r="C44" s="308" t="s">
        <v>65</v>
      </c>
      <c r="D44" s="308" t="s">
        <v>195</v>
      </c>
      <c r="E44" s="308" t="s">
        <v>195</v>
      </c>
      <c r="F44" s="1016">
        <v>9.5979819544060695E-9</v>
      </c>
    </row>
    <row r="45" spans="1:6">
      <c r="A45" s="308" t="str">
        <f>CONCATENATE(TableECFTransport[[#This Row],[Voertuigtype]],"_",TableECFTransport[[#This Row],[Wegtype]],"_",TableECFTransport[[#This Row],[Brandstoftechnologie]],"_",TableECFTransport[[#This Row],[Brandstof]])</f>
        <v>Zware voertuigen_Niet-genummerde wegen_Petrol_Petrol</v>
      </c>
      <c r="B45" s="308" t="s">
        <v>607</v>
      </c>
      <c r="C45" s="308" t="s">
        <v>64</v>
      </c>
      <c r="D45" s="308" t="s">
        <v>300</v>
      </c>
      <c r="E45" s="308" t="s">
        <v>300</v>
      </c>
      <c r="F45" s="1016">
        <v>7.6653519389191332E-9</v>
      </c>
    </row>
    <row r="46" spans="1:6">
      <c r="A46" s="308" t="str">
        <f>CONCATENATE(TableECFTransport[[#This Row],[Voertuigtype]],"_",TableECFTransport[[#This Row],[Wegtype]],"_",TableECFTransport[[#This Row],[Brandstoftechnologie]],"_",TableECFTransport[[#This Row],[Brandstof]])</f>
        <v>Zware voertuigen_Genummerde wegen_Petrol_Petrol</v>
      </c>
      <c r="B46" s="308" t="s">
        <v>607</v>
      </c>
      <c r="C46" s="308" t="s">
        <v>63</v>
      </c>
      <c r="D46" s="308" t="s">
        <v>300</v>
      </c>
      <c r="E46" s="308" t="s">
        <v>300</v>
      </c>
      <c r="F46" s="1016">
        <v>6.3506130742713395E-9</v>
      </c>
    </row>
    <row r="47" spans="1:6">
      <c r="A47" s="308" t="str">
        <f>CONCATENATE(TableECFTransport[[#This Row],[Voertuigtype]],"_",TableECFTransport[[#This Row],[Wegtype]],"_",TableECFTransport[[#This Row],[Brandstoftechnologie]],"_",TableECFTransport[[#This Row],[Brandstof]])</f>
        <v>Zware voertuigen_Snelwegen_Petrol_Petrol</v>
      </c>
      <c r="B47" s="308" t="s">
        <v>607</v>
      </c>
      <c r="C47" s="308" t="s">
        <v>65</v>
      </c>
      <c r="D47" s="308" t="s">
        <v>300</v>
      </c>
      <c r="E47" s="308" t="s">
        <v>300</v>
      </c>
      <c r="F47" s="1016">
        <v>6.5365124469575571E-9</v>
      </c>
    </row>
    <row r="48" spans="1:6">
      <c r="A48" s="308" t="str">
        <f>CONCATENATE(TableECFTransport[[#This Row],[Voertuigtype]],"_",TableECFTransport[[#This Row],[Wegtype]],"_",TableECFTransport[[#This Row],[Brandstoftechnologie]],"_",TableECFTransport[[#This Row],[Brandstof]])</f>
        <v>BUS_Niet-genummerde wegen_CNG_CNG</v>
      </c>
      <c r="B48" s="308" t="s">
        <v>622</v>
      </c>
      <c r="C48" s="308" t="s">
        <v>64</v>
      </c>
      <c r="D48" s="308" t="s">
        <v>298</v>
      </c>
      <c r="E48" s="308" t="s">
        <v>298</v>
      </c>
      <c r="F48" s="1016">
        <v>2.3303083752649969E-8</v>
      </c>
    </row>
    <row r="49" spans="1:6">
      <c r="A49" s="308" t="str">
        <f>CONCATENATE(TableECFTransport[[#This Row],[Voertuigtype]],"_",TableECFTransport[[#This Row],[Wegtype]],"_",TableECFTransport[[#This Row],[Brandstoftechnologie]],"_",TableECFTransport[[#This Row],[Brandstof]])</f>
        <v>BUS_Genummerde wegen_CNG_CNG</v>
      </c>
      <c r="B49" s="308" t="s">
        <v>622</v>
      </c>
      <c r="C49" s="308" t="s">
        <v>63</v>
      </c>
      <c r="D49" s="308" t="s">
        <v>298</v>
      </c>
      <c r="E49" s="308" t="s">
        <v>298</v>
      </c>
      <c r="F49" s="1016">
        <v>1.2452720009185941E-8</v>
      </c>
    </row>
    <row r="50" spans="1:6">
      <c r="A50" s="308" t="str">
        <f>CONCATENATE(TableECFTransport[[#This Row],[Voertuigtype]],"_",TableECFTransport[[#This Row],[Wegtype]],"_",TableECFTransport[[#This Row],[Brandstoftechnologie]],"_",TableECFTransport[[#This Row],[Brandstof]])</f>
        <v>BUS_Niet-genummerde wegen_Diesel_Diesel</v>
      </c>
      <c r="B50" s="308" t="s">
        <v>622</v>
      </c>
      <c r="C50" s="308" t="s">
        <v>64</v>
      </c>
      <c r="D50" s="308" t="s">
        <v>195</v>
      </c>
      <c r="E50" s="308" t="s">
        <v>195</v>
      </c>
      <c r="F50" s="1016">
        <v>1.669203485129206E-8</v>
      </c>
    </row>
    <row r="51" spans="1:6">
      <c r="A51" s="308" t="str">
        <f>CONCATENATE(TableECFTransport[[#This Row],[Voertuigtype]],"_",TableECFTransport[[#This Row],[Wegtype]],"_",TableECFTransport[[#This Row],[Brandstoftechnologie]],"_",TableECFTransport[[#This Row],[Brandstof]])</f>
        <v>BUS_Genummerde wegen_Diesel_Diesel</v>
      </c>
      <c r="B51" s="308" t="s">
        <v>622</v>
      </c>
      <c r="C51" s="308" t="s">
        <v>63</v>
      </c>
      <c r="D51" s="308" t="s">
        <v>195</v>
      </c>
      <c r="E51" s="308" t="s">
        <v>195</v>
      </c>
      <c r="F51" s="1016">
        <v>9.365573797183603E-9</v>
      </c>
    </row>
    <row r="52" spans="1:6">
      <c r="A52" s="308" t="str">
        <f>CONCATENATE(TableECFTransport[[#This Row],[Voertuigtype]],"_",TableECFTransport[[#This Row],[Wegtype]],"_",TableECFTransport[[#This Row],[Brandstoftechnologie]],"_",TableECFTransport[[#This Row],[Brandstof]])</f>
        <v>BUS_Niet-genummerde wegen_Diesel Hybrid PHEV_Diesel</v>
      </c>
      <c r="B52" s="308" t="s">
        <v>622</v>
      </c>
      <c r="C52" s="308" t="s">
        <v>64</v>
      </c>
      <c r="D52" s="308" t="s">
        <v>779</v>
      </c>
      <c r="E52" s="308" t="s">
        <v>195</v>
      </c>
      <c r="F52" s="1016">
        <v>1.2122949179999996E-8</v>
      </c>
    </row>
    <row r="53" spans="1:6">
      <c r="A53" s="308" t="str">
        <f>CONCATENATE(TableECFTransport[[#This Row],[Voertuigtype]],"_",TableECFTransport[[#This Row],[Wegtype]],"_",TableECFTransport[[#This Row],[Brandstoftechnologie]],"_",TableECFTransport[[#This Row],[Brandstof]])</f>
        <v>BUS_Niet-genummerde wegen_Diesel Hybrid PHEV_Electric</v>
      </c>
      <c r="B53" s="308" t="s">
        <v>622</v>
      </c>
      <c r="C53" s="308" t="s">
        <v>64</v>
      </c>
      <c r="D53" s="308" t="s">
        <v>779</v>
      </c>
      <c r="E53" s="308" t="s">
        <v>299</v>
      </c>
      <c r="F53" s="1016">
        <v>4.040983059999999E-9</v>
      </c>
    </row>
    <row r="54" spans="1:6">
      <c r="A54" s="308" t="str">
        <f>CONCATENATE(TableECFTransport[[#This Row],[Voertuigtype]],"_",TableECFTransport[[#This Row],[Wegtype]],"_",TableECFTransport[[#This Row],[Brandstoftechnologie]],"_",TableECFTransport[[#This Row],[Brandstof]])</f>
        <v>BUS_Genummerde wegen_Diesel Hybrid PHEV_Diesel</v>
      </c>
      <c r="B54" s="308" t="s">
        <v>622</v>
      </c>
      <c r="C54" s="308" t="s">
        <v>63</v>
      </c>
      <c r="D54" s="308" t="s">
        <v>779</v>
      </c>
      <c r="E54" s="308" t="s">
        <v>195</v>
      </c>
      <c r="F54" s="1016">
        <v>6.0281746424999994E-9</v>
      </c>
    </row>
    <row r="55" spans="1:6">
      <c r="A55" s="308" t="str">
        <f>CONCATENATE(TableECFTransport[[#This Row],[Voertuigtype]],"_",TableECFTransport[[#This Row],[Wegtype]],"_",TableECFTransport[[#This Row],[Brandstoftechnologie]],"_",TableECFTransport[[#This Row],[Brandstof]])</f>
        <v>BUS_Genummerde wegen_Diesel Hybrid PHEV_Electric</v>
      </c>
      <c r="B55" s="308" t="s">
        <v>622</v>
      </c>
      <c r="C55" s="308" t="s">
        <v>63</v>
      </c>
      <c r="D55" s="308" t="s">
        <v>779</v>
      </c>
      <c r="E55" s="308" t="s">
        <v>299</v>
      </c>
      <c r="F55" s="1016">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activeCellId="1" sqref="AC16:AC24 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1">
        <v>2019</v>
      </c>
      <c r="B1" s="116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3"/>
      <c r="B2" s="116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3"/>
      <c r="B3" s="116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5"/>
      <c r="B4" s="116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378</v>
      </c>
      <c r="B5" s="866" t="s">
        <v>838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5">
        <v>0</v>
      </c>
      <c r="D7" s="815">
        <v>0.27329063135479803</v>
      </c>
      <c r="E7" s="815">
        <v>0</v>
      </c>
      <c r="F7" s="816">
        <v>0.27329063135479803</v>
      </c>
      <c r="G7" s="815">
        <v>0</v>
      </c>
      <c r="H7" s="815">
        <v>0</v>
      </c>
      <c r="I7" s="815">
        <v>2.44</v>
      </c>
      <c r="J7" s="815">
        <v>0.84308617934326502</v>
      </c>
      <c r="K7" s="815">
        <v>0</v>
      </c>
      <c r="L7" s="815">
        <v>43.204596623104223</v>
      </c>
      <c r="M7" s="815">
        <v>0</v>
      </c>
      <c r="N7" s="815">
        <v>0</v>
      </c>
      <c r="O7" s="815">
        <v>0</v>
      </c>
      <c r="P7" s="815">
        <v>0</v>
      </c>
      <c r="Q7" s="815">
        <v>0</v>
      </c>
      <c r="R7" s="816">
        <v>46.487682802447488</v>
      </c>
      <c r="S7" s="815">
        <v>89.312405479034894</v>
      </c>
      <c r="T7" s="815">
        <v>0</v>
      </c>
      <c r="U7" s="815">
        <v>0</v>
      </c>
      <c r="V7" s="816">
        <v>89.312405479034894</v>
      </c>
      <c r="W7" s="816">
        <v>136.07337891283717</v>
      </c>
      <c r="X7" s="815">
        <v>0</v>
      </c>
      <c r="Y7" s="815">
        <v>13.184863193242855</v>
      </c>
      <c r="Z7" s="815">
        <v>37.831911951237785</v>
      </c>
      <c r="AA7" s="817">
        <v>4.09614998156143</v>
      </c>
      <c r="AB7" s="817">
        <v>0</v>
      </c>
      <c r="AC7" s="816">
        <v>191.18630403887926</v>
      </c>
    </row>
    <row r="8" spans="1:29">
      <c r="A8" s="212" t="s">
        <v>149</v>
      </c>
      <c r="B8" s="213"/>
      <c r="C8" s="818">
        <v>0</v>
      </c>
      <c r="D8" s="818">
        <v>8.7900000000000009E-5</v>
      </c>
      <c r="E8" s="818">
        <v>0</v>
      </c>
      <c r="F8" s="819">
        <v>8.7900000000000009E-5</v>
      </c>
      <c r="G8" s="818">
        <v>0</v>
      </c>
      <c r="H8" s="818">
        <v>0</v>
      </c>
      <c r="I8" s="818">
        <v>0.20878710334400596</v>
      </c>
      <c r="J8" s="818">
        <v>5.2990333168958592E-3</v>
      </c>
      <c r="K8" s="818">
        <v>0</v>
      </c>
      <c r="L8" s="818">
        <v>11.134055695758409</v>
      </c>
      <c r="M8" s="818">
        <v>0</v>
      </c>
      <c r="N8" s="818">
        <v>0</v>
      </c>
      <c r="O8" s="818">
        <v>0</v>
      </c>
      <c r="P8" s="818">
        <v>0</v>
      </c>
      <c r="Q8" s="818">
        <v>0</v>
      </c>
      <c r="R8" s="819">
        <v>11.34814183241931</v>
      </c>
      <c r="S8" s="818">
        <v>49.058181665890217</v>
      </c>
      <c r="T8" s="818">
        <v>0</v>
      </c>
      <c r="U8" s="818">
        <v>0</v>
      </c>
      <c r="V8" s="819">
        <v>49.058181665890217</v>
      </c>
      <c r="W8" s="819">
        <v>60.406411398309523</v>
      </c>
      <c r="X8" s="818">
        <v>1.7104239999999999</v>
      </c>
      <c r="Y8" s="818">
        <v>3.4108187519657602</v>
      </c>
      <c r="Z8" s="818">
        <v>42.64329583336049</v>
      </c>
      <c r="AA8" s="820">
        <v>1.1306420284592025</v>
      </c>
      <c r="AB8" s="820">
        <v>0</v>
      </c>
      <c r="AC8" s="819">
        <v>109.30159201209497</v>
      </c>
    </row>
    <row r="9" spans="1:29">
      <c r="A9" s="3"/>
      <c r="B9" s="6" t="s">
        <v>150</v>
      </c>
      <c r="C9" s="821">
        <v>0</v>
      </c>
      <c r="D9" s="821">
        <v>0</v>
      </c>
      <c r="E9" s="821">
        <v>0</v>
      </c>
      <c r="F9" s="822">
        <v>0</v>
      </c>
      <c r="G9" s="821">
        <v>0</v>
      </c>
      <c r="H9" s="821">
        <v>0</v>
      </c>
      <c r="I9" s="821">
        <v>0</v>
      </c>
      <c r="J9" s="821">
        <v>0</v>
      </c>
      <c r="K9" s="821">
        <v>0</v>
      </c>
      <c r="L9" s="821">
        <v>0.40040053473422016</v>
      </c>
      <c r="M9" s="821">
        <v>0</v>
      </c>
      <c r="N9" s="821">
        <v>0</v>
      </c>
      <c r="O9" s="821">
        <v>0</v>
      </c>
      <c r="P9" s="821">
        <v>0</v>
      </c>
      <c r="Q9" s="821">
        <v>0</v>
      </c>
      <c r="R9" s="822">
        <v>0.40040053473422016</v>
      </c>
      <c r="S9" s="821">
        <v>7.2087038182404006</v>
      </c>
      <c r="T9" s="821">
        <v>0</v>
      </c>
      <c r="U9" s="821">
        <v>0</v>
      </c>
      <c r="V9" s="822">
        <v>7.2087038182404006</v>
      </c>
      <c r="W9" s="822">
        <v>7.6091043529746205</v>
      </c>
      <c r="X9" s="821">
        <v>0</v>
      </c>
      <c r="Y9" s="821">
        <v>3.5417162703523158E-2</v>
      </c>
      <c r="Z9" s="821">
        <v>4.9139811667475515</v>
      </c>
      <c r="AA9" s="823">
        <v>0</v>
      </c>
      <c r="AB9" s="823">
        <v>0</v>
      </c>
      <c r="AC9" s="822">
        <v>12.558502682425695</v>
      </c>
    </row>
    <row r="10" spans="1:29">
      <c r="A10" s="3"/>
      <c r="B10" s="6" t="s">
        <v>151</v>
      </c>
      <c r="C10" s="821">
        <v>0</v>
      </c>
      <c r="D10" s="821">
        <v>0</v>
      </c>
      <c r="E10" s="821">
        <v>0</v>
      </c>
      <c r="F10" s="822">
        <v>0</v>
      </c>
      <c r="G10" s="821">
        <v>0</v>
      </c>
      <c r="H10" s="821">
        <v>0</v>
      </c>
      <c r="I10" s="821">
        <v>0</v>
      </c>
      <c r="J10" s="821">
        <v>0</v>
      </c>
      <c r="K10" s="821">
        <v>0</v>
      </c>
      <c r="L10" s="821">
        <v>0.33487558485605978</v>
      </c>
      <c r="M10" s="821">
        <v>0</v>
      </c>
      <c r="N10" s="821">
        <v>0</v>
      </c>
      <c r="O10" s="821">
        <v>0</v>
      </c>
      <c r="P10" s="821">
        <v>0</v>
      </c>
      <c r="Q10" s="821">
        <v>0</v>
      </c>
      <c r="R10" s="822">
        <v>0.33487558485605978</v>
      </c>
      <c r="S10" s="821">
        <v>6.3023607944110784</v>
      </c>
      <c r="T10" s="821">
        <v>0</v>
      </c>
      <c r="U10" s="821">
        <v>0</v>
      </c>
      <c r="V10" s="822">
        <v>6.3023607944110784</v>
      </c>
      <c r="W10" s="822">
        <v>6.6372363792671383</v>
      </c>
      <c r="X10" s="821">
        <v>0</v>
      </c>
      <c r="Y10" s="821">
        <v>2.6848084639999995E-2</v>
      </c>
      <c r="Z10" s="821">
        <v>3.6732389124410996</v>
      </c>
      <c r="AA10" s="823">
        <v>0</v>
      </c>
      <c r="AB10" s="823">
        <v>0</v>
      </c>
      <c r="AC10" s="822">
        <v>10.337323376348238</v>
      </c>
    </row>
    <row r="11" spans="1:29">
      <c r="A11" s="3"/>
      <c r="B11" s="6" t="s">
        <v>152</v>
      </c>
      <c r="C11" s="821">
        <v>0</v>
      </c>
      <c r="D11" s="821">
        <v>0</v>
      </c>
      <c r="E11" s="821">
        <v>0</v>
      </c>
      <c r="F11" s="822">
        <v>0</v>
      </c>
      <c r="G11" s="821">
        <v>0</v>
      </c>
      <c r="H11" s="821">
        <v>0</v>
      </c>
      <c r="I11" s="821">
        <v>0</v>
      </c>
      <c r="J11" s="821">
        <v>0</v>
      </c>
      <c r="K11" s="821">
        <v>0</v>
      </c>
      <c r="L11" s="821">
        <v>4.5906788841887584E-2</v>
      </c>
      <c r="M11" s="821">
        <v>0</v>
      </c>
      <c r="N11" s="821">
        <v>0</v>
      </c>
      <c r="O11" s="821">
        <v>0</v>
      </c>
      <c r="P11" s="821">
        <v>0</v>
      </c>
      <c r="Q11" s="821">
        <v>0</v>
      </c>
      <c r="R11" s="822">
        <v>4.5906788841887584E-2</v>
      </c>
      <c r="S11" s="821">
        <v>2.9064870091403998</v>
      </c>
      <c r="T11" s="821">
        <v>0</v>
      </c>
      <c r="U11" s="821">
        <v>0</v>
      </c>
      <c r="V11" s="822">
        <v>2.9064870091403998</v>
      </c>
      <c r="W11" s="822">
        <v>2.9523937979822872</v>
      </c>
      <c r="X11" s="821">
        <v>0</v>
      </c>
      <c r="Y11" s="821">
        <v>3.6896880000000004E-3</v>
      </c>
      <c r="Z11" s="821">
        <v>1.1716095672</v>
      </c>
      <c r="AA11" s="823">
        <v>0</v>
      </c>
      <c r="AB11" s="823">
        <v>0</v>
      </c>
      <c r="AC11" s="822">
        <v>4.1276930531822877</v>
      </c>
    </row>
    <row r="12" spans="1:29">
      <c r="A12" s="3"/>
      <c r="B12" s="6" t="s">
        <v>153</v>
      </c>
      <c r="C12" s="821">
        <v>0</v>
      </c>
      <c r="D12" s="821">
        <v>0</v>
      </c>
      <c r="E12" s="821">
        <v>0</v>
      </c>
      <c r="F12" s="822">
        <v>0</v>
      </c>
      <c r="G12" s="821">
        <v>0</v>
      </c>
      <c r="H12" s="821">
        <v>0</v>
      </c>
      <c r="I12" s="821">
        <v>2.9885505378667819E-3</v>
      </c>
      <c r="J12" s="821">
        <v>0</v>
      </c>
      <c r="K12" s="821">
        <v>0</v>
      </c>
      <c r="L12" s="821">
        <v>1.2248396644011408</v>
      </c>
      <c r="M12" s="821">
        <v>0</v>
      </c>
      <c r="N12" s="821">
        <v>0</v>
      </c>
      <c r="O12" s="821">
        <v>0</v>
      </c>
      <c r="P12" s="821">
        <v>0</v>
      </c>
      <c r="Q12" s="821">
        <v>0</v>
      </c>
      <c r="R12" s="822">
        <v>1.2278282149390076</v>
      </c>
      <c r="S12" s="821">
        <v>15.572250193401096</v>
      </c>
      <c r="T12" s="821">
        <v>0</v>
      </c>
      <c r="U12" s="821">
        <v>0</v>
      </c>
      <c r="V12" s="822">
        <v>15.572250193401096</v>
      </c>
      <c r="W12" s="822">
        <v>16.800078408340106</v>
      </c>
      <c r="X12" s="821">
        <v>0</v>
      </c>
      <c r="Y12" s="821">
        <v>1.6772113712554999E-2</v>
      </c>
      <c r="Z12" s="821">
        <v>12.543523180038926</v>
      </c>
      <c r="AA12" s="823">
        <v>0</v>
      </c>
      <c r="AB12" s="823">
        <v>0</v>
      </c>
      <c r="AC12" s="822">
        <v>29.360373702091586</v>
      </c>
    </row>
    <row r="13" spans="1:29">
      <c r="A13" s="3"/>
      <c r="B13" s="6" t="s">
        <v>154</v>
      </c>
      <c r="C13" s="821">
        <v>0</v>
      </c>
      <c r="D13" s="821">
        <v>0</v>
      </c>
      <c r="E13" s="821">
        <v>0</v>
      </c>
      <c r="F13" s="822">
        <v>0</v>
      </c>
      <c r="G13" s="821">
        <v>0</v>
      </c>
      <c r="H13" s="821">
        <v>0</v>
      </c>
      <c r="I13" s="821">
        <v>9.3126948461290077E-2</v>
      </c>
      <c r="J13" s="821">
        <v>8.8016389999999998E-4</v>
      </c>
      <c r="K13" s="821">
        <v>0</v>
      </c>
      <c r="L13" s="821">
        <v>1.1573717127091439</v>
      </c>
      <c r="M13" s="821">
        <v>0</v>
      </c>
      <c r="N13" s="821">
        <v>0</v>
      </c>
      <c r="O13" s="821">
        <v>0</v>
      </c>
      <c r="P13" s="821">
        <v>0</v>
      </c>
      <c r="Q13" s="821">
        <v>0</v>
      </c>
      <c r="R13" s="822">
        <v>1.2513788250704339</v>
      </c>
      <c r="S13" s="821">
        <v>9.1404449427810626</v>
      </c>
      <c r="T13" s="821">
        <v>0</v>
      </c>
      <c r="U13" s="821">
        <v>0</v>
      </c>
      <c r="V13" s="822">
        <v>9.1404449427810626</v>
      </c>
      <c r="W13" s="822">
        <v>10.391823767851497</v>
      </c>
      <c r="X13" s="821">
        <v>0</v>
      </c>
      <c r="Y13" s="821">
        <v>4.3520310000000001E-3</v>
      </c>
      <c r="Z13" s="821">
        <v>11.650167432061705</v>
      </c>
      <c r="AA13" s="823">
        <v>0</v>
      </c>
      <c r="AB13" s="823">
        <v>0</v>
      </c>
      <c r="AC13" s="822">
        <v>22.046343230913202</v>
      </c>
    </row>
    <row r="14" spans="1:29">
      <c r="A14" s="214"/>
      <c r="B14" s="215" t="s">
        <v>155</v>
      </c>
      <c r="C14" s="824">
        <v>0</v>
      </c>
      <c r="D14" s="824">
        <v>8.7900000000000009E-5</v>
      </c>
      <c r="E14" s="824">
        <v>0</v>
      </c>
      <c r="F14" s="825">
        <v>8.7900000000000009E-5</v>
      </c>
      <c r="G14" s="821">
        <v>0</v>
      </c>
      <c r="H14" s="821">
        <v>0</v>
      </c>
      <c r="I14" s="821">
        <v>0.11267160434484912</v>
      </c>
      <c r="J14" s="821">
        <v>4.4188694168958587E-3</v>
      </c>
      <c r="K14" s="821">
        <v>0</v>
      </c>
      <c r="L14" s="821">
        <v>7.9706614102159561</v>
      </c>
      <c r="M14" s="821">
        <v>0</v>
      </c>
      <c r="N14" s="821">
        <v>0</v>
      </c>
      <c r="O14" s="821">
        <v>0</v>
      </c>
      <c r="P14" s="821">
        <v>0</v>
      </c>
      <c r="Q14" s="821">
        <v>0</v>
      </c>
      <c r="R14" s="825">
        <v>8.0877518839777007</v>
      </c>
      <c r="S14" s="821">
        <v>7.9279349079161863</v>
      </c>
      <c r="T14" s="824">
        <v>0</v>
      </c>
      <c r="U14" s="824">
        <v>0</v>
      </c>
      <c r="V14" s="825">
        <v>7.9279349079161863</v>
      </c>
      <c r="W14" s="825">
        <v>16.015774691893888</v>
      </c>
      <c r="X14" s="821">
        <v>1.7104239999999999</v>
      </c>
      <c r="Y14" s="821">
        <v>3.3237396719096823</v>
      </c>
      <c r="Z14" s="821">
        <v>8.6907755748712106</v>
      </c>
      <c r="AA14" s="826">
        <v>0</v>
      </c>
      <c r="AB14" s="826">
        <v>0</v>
      </c>
      <c r="AC14" s="825">
        <v>29.74071393867478</v>
      </c>
    </row>
    <row r="15" spans="1:29">
      <c r="A15" s="212" t="s">
        <v>156</v>
      </c>
      <c r="B15" s="216"/>
      <c r="C15" s="827">
        <v>0</v>
      </c>
      <c r="D15" s="827">
        <v>3.0338772400000102E-2</v>
      </c>
      <c r="E15" s="827">
        <v>0.20771800000000001</v>
      </c>
      <c r="F15" s="828">
        <v>0.23805677240000012</v>
      </c>
      <c r="G15" s="827">
        <v>0</v>
      </c>
      <c r="H15" s="827">
        <v>0</v>
      </c>
      <c r="I15" s="827">
        <v>2.5814111674916882</v>
      </c>
      <c r="J15" s="827">
        <v>0.14645439674652899</v>
      </c>
      <c r="K15" s="827">
        <v>0</v>
      </c>
      <c r="L15" s="827">
        <v>6.4948406939839147</v>
      </c>
      <c r="M15" s="827">
        <v>0</v>
      </c>
      <c r="N15" s="827">
        <v>0.21603752470702481</v>
      </c>
      <c r="O15" s="827">
        <v>0</v>
      </c>
      <c r="P15" s="827">
        <v>2.6201000000000002E-2</v>
      </c>
      <c r="Q15" s="827">
        <v>0</v>
      </c>
      <c r="R15" s="997">
        <v>9.4649447829291571</v>
      </c>
      <c r="S15" s="827">
        <v>32.568194239939906</v>
      </c>
      <c r="T15" s="827">
        <v>0</v>
      </c>
      <c r="U15" s="827">
        <v>0</v>
      </c>
      <c r="V15" s="997">
        <v>32.568194239939906</v>
      </c>
      <c r="W15" s="997">
        <v>42.271195795269065</v>
      </c>
      <c r="X15" s="1008">
        <v>2.8825406369840999E-2</v>
      </c>
      <c r="Y15" s="827">
        <v>1.3859973826780001</v>
      </c>
      <c r="Z15" s="827">
        <v>43.844919721317268</v>
      </c>
      <c r="AA15" s="829">
        <v>2.7107760662131284</v>
      </c>
      <c r="AB15" s="829">
        <v>0</v>
      </c>
      <c r="AC15" s="828">
        <v>90.241714371847308</v>
      </c>
    </row>
    <row r="16" spans="1:29">
      <c r="A16" s="5"/>
      <c r="B16" s="6" t="s">
        <v>34</v>
      </c>
      <c r="C16" s="830">
        <v>0</v>
      </c>
      <c r="D16" s="830">
        <v>0</v>
      </c>
      <c r="E16" s="830">
        <v>0</v>
      </c>
      <c r="F16" s="822">
        <v>0</v>
      </c>
      <c r="G16" s="830">
        <v>0</v>
      </c>
      <c r="H16" s="830">
        <v>0</v>
      </c>
      <c r="I16" s="830">
        <v>4.9299999999999995E-4</v>
      </c>
      <c r="J16" s="830">
        <v>0</v>
      </c>
      <c r="K16" s="830">
        <v>0</v>
      </c>
      <c r="L16" s="830">
        <v>7.5490000000000002E-3</v>
      </c>
      <c r="M16" s="830">
        <v>0</v>
      </c>
      <c r="N16" s="830">
        <v>3.4694469519536142E-18</v>
      </c>
      <c r="O16" s="830">
        <v>0</v>
      </c>
      <c r="P16" s="830">
        <v>0</v>
      </c>
      <c r="Q16" s="830">
        <v>0</v>
      </c>
      <c r="R16" s="822">
        <v>8.042000000000004E-3</v>
      </c>
      <c r="S16" s="830">
        <v>0.12991166852240177</v>
      </c>
      <c r="T16" s="830">
        <v>0</v>
      </c>
      <c r="U16" s="830">
        <v>0</v>
      </c>
      <c r="V16" s="831">
        <v>0.12991166852240177</v>
      </c>
      <c r="W16" s="822">
        <v>0.13795366852240176</v>
      </c>
      <c r="X16" s="1009">
        <v>0</v>
      </c>
      <c r="Y16" s="830">
        <v>0</v>
      </c>
      <c r="Z16" s="830">
        <v>0.50663475960000071</v>
      </c>
      <c r="AA16" s="823">
        <v>0</v>
      </c>
      <c r="AB16" s="823">
        <v>0</v>
      </c>
      <c r="AC16" s="822">
        <v>0.64458842812240247</v>
      </c>
    </row>
    <row r="17" spans="1:31">
      <c r="A17" s="5"/>
      <c r="B17" s="6" t="s">
        <v>37</v>
      </c>
      <c r="C17" s="830">
        <v>0</v>
      </c>
      <c r="D17" s="830">
        <v>0</v>
      </c>
      <c r="E17" s="830">
        <v>0.20282100000000003</v>
      </c>
      <c r="F17" s="822">
        <v>0.20282100000000003</v>
      </c>
      <c r="G17" s="830">
        <v>0</v>
      </c>
      <c r="H17" s="830">
        <v>0</v>
      </c>
      <c r="I17" s="830">
        <v>2.8900000000000009E-4</v>
      </c>
      <c r="J17" s="830">
        <v>0</v>
      </c>
      <c r="K17" s="830">
        <v>0</v>
      </c>
      <c r="L17" s="830">
        <v>8.0327707291170003E-2</v>
      </c>
      <c r="M17" s="830">
        <v>0</v>
      </c>
      <c r="N17" s="830">
        <v>6.2350000000000183E-3</v>
      </c>
      <c r="O17" s="830">
        <v>0</v>
      </c>
      <c r="P17" s="830">
        <v>7.2490000000000002E-3</v>
      </c>
      <c r="Q17" s="830">
        <v>0</v>
      </c>
      <c r="R17" s="822">
        <v>9.4100707291170024E-2</v>
      </c>
      <c r="S17" s="830">
        <v>0.74747439069600086</v>
      </c>
      <c r="T17" s="830">
        <v>0</v>
      </c>
      <c r="U17" s="830">
        <v>0</v>
      </c>
      <c r="V17" s="831">
        <v>0.74747439069600086</v>
      </c>
      <c r="W17" s="822">
        <v>1.0443960979871709</v>
      </c>
      <c r="X17" s="1009">
        <v>0</v>
      </c>
      <c r="Y17" s="830">
        <v>0</v>
      </c>
      <c r="Z17" s="830">
        <v>0.54453463719999995</v>
      </c>
      <c r="AA17" s="823">
        <v>0</v>
      </c>
      <c r="AB17" s="823">
        <v>0</v>
      </c>
      <c r="AC17" s="822">
        <v>1.5889307351871709</v>
      </c>
    </row>
    <row r="18" spans="1:31">
      <c r="A18" s="5"/>
      <c r="B18" s="6" t="s">
        <v>35</v>
      </c>
      <c r="C18" s="830">
        <v>0</v>
      </c>
      <c r="D18" s="830">
        <v>0</v>
      </c>
      <c r="E18" s="830">
        <v>4.8969999999999847E-3</v>
      </c>
      <c r="F18" s="822">
        <v>4.8969999999999847E-3</v>
      </c>
      <c r="G18" s="830">
        <v>0</v>
      </c>
      <c r="H18" s="830">
        <v>0</v>
      </c>
      <c r="I18" s="830">
        <v>3.2588932329250385E-2</v>
      </c>
      <c r="J18" s="830">
        <v>1.1407E-2</v>
      </c>
      <c r="K18" s="830">
        <v>0</v>
      </c>
      <c r="L18" s="830">
        <v>0.38500636334897742</v>
      </c>
      <c r="M18" s="830">
        <v>0</v>
      </c>
      <c r="N18" s="830">
        <v>0</v>
      </c>
      <c r="O18" s="830">
        <v>0</v>
      </c>
      <c r="P18" s="830">
        <v>0</v>
      </c>
      <c r="Q18" s="830">
        <v>0</v>
      </c>
      <c r="R18" s="822">
        <v>0.42900229567822779</v>
      </c>
      <c r="S18" s="830">
        <v>4.780918585243592</v>
      </c>
      <c r="T18" s="830">
        <v>0</v>
      </c>
      <c r="U18" s="830">
        <v>0</v>
      </c>
      <c r="V18" s="831">
        <v>4.780918585243592</v>
      </c>
      <c r="W18" s="822">
        <v>5.2148178809218191</v>
      </c>
      <c r="X18" s="1009">
        <v>0</v>
      </c>
      <c r="Y18" s="830">
        <v>0.12820235720000001</v>
      </c>
      <c r="Z18" s="830">
        <v>5.9783525886064597</v>
      </c>
      <c r="AA18" s="823">
        <v>0</v>
      </c>
      <c r="AB18" s="823">
        <v>0</v>
      </c>
      <c r="AC18" s="822">
        <v>11.321372826728279</v>
      </c>
    </row>
    <row r="19" spans="1:31">
      <c r="A19" s="5"/>
      <c r="B19" s="6" t="s">
        <v>32</v>
      </c>
      <c r="C19" s="830">
        <v>0</v>
      </c>
      <c r="D19" s="830">
        <v>0</v>
      </c>
      <c r="E19" s="830">
        <v>0</v>
      </c>
      <c r="F19" s="822">
        <v>0</v>
      </c>
      <c r="G19" s="830">
        <v>0</v>
      </c>
      <c r="H19" s="830">
        <v>0</v>
      </c>
      <c r="I19" s="830">
        <v>2.8524355817076196E-2</v>
      </c>
      <c r="J19" s="830">
        <v>0.13504739674652899</v>
      </c>
      <c r="K19" s="830">
        <v>0</v>
      </c>
      <c r="L19" s="830">
        <v>5.5150971200233476</v>
      </c>
      <c r="M19" s="830">
        <v>0</v>
      </c>
      <c r="N19" s="830">
        <v>0.19837852470702463</v>
      </c>
      <c r="O19" s="830">
        <v>0</v>
      </c>
      <c r="P19" s="830">
        <v>0</v>
      </c>
      <c r="Q19" s="830">
        <v>0</v>
      </c>
      <c r="R19" s="822">
        <v>5.8770473972939774</v>
      </c>
      <c r="S19" s="830">
        <v>4.7994397510501683</v>
      </c>
      <c r="T19" s="830">
        <v>0</v>
      </c>
      <c r="U19" s="830">
        <v>0</v>
      </c>
      <c r="V19" s="831">
        <v>4.7994397510501683</v>
      </c>
      <c r="W19" s="822">
        <v>10.676487148344146</v>
      </c>
      <c r="X19" s="1009">
        <v>0</v>
      </c>
      <c r="Y19" s="830">
        <v>0.35878206181200101</v>
      </c>
      <c r="Z19" s="830">
        <v>8.8360752876533617</v>
      </c>
      <c r="AA19" s="823">
        <v>0</v>
      </c>
      <c r="AB19" s="823">
        <v>0</v>
      </c>
      <c r="AC19" s="822">
        <v>19.87134449780951</v>
      </c>
    </row>
    <row r="20" spans="1:31">
      <c r="A20" s="5"/>
      <c r="B20" s="6" t="s">
        <v>40</v>
      </c>
      <c r="C20" s="830">
        <v>0</v>
      </c>
      <c r="D20" s="830">
        <v>0</v>
      </c>
      <c r="E20" s="830">
        <v>0</v>
      </c>
      <c r="F20" s="822">
        <v>0</v>
      </c>
      <c r="G20" s="830">
        <v>0</v>
      </c>
      <c r="H20" s="830">
        <v>0</v>
      </c>
      <c r="I20" s="830">
        <v>2.6251361024361614E-2</v>
      </c>
      <c r="J20" s="830">
        <v>0</v>
      </c>
      <c r="K20" s="830">
        <v>0</v>
      </c>
      <c r="L20" s="830">
        <v>0.2599087070892015</v>
      </c>
      <c r="M20" s="830">
        <v>0</v>
      </c>
      <c r="N20" s="830">
        <v>4.8549999999999999E-3</v>
      </c>
      <c r="O20" s="830">
        <v>0</v>
      </c>
      <c r="P20" s="830">
        <v>0</v>
      </c>
      <c r="Q20" s="830">
        <v>0</v>
      </c>
      <c r="R20" s="822">
        <v>0.29101506811356309</v>
      </c>
      <c r="S20" s="830">
        <v>13.471914315210945</v>
      </c>
      <c r="T20" s="830">
        <v>0</v>
      </c>
      <c r="U20" s="830">
        <v>0</v>
      </c>
      <c r="V20" s="831">
        <v>13.471914315210945</v>
      </c>
      <c r="W20" s="822">
        <v>13.762929383324508</v>
      </c>
      <c r="X20" s="1009">
        <v>0</v>
      </c>
      <c r="Y20" s="830">
        <v>0.49525454446600004</v>
      </c>
      <c r="Z20" s="830">
        <v>12.450705451997509</v>
      </c>
      <c r="AA20" s="823">
        <v>0</v>
      </c>
      <c r="AB20" s="823">
        <v>0</v>
      </c>
      <c r="AC20" s="822">
        <v>26.708889379788019</v>
      </c>
    </row>
    <row r="21" spans="1:31">
      <c r="A21" s="5"/>
      <c r="B21" s="6" t="s">
        <v>39</v>
      </c>
      <c r="C21" s="830">
        <v>0</v>
      </c>
      <c r="D21" s="830">
        <v>0</v>
      </c>
      <c r="E21" s="830">
        <v>0</v>
      </c>
      <c r="F21" s="822">
        <v>0</v>
      </c>
      <c r="G21" s="830">
        <v>0</v>
      </c>
      <c r="H21" s="830">
        <v>0</v>
      </c>
      <c r="I21" s="830">
        <v>1.8810000000000001E-3</v>
      </c>
      <c r="J21" s="830">
        <v>0</v>
      </c>
      <c r="K21" s="830">
        <v>0</v>
      </c>
      <c r="L21" s="830">
        <v>4.5896074612018653E-2</v>
      </c>
      <c r="M21" s="830">
        <v>0</v>
      </c>
      <c r="N21" s="830">
        <v>0</v>
      </c>
      <c r="O21" s="830">
        <v>0</v>
      </c>
      <c r="P21" s="830">
        <v>0</v>
      </c>
      <c r="Q21" s="830">
        <v>0</v>
      </c>
      <c r="R21" s="822">
        <v>4.7777074612018654E-2</v>
      </c>
      <c r="S21" s="830">
        <v>1.9492272596398041</v>
      </c>
      <c r="T21" s="830">
        <v>0</v>
      </c>
      <c r="U21" s="830">
        <v>0</v>
      </c>
      <c r="V21" s="831">
        <v>1.9492272596398041</v>
      </c>
      <c r="W21" s="822">
        <v>1.9970043342518229</v>
      </c>
      <c r="X21" s="1009">
        <v>2.8825406369840999E-2</v>
      </c>
      <c r="Y21" s="830">
        <v>0</v>
      </c>
      <c r="Z21" s="830">
        <v>2.18906761830769</v>
      </c>
      <c r="AA21" s="823">
        <v>0</v>
      </c>
      <c r="AB21" s="823">
        <v>0</v>
      </c>
      <c r="AC21" s="822">
        <v>4.2148973589293544</v>
      </c>
    </row>
    <row r="22" spans="1:31">
      <c r="A22" s="5"/>
      <c r="B22" s="6" t="s">
        <v>36</v>
      </c>
      <c r="C22" s="830">
        <v>0</v>
      </c>
      <c r="D22" s="830">
        <v>3.0172000000000032E-2</v>
      </c>
      <c r="E22" s="830">
        <v>0</v>
      </c>
      <c r="F22" s="822">
        <v>3.0172000000000032E-2</v>
      </c>
      <c r="G22" s="830">
        <v>0</v>
      </c>
      <c r="H22" s="830">
        <v>0</v>
      </c>
      <c r="I22" s="830">
        <v>1.3797539599999995E-2</v>
      </c>
      <c r="J22" s="830">
        <v>0</v>
      </c>
      <c r="K22" s="830">
        <v>0</v>
      </c>
      <c r="L22" s="830">
        <v>0.12211847999999989</v>
      </c>
      <c r="M22" s="830">
        <v>0</v>
      </c>
      <c r="N22" s="830">
        <v>6.569000000000047E-3</v>
      </c>
      <c r="O22" s="830">
        <v>0</v>
      </c>
      <c r="P22" s="830">
        <v>1.8952E-2</v>
      </c>
      <c r="Q22" s="830">
        <v>0</v>
      </c>
      <c r="R22" s="822">
        <v>0.16143701959999993</v>
      </c>
      <c r="S22" s="830">
        <v>1.7332924207788007</v>
      </c>
      <c r="T22" s="830">
        <v>0</v>
      </c>
      <c r="U22" s="830">
        <v>0</v>
      </c>
      <c r="V22" s="831">
        <v>1.7332924207788007</v>
      </c>
      <c r="W22" s="822">
        <v>1.9249014403788007</v>
      </c>
      <c r="X22" s="1009">
        <v>0</v>
      </c>
      <c r="Y22" s="830">
        <v>0.46204199999999995</v>
      </c>
      <c r="Z22" s="830">
        <v>0.84310968239999973</v>
      </c>
      <c r="AA22" s="823">
        <v>0</v>
      </c>
      <c r="AB22" s="823">
        <v>0</v>
      </c>
      <c r="AC22" s="822">
        <v>3.2300531227788003</v>
      </c>
    </row>
    <row r="23" spans="1:31">
      <c r="A23" s="5"/>
      <c r="B23" s="6" t="s">
        <v>38</v>
      </c>
      <c r="C23" s="830">
        <v>0</v>
      </c>
      <c r="D23" s="830">
        <v>1.6677240000007032E-4</v>
      </c>
      <c r="E23" s="830">
        <v>0</v>
      </c>
      <c r="F23" s="822">
        <v>1.6677240000007032E-4</v>
      </c>
      <c r="G23" s="830">
        <v>0</v>
      </c>
      <c r="H23" s="830">
        <v>0</v>
      </c>
      <c r="I23" s="830">
        <v>0</v>
      </c>
      <c r="J23" s="830">
        <v>0</v>
      </c>
      <c r="K23" s="830">
        <v>0</v>
      </c>
      <c r="L23" s="830">
        <v>1.1293720000000139E-4</v>
      </c>
      <c r="M23" s="830">
        <v>0</v>
      </c>
      <c r="N23" s="830">
        <v>0</v>
      </c>
      <c r="O23" s="830">
        <v>0</v>
      </c>
      <c r="P23" s="830">
        <v>0</v>
      </c>
      <c r="Q23" s="830">
        <v>0</v>
      </c>
      <c r="R23" s="822">
        <v>1.1293720000000139E-4</v>
      </c>
      <c r="S23" s="830">
        <v>0.45106470978800006</v>
      </c>
      <c r="T23" s="830">
        <v>0</v>
      </c>
      <c r="U23" s="830">
        <v>0</v>
      </c>
      <c r="V23" s="831">
        <v>0.45106470978800006</v>
      </c>
      <c r="W23" s="822">
        <v>0.45134441938800013</v>
      </c>
      <c r="X23" s="1009">
        <v>0</v>
      </c>
      <c r="Y23" s="830">
        <v>-6.2423580800000877E-2</v>
      </c>
      <c r="Z23" s="830">
        <v>0.63238773504399859</v>
      </c>
      <c r="AA23" s="823">
        <v>0</v>
      </c>
      <c r="AB23" s="823">
        <v>0</v>
      </c>
      <c r="AC23" s="822">
        <v>1.0213085736319978</v>
      </c>
    </row>
    <row r="24" spans="1:31">
      <c r="A24" s="217"/>
      <c r="B24" s="215" t="s">
        <v>33</v>
      </c>
      <c r="C24" s="830">
        <v>0</v>
      </c>
      <c r="D24" s="830">
        <v>0</v>
      </c>
      <c r="E24" s="830">
        <v>0</v>
      </c>
      <c r="F24" s="822">
        <v>0</v>
      </c>
      <c r="G24" s="830">
        <v>0</v>
      </c>
      <c r="H24" s="830">
        <v>0</v>
      </c>
      <c r="I24" s="830">
        <v>2.4775859787209997</v>
      </c>
      <c r="J24" s="830">
        <v>0</v>
      </c>
      <c r="K24" s="830">
        <v>0</v>
      </c>
      <c r="L24" s="830">
        <v>7.8824304419199992E-2</v>
      </c>
      <c r="M24" s="830">
        <v>0</v>
      </c>
      <c r="N24" s="830">
        <v>1.1102230246251565E-16</v>
      </c>
      <c r="O24" s="830">
        <v>0</v>
      </c>
      <c r="P24" s="830">
        <v>0</v>
      </c>
      <c r="Q24" s="830">
        <v>0</v>
      </c>
      <c r="R24" s="822">
        <v>2.5564102831401998</v>
      </c>
      <c r="S24" s="830">
        <v>4.5049511390101955</v>
      </c>
      <c r="T24" s="830">
        <v>0</v>
      </c>
      <c r="U24" s="830">
        <v>0</v>
      </c>
      <c r="V24" s="831">
        <v>4.5049511390101955</v>
      </c>
      <c r="W24" s="822">
        <v>7.0613614221503953</v>
      </c>
      <c r="X24" s="1009">
        <v>0</v>
      </c>
      <c r="Y24" s="830">
        <v>4.139999999999977E-3</v>
      </c>
      <c r="Z24" s="830">
        <v>11.864051960508252</v>
      </c>
      <c r="AA24" s="823">
        <v>0</v>
      </c>
      <c r="AB24" s="823">
        <v>0</v>
      </c>
      <c r="AC24" s="822">
        <v>18.929553382658646</v>
      </c>
    </row>
    <row r="25" spans="1:31">
      <c r="A25" s="5" t="s">
        <v>604</v>
      </c>
      <c r="B25" s="127"/>
      <c r="C25" s="827">
        <f>SUM(C27:C32)</f>
        <v>0</v>
      </c>
      <c r="D25" s="827">
        <f t="shared" ref="D25:E25" si="0">SUM(D27:D32)</f>
        <v>0.66102303809999996</v>
      </c>
      <c r="E25" s="827">
        <f t="shared" si="0"/>
        <v>0</v>
      </c>
      <c r="F25" s="828">
        <f>SUM(F27:F32)</f>
        <v>0.54700399882025252</v>
      </c>
      <c r="G25" s="818">
        <f>SUM(G27:G32)</f>
        <v>0</v>
      </c>
      <c r="H25" s="818">
        <f t="shared" ref="H25:Q25" si="1">SUM(H27:H32)</f>
        <v>0</v>
      </c>
      <c r="I25" s="818">
        <f t="shared" si="1"/>
        <v>9.2622231932309951E-2</v>
      </c>
      <c r="J25" s="818">
        <f t="shared" si="1"/>
        <v>8.3014862311519458E-2</v>
      </c>
      <c r="K25" s="818">
        <f t="shared" si="1"/>
        <v>0</v>
      </c>
      <c r="L25" s="818">
        <f t="shared" si="1"/>
        <v>8.5450223824312701</v>
      </c>
      <c r="M25" s="818">
        <f t="shared" si="1"/>
        <v>0.27345664938604702</v>
      </c>
      <c r="N25" s="818">
        <f t="shared" si="1"/>
        <v>0.31427866588443548</v>
      </c>
      <c r="O25" s="818">
        <f t="shared" si="1"/>
        <v>0</v>
      </c>
      <c r="P25" s="818">
        <f t="shared" si="1"/>
        <v>0</v>
      </c>
      <c r="Q25" s="818">
        <f t="shared" si="1"/>
        <v>0</v>
      </c>
      <c r="R25" s="828">
        <f>SUM(R27:R32)</f>
        <v>9.3083947919455809</v>
      </c>
      <c r="S25" s="818">
        <f>SUM(S27:S32)</f>
        <v>20.940287499104748</v>
      </c>
      <c r="T25" s="818">
        <f t="shared" ref="T25:U25" si="2">SUM(T27:T32)</f>
        <v>0</v>
      </c>
      <c r="U25" s="818">
        <f t="shared" si="2"/>
        <v>0</v>
      </c>
      <c r="V25" s="828">
        <f>SUM(V27:V32)</f>
        <v>20.940287499104748</v>
      </c>
      <c r="W25" s="828">
        <f>SUM(W27:W32)</f>
        <v>30.795686289870584</v>
      </c>
      <c r="X25" s="827">
        <f>SUM(X27:X32)</f>
        <v>0</v>
      </c>
      <c r="Y25" s="818">
        <f>SUM(Y27:Y32)</f>
        <v>2.8000929647538699</v>
      </c>
      <c r="Z25" s="820">
        <f>SUM(Z27:Z32)</f>
        <v>-3.1326895522043734</v>
      </c>
      <c r="AA25" s="829">
        <v>5.983740012162489E-2</v>
      </c>
      <c r="AB25" s="829">
        <f>SUM(AB27:AB32)</f>
        <v>0</v>
      </c>
      <c r="AC25" s="828">
        <f>SUM(W25:AB25)</f>
        <v>30.522927102541708</v>
      </c>
      <c r="AE25" s="38"/>
    </row>
    <row r="26" spans="1:31">
      <c r="A26" s="5"/>
      <c r="B26" s="127"/>
      <c r="C26" s="832"/>
      <c r="D26" s="833"/>
      <c r="E26" s="832"/>
      <c r="F26" s="822"/>
      <c r="G26" s="833"/>
      <c r="H26" s="833"/>
      <c r="I26" s="833"/>
      <c r="J26" s="833"/>
      <c r="K26" s="833"/>
      <c r="L26" s="833"/>
      <c r="M26" s="833"/>
      <c r="N26" s="833"/>
      <c r="O26" s="833"/>
      <c r="P26" s="833"/>
      <c r="Q26" s="833"/>
      <c r="R26" s="822"/>
      <c r="S26" s="833"/>
      <c r="T26" s="832"/>
      <c r="U26" s="832"/>
      <c r="V26" s="822"/>
      <c r="W26" s="822"/>
      <c r="X26" s="832"/>
      <c r="Y26" s="836"/>
      <c r="Z26" s="836">
        <v>2.5997037948000004</v>
      </c>
      <c r="AA26" s="837"/>
      <c r="AB26" s="834"/>
      <c r="AC26" s="835"/>
      <c r="AE26" s="38"/>
    </row>
    <row r="27" spans="1:31">
      <c r="A27" s="3"/>
      <c r="B27" s="6" t="s">
        <v>157</v>
      </c>
      <c r="C27" s="821">
        <v>0</v>
      </c>
      <c r="D27" s="821">
        <v>0</v>
      </c>
      <c r="E27" s="821">
        <v>0</v>
      </c>
      <c r="F27" s="822">
        <v>0</v>
      </c>
      <c r="G27" s="821">
        <v>0</v>
      </c>
      <c r="H27" s="821">
        <v>0</v>
      </c>
      <c r="I27" s="821">
        <v>7.0550920868844708E-2</v>
      </c>
      <c r="J27" s="821">
        <v>1.2872816238581651E-3</v>
      </c>
      <c r="K27" s="821">
        <v>0</v>
      </c>
      <c r="L27" s="821">
        <v>5.0345614847885045</v>
      </c>
      <c r="M27" s="821">
        <v>0.2204199191894787</v>
      </c>
      <c r="N27" s="821">
        <v>0</v>
      </c>
      <c r="O27" s="821">
        <v>0</v>
      </c>
      <c r="P27" s="821">
        <v>0</v>
      </c>
      <c r="Q27" s="821">
        <v>0</v>
      </c>
      <c r="R27" s="822">
        <v>5.3268196064706865</v>
      </c>
      <c r="S27" s="821">
        <v>0.23190097463141757</v>
      </c>
      <c r="T27" s="821">
        <v>0</v>
      </c>
      <c r="U27" s="821">
        <v>0</v>
      </c>
      <c r="V27" s="822">
        <v>0.23190097463141757</v>
      </c>
      <c r="W27" s="822">
        <v>5.5587205811021043</v>
      </c>
      <c r="X27" s="821">
        <v>0</v>
      </c>
      <c r="Y27" s="821">
        <v>1.0662532783066432</v>
      </c>
      <c r="Z27" s="821">
        <v>2.0302494611772341</v>
      </c>
      <c r="AA27" s="823">
        <v>0</v>
      </c>
      <c r="AB27" s="823">
        <v>0</v>
      </c>
      <c r="AC27" s="822">
        <v>8.6552233205859821</v>
      </c>
    </row>
    <row r="28" spans="1:31">
      <c r="A28" s="3"/>
      <c r="B28" s="6" t="s">
        <v>158</v>
      </c>
      <c r="C28" s="821">
        <v>0</v>
      </c>
      <c r="D28" s="821">
        <v>0</v>
      </c>
      <c r="E28" s="821">
        <v>0</v>
      </c>
      <c r="F28" s="822">
        <v>0</v>
      </c>
      <c r="G28" s="821">
        <v>0</v>
      </c>
      <c r="H28" s="821">
        <v>0</v>
      </c>
      <c r="I28" s="821">
        <v>3.7424014271184016E-3</v>
      </c>
      <c r="J28" s="821">
        <v>5.4259756990389493E-4</v>
      </c>
      <c r="K28" s="821">
        <v>0</v>
      </c>
      <c r="L28" s="821">
        <v>2.2335768009202375</v>
      </c>
      <c r="M28" s="821">
        <v>8.7331902627783682E-5</v>
      </c>
      <c r="N28" s="821">
        <v>0</v>
      </c>
      <c r="O28" s="821">
        <v>0</v>
      </c>
      <c r="P28" s="821">
        <v>0</v>
      </c>
      <c r="Q28" s="821">
        <v>0</v>
      </c>
      <c r="R28" s="822">
        <v>2.2379491318198874</v>
      </c>
      <c r="S28" s="821">
        <v>2.9565298908275201E-3</v>
      </c>
      <c r="T28" s="821">
        <v>0</v>
      </c>
      <c r="U28" s="821">
        <v>0</v>
      </c>
      <c r="V28" s="822">
        <v>2.9565298908275201E-3</v>
      </c>
      <c r="W28" s="822">
        <v>2.2409056617107148</v>
      </c>
      <c r="X28" s="821">
        <v>0</v>
      </c>
      <c r="Y28" s="821">
        <v>1.1483593738884272</v>
      </c>
      <c r="Z28" s="821">
        <v>0.4000220579469897</v>
      </c>
      <c r="AA28" s="823">
        <v>0</v>
      </c>
      <c r="AB28" s="823">
        <v>0</v>
      </c>
      <c r="AC28" s="822">
        <v>3.789287093546132</v>
      </c>
    </row>
    <row r="29" spans="1:31">
      <c r="A29" s="3"/>
      <c r="B29" s="6" t="s">
        <v>159</v>
      </c>
      <c r="C29" s="821">
        <v>0</v>
      </c>
      <c r="D29" s="821">
        <v>0.66102303809999996</v>
      </c>
      <c r="E29" s="821">
        <v>0</v>
      </c>
      <c r="F29" s="822">
        <v>0.46018171439999994</v>
      </c>
      <c r="G29" s="821">
        <v>0</v>
      </c>
      <c r="H29" s="821">
        <v>0</v>
      </c>
      <c r="I29" s="821">
        <v>1.0766693806642857E-2</v>
      </c>
      <c r="J29" s="821">
        <v>2.8147318055924985E-3</v>
      </c>
      <c r="K29" s="821">
        <v>0</v>
      </c>
      <c r="L29" s="821">
        <v>0.42569198453456469</v>
      </c>
      <c r="M29" s="821">
        <v>4.8839130058285711E-2</v>
      </c>
      <c r="N29" s="821">
        <v>0.28891986180685714</v>
      </c>
      <c r="O29" s="821">
        <v>0</v>
      </c>
      <c r="P29" s="821">
        <v>0</v>
      </c>
      <c r="Q29" s="821">
        <v>0</v>
      </c>
      <c r="R29" s="822">
        <v>0.7770324020119429</v>
      </c>
      <c r="S29" s="821">
        <v>20.583827255938278</v>
      </c>
      <c r="T29" s="821">
        <v>0</v>
      </c>
      <c r="U29" s="821">
        <v>0</v>
      </c>
      <c r="V29" s="822">
        <v>20.583827255938278</v>
      </c>
      <c r="W29" s="822">
        <v>21.821041372350223</v>
      </c>
      <c r="X29" s="821">
        <v>0</v>
      </c>
      <c r="Y29" s="821">
        <v>0.58011336855879991</v>
      </c>
      <c r="Z29" s="821">
        <v>-6.5608273535820496</v>
      </c>
      <c r="AA29" s="823">
        <v>0</v>
      </c>
      <c r="AB29" s="823">
        <v>0</v>
      </c>
      <c r="AC29" s="822">
        <v>15.840327387326973</v>
      </c>
    </row>
    <row r="30" spans="1:31">
      <c r="A30" s="3"/>
      <c r="B30" s="6" t="s">
        <v>160</v>
      </c>
      <c r="C30" s="821">
        <v>0</v>
      </c>
      <c r="D30" s="821">
        <v>0</v>
      </c>
      <c r="E30" s="821">
        <v>0</v>
      </c>
      <c r="F30" s="822">
        <v>8.6822284420252568E-2</v>
      </c>
      <c r="G30" s="821">
        <v>0</v>
      </c>
      <c r="H30" s="821">
        <v>0</v>
      </c>
      <c r="I30" s="821">
        <v>7.5603477285879793E-3</v>
      </c>
      <c r="J30" s="821">
        <v>6.0678132031977364E-3</v>
      </c>
      <c r="K30" s="821">
        <v>0</v>
      </c>
      <c r="L30" s="821">
        <v>0.84167687811202763</v>
      </c>
      <c r="M30" s="821">
        <v>4.1102682356548318E-3</v>
      </c>
      <c r="N30" s="821">
        <v>2.5358804077578356E-2</v>
      </c>
      <c r="O30" s="821">
        <v>0</v>
      </c>
      <c r="P30" s="821">
        <v>0</v>
      </c>
      <c r="Q30" s="821">
        <v>0</v>
      </c>
      <c r="R30" s="822">
        <v>0.88477411135704664</v>
      </c>
      <c r="S30" s="821">
        <v>0.12160273864422413</v>
      </c>
      <c r="T30" s="821">
        <v>0</v>
      </c>
      <c r="U30" s="821">
        <v>0</v>
      </c>
      <c r="V30" s="822">
        <v>0.12160273864422413</v>
      </c>
      <c r="W30" s="822">
        <v>1.0931991344215235</v>
      </c>
      <c r="X30" s="821">
        <v>0</v>
      </c>
      <c r="Y30" s="821">
        <v>5.3669440000000002E-3</v>
      </c>
      <c r="Z30" s="821">
        <v>0.99782845395745234</v>
      </c>
      <c r="AA30" s="823">
        <v>0</v>
      </c>
      <c r="AB30" s="823">
        <v>0</v>
      </c>
      <c r="AC30" s="822">
        <v>2.0963945323789757</v>
      </c>
    </row>
    <row r="31" spans="1:31">
      <c r="A31" s="3"/>
      <c r="B31" s="6" t="s">
        <v>161</v>
      </c>
      <c r="C31" s="821">
        <v>0</v>
      </c>
      <c r="D31" s="821">
        <v>0</v>
      </c>
      <c r="E31" s="821">
        <v>0</v>
      </c>
      <c r="F31" s="822">
        <v>0</v>
      </c>
      <c r="G31" s="821">
        <v>0</v>
      </c>
      <c r="H31" s="821">
        <v>0</v>
      </c>
      <c r="I31" s="821">
        <v>1.868101116E-6</v>
      </c>
      <c r="J31" s="821">
        <v>7.0221574942634105E-2</v>
      </c>
      <c r="K31" s="821">
        <v>0</v>
      </c>
      <c r="L31" s="821">
        <v>7.0428082001909196E-3</v>
      </c>
      <c r="M31" s="821">
        <v>0</v>
      </c>
      <c r="N31" s="821">
        <v>0</v>
      </c>
      <c r="O31" s="821">
        <v>0</v>
      </c>
      <c r="P31" s="821">
        <v>0</v>
      </c>
      <c r="Q31" s="821">
        <v>0</v>
      </c>
      <c r="R31" s="822">
        <v>7.7266251243941028E-2</v>
      </c>
      <c r="S31" s="821">
        <v>0</v>
      </c>
      <c r="T31" s="821">
        <v>0</v>
      </c>
      <c r="U31" s="821">
        <v>0</v>
      </c>
      <c r="V31" s="822">
        <v>0</v>
      </c>
      <c r="W31" s="822">
        <v>7.7266251243941028E-2</v>
      </c>
      <c r="X31" s="821">
        <v>0</v>
      </c>
      <c r="Y31" s="821">
        <v>0</v>
      </c>
      <c r="Z31" s="821">
        <v>0</v>
      </c>
      <c r="AA31" s="823">
        <v>0</v>
      </c>
      <c r="AB31" s="823">
        <v>0</v>
      </c>
      <c r="AC31" s="822">
        <v>7.7266251243941028E-2</v>
      </c>
    </row>
    <row r="32" spans="1:31">
      <c r="A32" s="4"/>
      <c r="B32" s="126" t="s">
        <v>162</v>
      </c>
      <c r="C32" s="839">
        <v>0</v>
      </c>
      <c r="D32" s="839">
        <v>0</v>
      </c>
      <c r="E32" s="839">
        <v>0</v>
      </c>
      <c r="F32" s="838">
        <v>0</v>
      </c>
      <c r="G32" s="839">
        <v>0</v>
      </c>
      <c r="H32" s="839">
        <v>0</v>
      </c>
      <c r="I32" s="839">
        <v>0</v>
      </c>
      <c r="J32" s="839">
        <v>2.0808631663330598E-3</v>
      </c>
      <c r="K32" s="839">
        <v>0</v>
      </c>
      <c r="L32" s="839">
        <v>2.47242587574375E-3</v>
      </c>
      <c r="M32" s="839">
        <v>0</v>
      </c>
      <c r="N32" s="839">
        <v>0</v>
      </c>
      <c r="O32" s="839">
        <v>0</v>
      </c>
      <c r="P32" s="839">
        <v>0</v>
      </c>
      <c r="Q32" s="839">
        <v>0</v>
      </c>
      <c r="R32" s="838">
        <v>4.5532890420768093E-3</v>
      </c>
      <c r="S32" s="839">
        <v>0</v>
      </c>
      <c r="T32" s="839">
        <v>0</v>
      </c>
      <c r="U32" s="839">
        <v>0</v>
      </c>
      <c r="V32" s="838">
        <v>0</v>
      </c>
      <c r="W32" s="838">
        <v>4.5532890420768093E-3</v>
      </c>
      <c r="X32" s="839">
        <v>0</v>
      </c>
      <c r="Y32" s="839">
        <v>0</v>
      </c>
      <c r="Z32" s="839">
        <v>3.7828296000000008E-5</v>
      </c>
      <c r="AA32" s="840">
        <v>0</v>
      </c>
      <c r="AB32" s="840">
        <v>0</v>
      </c>
      <c r="AC32" s="838">
        <v>4.5911173380768092E-3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7" t="s">
        <v>449</v>
      </c>
      <c r="B2" s="1168"/>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517</v>
      </c>
      <c r="C17" s="160" t="s">
        <v>518</v>
      </c>
    </row>
    <row r="18" spans="1:3" s="11" customFormat="1">
      <c r="A18" s="131"/>
      <c r="B18" s="132"/>
      <c r="C18" s="133"/>
    </row>
    <row r="19" spans="1:3" s="11" customFormat="1" ht="60">
      <c r="A19" s="113" t="s">
        <v>376</v>
      </c>
      <c r="B19" s="304" t="s">
        <v>515</v>
      </c>
      <c r="C19" s="160" t="s">
        <v>516</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9" t="s">
        <v>187</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1924.3320000000001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1924.3320000000001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0.19830605672602145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381.6066907516983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C16"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9" t="s">
        <v>148</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29755.1684352509</v>
      </c>
      <c r="C5" s="17">
        <f>IF(ISERROR('Eigen informatie GS &amp; warmtenet'!B59),0,'Eigen informatie GS &amp; warmtenet'!B59)</f>
        <v>0</v>
      </c>
      <c r="D5" s="30">
        <f>(SUM(HH_hh_gas_kWh,HH_rest_gas_kWh)/1000)*0.903</f>
        <v>82528.443678293945</v>
      </c>
      <c r="E5" s="17">
        <f>B32*B41</f>
        <v>1801.3421327608978</v>
      </c>
      <c r="F5" s="17">
        <f>B36*B45</f>
        <v>32631.555650371851</v>
      </c>
      <c r="G5" s="18"/>
      <c r="H5" s="17"/>
      <c r="I5" s="17"/>
      <c r="J5" s="17">
        <f>B35*B44+C35*C44</f>
        <v>206.41087159254684</v>
      </c>
      <c r="K5" s="17"/>
      <c r="L5" s="17"/>
      <c r="M5" s="17"/>
      <c r="N5" s="17">
        <f>B34*B43+C34*C43</f>
        <v>9845.6327685135875</v>
      </c>
      <c r="O5" s="17">
        <f>B52*B53*B54</f>
        <v>361.08039592843977</v>
      </c>
      <c r="P5" s="17">
        <f>B60*B61*B62/1000-B60*B61*B62/1000/B63</f>
        <v>1506.3561809989585</v>
      </c>
    </row>
    <row r="6" spans="1:16">
      <c r="A6" s="16" t="s">
        <v>572</v>
      </c>
      <c r="B6" s="740">
        <f>kWh_PV_kleiner_dan_10kW</f>
        <v>4895.957871456565</v>
      </c>
      <c r="C6" s="741"/>
      <c r="D6" s="741"/>
      <c r="E6" s="742"/>
      <c r="F6" s="742"/>
      <c r="G6" s="742"/>
      <c r="H6" s="742"/>
      <c r="I6" s="742"/>
      <c r="J6" s="742"/>
      <c r="K6" s="742"/>
      <c r="L6" s="742"/>
      <c r="M6" s="742"/>
      <c r="N6" s="742"/>
      <c r="O6" s="742"/>
      <c r="P6" s="742"/>
    </row>
    <row r="7" spans="1:16">
      <c r="B7" s="19"/>
      <c r="C7" s="19"/>
      <c r="D7" s="19"/>
      <c r="E7" s="19"/>
      <c r="F7" s="19"/>
      <c r="G7" s="19"/>
      <c r="H7" s="19"/>
      <c r="I7" s="19"/>
      <c r="J7" s="19"/>
      <c r="K7" s="19"/>
      <c r="L7" s="19"/>
      <c r="M7" s="19"/>
      <c r="N7" s="19"/>
      <c r="O7" s="19"/>
      <c r="P7" s="19"/>
    </row>
    <row r="8" spans="1:16" s="8" customFormat="1">
      <c r="A8" s="20" t="s">
        <v>205</v>
      </c>
      <c r="B8" s="21">
        <f>B5+B6</f>
        <v>34651.126306707461</v>
      </c>
      <c r="C8" s="21">
        <f>C5</f>
        <v>0</v>
      </c>
      <c r="D8" s="21">
        <f>D5</f>
        <v>82528.443678293945</v>
      </c>
      <c r="E8" s="21">
        <f>E5</f>
        <v>1801.3421327608978</v>
      </c>
      <c r="F8" s="21">
        <f>F5</f>
        <v>32631.555650371851</v>
      </c>
      <c r="G8" s="21"/>
      <c r="H8" s="21"/>
      <c r="I8" s="21"/>
      <c r="J8" s="21">
        <f>J5</f>
        <v>206.41087159254684</v>
      </c>
      <c r="K8" s="21"/>
      <c r="L8" s="21">
        <f>L5</f>
        <v>0</v>
      </c>
      <c r="M8" s="21">
        <f>M5</f>
        <v>0</v>
      </c>
      <c r="N8" s="21">
        <f>N5</f>
        <v>9845.6327685135875</v>
      </c>
      <c r="O8" s="21">
        <f>O5</f>
        <v>361.08039592843977</v>
      </c>
      <c r="P8" s="21">
        <f>P5</f>
        <v>1506.3561809989585</v>
      </c>
    </row>
    <row r="9" spans="1:16">
      <c r="B9" s="19"/>
      <c r="C9" s="19"/>
      <c r="D9" s="253"/>
      <c r="E9" s="19"/>
      <c r="F9" s="19"/>
      <c r="G9" s="19"/>
      <c r="H9" s="19"/>
      <c r="I9" s="19"/>
      <c r="J9" s="19"/>
      <c r="K9" s="19"/>
      <c r="L9" s="19"/>
      <c r="M9" s="19"/>
      <c r="N9" s="19"/>
      <c r="O9" s="19"/>
      <c r="P9" s="19"/>
    </row>
    <row r="10" spans="1:16">
      <c r="A10" s="24" t="s">
        <v>207</v>
      </c>
      <c r="B10" s="25">
        <f ca="1">'EF ele_warmte'!B12</f>
        <v>0.19830605672602145</v>
      </c>
      <c r="C10" s="25">
        <f ca="1">'EF ele_warmte'!B22</f>
        <v>0.22444444444444442</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6871.5282189984637</v>
      </c>
      <c r="C12" s="23">
        <f ca="1">C10*C8</f>
        <v>0</v>
      </c>
      <c r="D12" s="23">
        <f>D8*D10</f>
        <v>16670.745623015377</v>
      </c>
      <c r="E12" s="23">
        <f>E10*E8</f>
        <v>408.9046641367238</v>
      </c>
      <c r="F12" s="23">
        <f>F10*F8</f>
        <v>8712.625358649284</v>
      </c>
      <c r="G12" s="23"/>
      <c r="H12" s="23"/>
      <c r="I12" s="23"/>
      <c r="J12" s="23">
        <f>J10*J8</f>
        <v>73.069448543761581</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827</v>
      </c>
      <c r="B17" s="198" t="s">
        <v>828</v>
      </c>
      <c r="C17" s="198" t="s">
        <v>821</v>
      </c>
      <c r="D17" s="223" t="s">
        <v>175</v>
      </c>
      <c r="E17" s="15"/>
    </row>
    <row r="18" spans="1:5">
      <c r="A18" s="167" t="s">
        <v>77</v>
      </c>
      <c r="B18" s="1023">
        <v>0.60555077597326812</v>
      </c>
      <c r="C18" s="1023"/>
      <c r="D18" s="294" t="s">
        <v>835</v>
      </c>
      <c r="E18" s="15"/>
    </row>
    <row r="19" spans="1:5">
      <c r="A19" s="167" t="s">
        <v>814</v>
      </c>
      <c r="B19" s="1023">
        <v>6.9215258672714669E-3</v>
      </c>
      <c r="C19" s="1023"/>
      <c r="D19" s="225"/>
      <c r="E19" s="15"/>
    </row>
    <row r="20" spans="1:5">
      <c r="A20" s="167" t="s">
        <v>815</v>
      </c>
      <c r="B20" s="1023"/>
      <c r="C20" s="1023"/>
      <c r="D20" s="225"/>
      <c r="E20" s="15"/>
    </row>
    <row r="21" spans="1:5">
      <c r="A21" s="167" t="s">
        <v>816</v>
      </c>
      <c r="B21" s="1023">
        <v>1.5922622102235086E-2</v>
      </c>
      <c r="C21" s="1023"/>
      <c r="D21" s="225"/>
      <c r="E21" s="15"/>
    </row>
    <row r="22" spans="1:5">
      <c r="A22" s="167" t="s">
        <v>817</v>
      </c>
      <c r="B22" s="1023">
        <v>0.25855184784109864</v>
      </c>
      <c r="C22" s="1023"/>
      <c r="D22" s="225"/>
      <c r="E22" s="15"/>
    </row>
    <row r="23" spans="1:5">
      <c r="A23" s="167" t="s">
        <v>78</v>
      </c>
      <c r="B23" s="1023"/>
      <c r="C23" s="1023"/>
      <c r="D23" s="224"/>
      <c r="E23" s="52"/>
    </row>
    <row r="24" spans="1:5">
      <c r="A24" s="167" t="s">
        <v>818</v>
      </c>
      <c r="B24" s="1023">
        <v>0.11305322821612646</v>
      </c>
      <c r="C24" s="1023">
        <v>0.16799982543644409</v>
      </c>
      <c r="D24" s="224"/>
      <c r="E24" s="15"/>
    </row>
    <row r="25" spans="1:5" s="15" customFormat="1">
      <c r="A25" s="167"/>
      <c r="B25" s="29"/>
      <c r="C25" s="29"/>
      <c r="D25" s="224"/>
    </row>
    <row r="26" spans="1:5" s="15" customFormat="1">
      <c r="A26" s="226" t="s">
        <v>825</v>
      </c>
      <c r="B26" s="37">
        <f>aantalHuishoudens</f>
        <v>7828</v>
      </c>
      <c r="C26" s="36"/>
      <c r="D26" s="224"/>
    </row>
    <row r="27" spans="1:5" s="15" customFormat="1">
      <c r="A27" s="226" t="s">
        <v>826</v>
      </c>
      <c r="B27" s="37">
        <f>SUM(HH_hh_gas_aantal,HH_rest_gas_aantal)</f>
        <v>5356</v>
      </c>
      <c r="C27" s="36"/>
      <c r="D27" s="224"/>
    </row>
    <row r="28" spans="1:5" s="15" customFormat="1">
      <c r="A28" s="227"/>
      <c r="B28" s="29"/>
      <c r="C28" s="36"/>
      <c r="D28" s="228"/>
    </row>
    <row r="29" spans="1:5">
      <c r="A29" s="3"/>
      <c r="B29" s="43"/>
      <c r="C29" s="43"/>
      <c r="D29" s="170"/>
    </row>
    <row r="30" spans="1:5">
      <c r="A30" s="168" t="s">
        <v>457</v>
      </c>
      <c r="B30" s="165" t="s">
        <v>820</v>
      </c>
      <c r="C30" s="165" t="s">
        <v>822</v>
      </c>
      <c r="D30" s="170"/>
    </row>
    <row r="31" spans="1:5">
      <c r="A31" s="167" t="s">
        <v>819</v>
      </c>
      <c r="B31" s="33">
        <f>B27-(0.05*B27)</f>
        <v>5088.2</v>
      </c>
      <c r="C31" s="34" t="s">
        <v>104</v>
      </c>
      <c r="D31" s="170"/>
    </row>
    <row r="32" spans="1:5">
      <c r="A32" s="167" t="s">
        <v>72</v>
      </c>
      <c r="B32" s="33">
        <f>IF((B21*($B$26-($B$27-0.05*$B$27)-$B$60))&lt;0,0,(B21*($B$26-($B$27-0.05*$B$27)-$B$60)))</f>
        <v>41.347865075084073</v>
      </c>
      <c r="C32" s="34" t="s">
        <v>104</v>
      </c>
      <c r="D32" s="170"/>
    </row>
    <row r="33" spans="1:6">
      <c r="A33" s="167" t="s">
        <v>73</v>
      </c>
      <c r="B33" s="33">
        <f>IF((B22*($B$26-($B$27-0.05*$B$27)-$B$60))&lt;0,0,B22*($B$26-($B$27-0.05*$B$27)-$B$60))</f>
        <v>671.40743847376496</v>
      </c>
      <c r="C33" s="34" t="s">
        <v>104</v>
      </c>
      <c r="D33" s="170"/>
    </row>
    <row r="34" spans="1:6">
      <c r="A34" s="167" t="s">
        <v>74</v>
      </c>
      <c r="B34" s="33">
        <f>IF((B24*($B$26-($B$27-0.05*$B$27)-$B$60))&lt;0,0,B24*($B$26-($B$27-0.05*$B$27)-$B$60))</f>
        <v>293.57662303163721</v>
      </c>
      <c r="C34" s="33">
        <f>B26*C24</f>
        <v>1315.1026335164843</v>
      </c>
      <c r="D34" s="229"/>
    </row>
    <row r="35" spans="1:6">
      <c r="A35" s="167" t="s">
        <v>76</v>
      </c>
      <c r="B35" s="33">
        <f>IF((B19*($B$26-($B$27-0.05*$B$27)-$B$60))&lt;0,0,B19*($B$26-($B$27-0.05*$B$27)-$B$60))</f>
        <v>17.973818372130545</v>
      </c>
      <c r="C35" s="33">
        <f>B35/2</f>
        <v>8.9869091860652723</v>
      </c>
      <c r="D35" s="229"/>
    </row>
    <row r="36" spans="1:6">
      <c r="A36" s="167" t="s">
        <v>77</v>
      </c>
      <c r="B36" s="33">
        <f>IF((B18*($B$26-($B$27-0.05*$B$27)-$B$60))&lt;0,0,B18*($B$26-($B$27-0.05*$B$27)-$B$60))</f>
        <v>1572.4942550473827</v>
      </c>
      <c r="C36" s="34" t="s">
        <v>104</v>
      </c>
      <c r="D36" s="170"/>
    </row>
    <row r="37" spans="1:6">
      <c r="A37" s="167" t="s">
        <v>78</v>
      </c>
      <c r="B37" s="33">
        <f>B60</f>
        <v>143</v>
      </c>
      <c r="C37" s="34" t="s">
        <v>104</v>
      </c>
      <c r="D37" s="170"/>
    </row>
    <row r="38" spans="1:6">
      <c r="A38" s="3"/>
      <c r="B38" s="43"/>
      <c r="C38" s="43"/>
      <c r="D38" s="170"/>
    </row>
    <row r="39" spans="1:6">
      <c r="A39" s="168" t="s">
        <v>460</v>
      </c>
      <c r="B39" s="164" t="s">
        <v>823</v>
      </c>
      <c r="C39" s="164" t="s">
        <v>824</v>
      </c>
      <c r="D39" s="294" t="s">
        <v>835</v>
      </c>
      <c r="E39" s="161"/>
      <c r="F39" s="161"/>
    </row>
    <row r="40" spans="1:6">
      <c r="A40" s="167" t="s">
        <v>70</v>
      </c>
      <c r="B40" s="162">
        <v>13.40777471024605</v>
      </c>
      <c r="C40" s="166" t="s">
        <v>104</v>
      </c>
      <c r="D40" s="169"/>
      <c r="E40" s="162"/>
      <c r="F40" s="162"/>
    </row>
    <row r="41" spans="1:6">
      <c r="A41" s="167" t="s">
        <v>72</v>
      </c>
      <c r="B41" s="162">
        <v>43.565541521667917</v>
      </c>
      <c r="C41" s="166" t="s">
        <v>104</v>
      </c>
      <c r="D41" s="169"/>
      <c r="E41" s="162"/>
      <c r="F41" s="162"/>
    </row>
    <row r="42" spans="1:6">
      <c r="A42" s="167" t="s">
        <v>73</v>
      </c>
      <c r="B42" s="162">
        <v>8.1722040155894273</v>
      </c>
      <c r="C42" s="166" t="s">
        <v>104</v>
      </c>
      <c r="D42" s="169"/>
      <c r="E42" s="162"/>
      <c r="F42" s="162"/>
    </row>
    <row r="43" spans="1:6">
      <c r="A43" s="167" t="s">
        <v>74</v>
      </c>
      <c r="B43" s="166">
        <v>9.2556059476698174</v>
      </c>
      <c r="C43" s="166">
        <v>5.4204159041369566</v>
      </c>
      <c r="D43" s="169"/>
      <c r="E43" s="162"/>
      <c r="F43" s="162"/>
    </row>
    <row r="44" spans="1:6">
      <c r="A44" s="167" t="s">
        <v>76</v>
      </c>
      <c r="B44" s="162">
        <v>10.807956187942359</v>
      </c>
      <c r="C44" s="166">
        <v>1.3520365951140045</v>
      </c>
      <c r="D44" s="169"/>
      <c r="E44" s="162"/>
      <c r="F44" s="162"/>
    </row>
    <row r="45" spans="1:6">
      <c r="A45" s="167" t="s">
        <v>77</v>
      </c>
      <c r="B45" s="166">
        <v>20.751462554239087</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182</v>
      </c>
      <c r="C52" s="43"/>
      <c r="D52" s="169"/>
    </row>
    <row r="53" spans="1:4">
      <c r="A53" s="167" t="s">
        <v>455</v>
      </c>
      <c r="B53" s="307">
        <v>5.3300370073084435</v>
      </c>
      <c r="C53" s="43"/>
      <c r="D53" s="301" t="s">
        <v>738</v>
      </c>
    </row>
    <row r="54" spans="1:4">
      <c r="A54" s="240" t="s">
        <v>456</v>
      </c>
      <c r="B54" s="312">
        <f>1.34/3.6</f>
        <v>0.37222222222222223</v>
      </c>
      <c r="C54" s="43" t="s">
        <v>208</v>
      </c>
      <c r="D54" s="301" t="s">
        <v>739</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143</v>
      </c>
      <c r="C60" s="32"/>
      <c r="D60" s="173"/>
    </row>
    <row r="61" spans="1:4">
      <c r="A61" s="167" t="s">
        <v>425</v>
      </c>
      <c r="B61" s="307">
        <v>8.5956185892968069</v>
      </c>
      <c r="C61" s="32" t="s">
        <v>252</v>
      </c>
      <c r="D61" s="301" t="s">
        <v>738</v>
      </c>
    </row>
    <row r="62" spans="1:4">
      <c r="A62" s="167" t="s">
        <v>426</v>
      </c>
      <c r="B62" s="307">
        <v>1671.14092090028</v>
      </c>
      <c r="C62" s="32" t="s">
        <v>254</v>
      </c>
      <c r="D62" s="301" t="s">
        <v>738</v>
      </c>
    </row>
    <row r="63" spans="1:4">
      <c r="A63" s="167" t="s">
        <v>388</v>
      </c>
      <c r="B63" s="307">
        <v>3.75</v>
      </c>
      <c r="C63" s="43"/>
      <c r="D63" s="301" t="s">
        <v>739</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149</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15365.964238602008</v>
      </c>
      <c r="C5" s="17">
        <f>IF(ISERROR('Eigen informatie GS &amp; warmtenet'!B60),0,'Eigen informatie GS &amp; warmtenet'!B60)</f>
        <v>0</v>
      </c>
      <c r="D5" s="30">
        <f>SUM(D6:D12)</f>
        <v>29275.473114496814</v>
      </c>
      <c r="E5" s="17">
        <f>SUM(E6:E12)</f>
        <v>88.584052570177164</v>
      </c>
      <c r="F5" s="17">
        <f>SUM(F6:F12)</f>
        <v>4643.3682471973389</v>
      </c>
      <c r="G5" s="18"/>
      <c r="H5" s="17"/>
      <c r="I5" s="17"/>
      <c r="J5" s="17">
        <f>SUM(J6:J12)</f>
        <v>3.9160466258302551E-2</v>
      </c>
      <c r="K5" s="17"/>
      <c r="L5" s="17"/>
      <c r="M5" s="17"/>
      <c r="N5" s="17">
        <f>SUM(N6:N12)</f>
        <v>1507.1798259193745</v>
      </c>
      <c r="O5" s="17">
        <f>B38*B39*B40</f>
        <v>0</v>
      </c>
      <c r="P5" s="17">
        <f>B46*B47*B48/1000-B46*B47*B48/1000/B49</f>
        <v>52.539138306495019</v>
      </c>
      <c r="R5" s="32"/>
    </row>
    <row r="6" spans="1:18">
      <c r="A6" s="32" t="s">
        <v>53</v>
      </c>
      <c r="B6" s="37">
        <f>B26</f>
        <v>4098.1067612677498</v>
      </c>
      <c r="C6" s="33"/>
      <c r="D6" s="37">
        <f>IF(ISERROR(TER_kantoor_gas_kWh/1000),0,TER_kantoor_gas_kWh/1000)*0.903</f>
        <v>4989.8543548368543</v>
      </c>
      <c r="E6" s="33">
        <f>$C$26*'E Balans VL '!I12/100/3.6*1000000</f>
        <v>0.9763922774992011</v>
      </c>
      <c r="F6" s="33">
        <f>$C$26*('E Balans VL '!L12+'E Balans VL '!N12)/100/3.6*1000000</f>
        <v>400.16856812119823</v>
      </c>
      <c r="G6" s="34"/>
      <c r="H6" s="33"/>
      <c r="I6" s="33"/>
      <c r="J6" s="33">
        <f>$C$26*('E Balans VL '!D12+'E Balans VL '!E12)/100/3.6*1000000</f>
        <v>0</v>
      </c>
      <c r="K6" s="33"/>
      <c r="L6" s="33"/>
      <c r="M6" s="33"/>
      <c r="N6" s="33">
        <f>$C$26*'E Balans VL '!Y12/100/3.6*1000000</f>
        <v>5.4796337216925259</v>
      </c>
      <c r="O6" s="33"/>
      <c r="P6" s="33"/>
      <c r="R6" s="32"/>
    </row>
    <row r="7" spans="1:18">
      <c r="A7" s="32" t="s">
        <v>52</v>
      </c>
      <c r="B7" s="37">
        <f t="shared" ref="B7:B12" si="0">B27</f>
        <v>1434.8859488911301</v>
      </c>
      <c r="C7" s="33"/>
      <c r="D7" s="37">
        <f>IF(ISERROR(TER_horeca_gas_kWh/1000),0,TER_horeca_gas_kWh/1000)*0.903</f>
        <v>2584.1899839261987</v>
      </c>
      <c r="E7" s="33">
        <f>$C$27*'E Balans VL '!I9/100/3.6*1000000</f>
        <v>0</v>
      </c>
      <c r="F7" s="33">
        <f>$C$27*('E Balans VL '!L9+'E Balans VL '!N9)/100/3.6*1000000</f>
        <v>116.91723710835764</v>
      </c>
      <c r="G7" s="34"/>
      <c r="H7" s="33"/>
      <c r="I7" s="33"/>
      <c r="J7" s="33">
        <f>$C$27*('E Balans VL '!D9+'E Balans VL '!E9)/100/3.6*1000000</f>
        <v>0</v>
      </c>
      <c r="K7" s="33"/>
      <c r="L7" s="33"/>
      <c r="M7" s="33"/>
      <c r="N7" s="33">
        <f>$C$27*'E Balans VL '!Y9/100/3.6*1000000</f>
        <v>10.341836362086152</v>
      </c>
      <c r="O7" s="33"/>
      <c r="P7" s="33"/>
      <c r="R7" s="32"/>
    </row>
    <row r="8" spans="1:18">
      <c r="A8" s="6" t="s">
        <v>51</v>
      </c>
      <c r="B8" s="37">
        <f t="shared" si="0"/>
        <v>4680.1303014547602</v>
      </c>
      <c r="C8" s="33"/>
      <c r="D8" s="37">
        <f>IF(ISERROR(TER_handel_gas_kWh/1000),0,TER_handel_gas_kWh/1000)*0.903</f>
        <v>2678.4528038868834</v>
      </c>
      <c r="E8" s="33">
        <f>$C$28*'E Balans VL '!I13/100/3.6*1000000</f>
        <v>37.411157901150332</v>
      </c>
      <c r="F8" s="33">
        <f>$C$28*('E Balans VL '!L13+'E Balans VL '!N13)/100/3.6*1000000</f>
        <v>464.94185206212819</v>
      </c>
      <c r="G8" s="34"/>
      <c r="H8" s="33"/>
      <c r="I8" s="33"/>
      <c r="J8" s="33">
        <f>$C$28*('E Balans VL '!D13+'E Balans VL '!E13)/100/3.6*1000000</f>
        <v>0</v>
      </c>
      <c r="K8" s="33"/>
      <c r="L8" s="33"/>
      <c r="M8" s="33"/>
      <c r="N8" s="33">
        <f>$C$28*'E Balans VL '!Y13/100/3.6*1000000</f>
        <v>1.7483072474921475</v>
      </c>
      <c r="O8" s="33"/>
      <c r="P8" s="33"/>
      <c r="R8" s="32"/>
    </row>
    <row r="9" spans="1:18">
      <c r="A9" s="32" t="s">
        <v>50</v>
      </c>
      <c r="B9" s="37">
        <f t="shared" si="0"/>
        <v>1156.6290112701502</v>
      </c>
      <c r="C9" s="33"/>
      <c r="D9" s="37">
        <f>IF(ISERROR(TER_gezond_gas_kWh/1000),0,TER_gezond_gas_kWh/1000)*0.903</f>
        <v>2199.1804545377854</v>
      </c>
      <c r="E9" s="33">
        <f>$C$29*'E Balans VL '!I10/100/3.6*1000000</f>
        <v>0</v>
      </c>
      <c r="F9" s="33">
        <f>$C$29*('E Balans VL '!L10+'E Balans VL '!N10)/100/3.6*1000000</f>
        <v>105.44558245278267</v>
      </c>
      <c r="G9" s="34"/>
      <c r="H9" s="33"/>
      <c r="I9" s="33"/>
      <c r="J9" s="33">
        <f>$C$29*('E Balans VL '!D10+'E Balans VL '!E10)/100/3.6*1000000</f>
        <v>0</v>
      </c>
      <c r="K9" s="33"/>
      <c r="L9" s="33"/>
      <c r="M9" s="33"/>
      <c r="N9" s="33">
        <f>$C$29*'E Balans VL '!Y10/100/3.6*1000000</f>
        <v>8.4539215476794691</v>
      </c>
      <c r="O9" s="33"/>
      <c r="P9" s="33"/>
      <c r="R9" s="32"/>
    </row>
    <row r="10" spans="1:18">
      <c r="A10" s="32" t="s">
        <v>49</v>
      </c>
      <c r="B10" s="37">
        <f t="shared" si="0"/>
        <v>3871.8409972494196</v>
      </c>
      <c r="C10" s="33"/>
      <c r="D10" s="37">
        <f>IF(ISERROR(TER_ander_gas_kWh/1000),0,TER_ander_gas_kWh/1000)*0.903</f>
        <v>16356.08312142557</v>
      </c>
      <c r="E10" s="33">
        <f>$C$30*'E Balans VL '!I14/100/3.6*1000000</f>
        <v>50.196502391527623</v>
      </c>
      <c r="F10" s="33">
        <f>$C$30*('E Balans VL '!L14+'E Balans VL '!N14)/100/3.6*1000000</f>
        <v>3551.0218112754965</v>
      </c>
      <c r="G10" s="34"/>
      <c r="H10" s="33"/>
      <c r="I10" s="33"/>
      <c r="J10" s="33">
        <f>$C$30*('E Balans VL '!D14+'E Balans VL '!E14)/100/3.6*1000000</f>
        <v>3.9160466258302551E-2</v>
      </c>
      <c r="K10" s="33"/>
      <c r="L10" s="33"/>
      <c r="M10" s="33"/>
      <c r="N10" s="33">
        <f>$C$30*'E Balans VL '!Y14/100/3.6*1000000</f>
        <v>1480.7644513447176</v>
      </c>
      <c r="O10" s="33"/>
      <c r="P10" s="33"/>
      <c r="R10" s="32"/>
    </row>
    <row r="11" spans="1:18">
      <c r="A11" s="32" t="s">
        <v>54</v>
      </c>
      <c r="B11" s="37">
        <f t="shared" si="0"/>
        <v>124.371218468799</v>
      </c>
      <c r="C11" s="33"/>
      <c r="D11" s="37">
        <f>IF(ISERROR(TER_onderwijs_gas_kWh/1000),0,TER_onderwijs_gas_kWh/1000)*0.903</f>
        <v>467.7123958835212</v>
      </c>
      <c r="E11" s="33">
        <f>$C$31*'E Balans VL '!I11/100/3.6*1000000</f>
        <v>0</v>
      </c>
      <c r="F11" s="33">
        <f>$C$31*('E Balans VL '!L11+'E Balans VL '!N11)/100/3.6*1000000</f>
        <v>4.8731961773753465</v>
      </c>
      <c r="G11" s="34"/>
      <c r="H11" s="33"/>
      <c r="I11" s="33"/>
      <c r="J11" s="33">
        <f>$C$31*('E Balans VL '!D11+'E Balans VL '!E11)/100/3.6*1000000</f>
        <v>0</v>
      </c>
      <c r="K11" s="33"/>
      <c r="L11" s="33"/>
      <c r="M11" s="33"/>
      <c r="N11" s="33">
        <f>$C$31*'E Balans VL '!Y11/100/3.6*1000000</f>
        <v>0.3916756957067174</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15365.964238602008</v>
      </c>
      <c r="C16" s="21">
        <f t="shared" ca="1" si="1"/>
        <v>0</v>
      </c>
      <c r="D16" s="21">
        <f t="shared" ca="1" si="1"/>
        <v>29275.473114496814</v>
      </c>
      <c r="E16" s="21">
        <f t="shared" si="1"/>
        <v>88.584052570177164</v>
      </c>
      <c r="F16" s="21">
        <f t="shared" ca="1" si="1"/>
        <v>4643.3682471973389</v>
      </c>
      <c r="G16" s="21">
        <f t="shared" si="1"/>
        <v>0</v>
      </c>
      <c r="H16" s="21">
        <f t="shared" si="1"/>
        <v>0</v>
      </c>
      <c r="I16" s="21">
        <f t="shared" si="1"/>
        <v>0</v>
      </c>
      <c r="J16" s="21">
        <f t="shared" si="1"/>
        <v>3.9160466258302551E-2</v>
      </c>
      <c r="K16" s="21">
        <f t="shared" si="1"/>
        <v>0</v>
      </c>
      <c r="L16" s="21">
        <f t="shared" ca="1" si="1"/>
        <v>0</v>
      </c>
      <c r="M16" s="21">
        <f t="shared" si="1"/>
        <v>0</v>
      </c>
      <c r="N16" s="21">
        <f t="shared" ca="1" si="1"/>
        <v>1507.1798259193745</v>
      </c>
      <c r="O16" s="21">
        <f>O5</f>
        <v>0</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0.19830605672602145</v>
      </c>
      <c r="C18" s="25">
        <f ca="1">'EF ele_warmte'!B22</f>
        <v>0.22444444444444442</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3047.1637759502269</v>
      </c>
      <c r="C20" s="23">
        <f t="shared" ref="C20:P20" ca="1" si="2">C16*C18</f>
        <v>0</v>
      </c>
      <c r="D20" s="23">
        <f t="shared" ca="1" si="2"/>
        <v>5913.6455691283563</v>
      </c>
      <c r="E20" s="23">
        <f t="shared" si="2"/>
        <v>20.108579933430217</v>
      </c>
      <c r="F20" s="23">
        <f t="shared" ca="1" si="2"/>
        <v>1239.7793220016895</v>
      </c>
      <c r="G20" s="23">
        <f t="shared" si="2"/>
        <v>0</v>
      </c>
      <c r="H20" s="23">
        <f t="shared" si="2"/>
        <v>0</v>
      </c>
      <c r="I20" s="23">
        <f t="shared" si="2"/>
        <v>0</v>
      </c>
      <c r="J20" s="23">
        <f t="shared" si="2"/>
        <v>1.3862805055439102E-2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4098.1067612677498</v>
      </c>
      <c r="C26" s="39">
        <f>IF(ISERROR(B26*3.6/1000000/'E Balans VL '!Z12*100),0,B26*3.6/1000000/'E Balans VL '!Z12*100)</f>
        <v>0.11761595310033233</v>
      </c>
      <c r="D26" s="232" t="s">
        <v>802</v>
      </c>
      <c r="F26" s="6"/>
    </row>
    <row r="27" spans="1:18" ht="30">
      <c r="A27" s="227" t="s">
        <v>52</v>
      </c>
      <c r="B27" s="33">
        <f>IF(ISERROR(TER_horeca_ele_kWh/1000),0,TER_horeca_ele_kWh/1000)</f>
        <v>1434.8859488911301</v>
      </c>
      <c r="C27" s="39">
        <f>IF(ISERROR(B27*3.6/1000000/'E Balans VL '!Z9*100),0,B27*3.6/1000000/'E Balans VL '!Z9*100)</f>
        <v>0.10512025261641469</v>
      </c>
      <c r="D27" s="232" t="s">
        <v>802</v>
      </c>
      <c r="F27" s="6"/>
    </row>
    <row r="28" spans="1:18" ht="30">
      <c r="A28" s="167" t="s">
        <v>51</v>
      </c>
      <c r="B28" s="33">
        <f>IF(ISERROR(TER_handel_ele_kWh/1000),0,TER_handel_ele_kWh/1000)</f>
        <v>4680.1303014547602</v>
      </c>
      <c r="C28" s="39">
        <f>IF(ISERROR(B28*3.6/1000000/'E Balans VL '!Z13*100),0,B28*3.6/1000000/'E Balans VL '!Z13*100)</f>
        <v>0.14461997377711078</v>
      </c>
      <c r="D28" s="232" t="s">
        <v>802</v>
      </c>
      <c r="F28" s="6"/>
    </row>
    <row r="29" spans="1:18" ht="30">
      <c r="A29" s="227" t="s">
        <v>50</v>
      </c>
      <c r="B29" s="33">
        <f>IF(ISERROR(TER_gezond_ele_kWh/1000),0,TER_gezond_ele_kWh/1000)</f>
        <v>1156.6290112701502</v>
      </c>
      <c r="C29" s="39">
        <f>IF(ISERROR(B29*3.6/1000000/'E Balans VL '!Z10*100),0,B29*3.6/1000000/'E Balans VL '!Z10*100)</f>
        <v>0.11335675516421528</v>
      </c>
      <c r="D29" s="232" t="s">
        <v>802</v>
      </c>
      <c r="F29" s="6"/>
    </row>
    <row r="30" spans="1:18" ht="30">
      <c r="A30" s="227" t="s">
        <v>49</v>
      </c>
      <c r="B30" s="33">
        <f>IF(ISERROR(TER_ander_ele_kWh/1000),0,TER_ander_ele_kWh/1000)</f>
        <v>3871.8409972494196</v>
      </c>
      <c r="C30" s="39">
        <f>IF(ISERROR(B30*3.6/1000000/'E Balans VL '!Z14*100),0,B30*3.6/1000000/'E Balans VL '!Z14*100)</f>
        <v>0.16038416215004456</v>
      </c>
      <c r="D30" s="232" t="s">
        <v>802</v>
      </c>
      <c r="F30" s="6"/>
    </row>
    <row r="31" spans="1:18" ht="30">
      <c r="A31" s="227" t="s">
        <v>54</v>
      </c>
      <c r="B31" s="33">
        <f>IF(ISERROR(TER_onderwijs_ele_kWh/1000),0,TER_onderwijs_ele_kWh/1000)</f>
        <v>124.371218468799</v>
      </c>
      <c r="C31" s="39">
        <f>IF(ISERROR(B31*3.6/1000000/'E Balans VL '!Z11*100),0,B31*3.6/1000000/'E Balans VL '!Z11*100)</f>
        <v>3.8215494224557271E-2</v>
      </c>
      <c r="D31" s="232" t="s">
        <v>802</v>
      </c>
    </row>
    <row r="32" spans="1:18" ht="30">
      <c r="A32" s="227" t="s">
        <v>249</v>
      </c>
      <c r="B32" s="33">
        <f>IF(ISERROR(TER_rest_ele_kWh/1000),0,TER_rest_ele_kWh/1000)</f>
        <v>0</v>
      </c>
      <c r="C32" s="39">
        <f>IF(ISERROR(B32*3.6/1000000/'E Balans VL '!Z8*100),0,B32*3.6/1000000/'E Balans VL '!Z8*100)</f>
        <v>0</v>
      </c>
      <c r="D32" s="232" t="s">
        <v>802</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0</v>
      </c>
      <c r="C38" s="43"/>
      <c r="D38" s="228"/>
    </row>
    <row r="39" spans="1:4">
      <c r="A39" s="167" t="s">
        <v>455</v>
      </c>
      <c r="B39" s="307">
        <v>13.15681996793146</v>
      </c>
      <c r="C39" s="43"/>
      <c r="D39" s="301" t="s">
        <v>738</v>
      </c>
    </row>
    <row r="40" spans="1:4">
      <c r="A40" s="6" t="s">
        <v>456</v>
      </c>
      <c r="B40" s="312">
        <f>1.34/3.6</f>
        <v>0.37222222222222223</v>
      </c>
      <c r="C40" s="43" t="s">
        <v>208</v>
      </c>
      <c r="D40" s="301" t="s">
        <v>739</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5">
        <f>aantalWP_NB_ander+antalWP_NB_ander_met_kantoor+aantalWP_NB_kantoor+aantalWP_NB_school+WP_NHH_bestaande_bouw+aantalWP_NB_NIET_RESIDENTIEEL_EPN</f>
        <v>1</v>
      </c>
      <c r="C46" s="32"/>
      <c r="D46" s="228"/>
    </row>
    <row r="47" spans="1:4">
      <c r="A47" s="167" t="s">
        <v>425</v>
      </c>
      <c r="B47" s="526">
        <v>37.963784638354454</v>
      </c>
      <c r="C47" s="32" t="s">
        <v>252</v>
      </c>
      <c r="D47" s="301" t="s">
        <v>738</v>
      </c>
    </row>
    <row r="48" spans="1:4">
      <c r="A48" s="167" t="s">
        <v>426</v>
      </c>
      <c r="B48" s="526">
        <v>1887.1743212997605</v>
      </c>
      <c r="C48" s="32" t="s">
        <v>254</v>
      </c>
      <c r="D48" s="301" t="s">
        <v>738</v>
      </c>
    </row>
    <row r="49" spans="1:4">
      <c r="A49" s="167" t="s">
        <v>388</v>
      </c>
      <c r="B49" s="526">
        <v>3.75</v>
      </c>
      <c r="C49" s="32"/>
      <c r="D49" s="301" t="s">
        <v>739</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156</v>
      </c>
      <c r="B1" s="1170" t="s">
        <v>188</v>
      </c>
      <c r="C1" s="1171"/>
      <c r="D1" s="1171"/>
      <c r="E1" s="1171"/>
      <c r="F1" s="1171"/>
      <c r="G1" s="1171"/>
      <c r="H1" s="1171"/>
      <c r="I1" s="1171"/>
      <c r="J1" s="1171"/>
      <c r="K1" s="1171"/>
      <c r="L1" s="1171"/>
      <c r="M1" s="1171"/>
      <c r="N1" s="1171"/>
      <c r="O1" s="1171"/>
      <c r="P1" s="1171"/>
      <c r="R1" s="725"/>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c r="R2" s="725"/>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5"/>
    </row>
    <row r="4" spans="1:18" ht="15.75">
      <c r="A4" s="13"/>
      <c r="B4" s="14"/>
      <c r="C4" s="14"/>
      <c r="D4" s="14"/>
      <c r="E4" s="14"/>
      <c r="F4" s="14"/>
      <c r="G4" s="14"/>
      <c r="H4" s="14"/>
      <c r="I4" s="14"/>
      <c r="J4" s="14"/>
      <c r="K4" s="14"/>
      <c r="L4" s="14"/>
      <c r="M4" s="14"/>
      <c r="N4" s="14"/>
      <c r="O4" s="14"/>
      <c r="P4" s="14"/>
      <c r="R4" s="6"/>
    </row>
    <row r="5" spans="1:18">
      <c r="A5" s="16" t="s">
        <v>258</v>
      </c>
      <c r="B5" s="30">
        <f>SUM(B6:B15)</f>
        <v>7567.4476605699456</v>
      </c>
      <c r="C5" s="17">
        <f>IF(ISERROR('Eigen informatie GS &amp; warmtenet'!B61),0,'Eigen informatie GS &amp; warmtenet'!B61)</f>
        <v>0</v>
      </c>
      <c r="D5" s="30">
        <f>SUM(D6:D15)</f>
        <v>1494.7484989875813</v>
      </c>
      <c r="E5" s="17">
        <f>SUM(E6:E15)</f>
        <v>295.2650138178592</v>
      </c>
      <c r="F5" s="17">
        <f>SUM(F6:F15)</f>
        <v>2070.1992211909906</v>
      </c>
      <c r="G5" s="18"/>
      <c r="H5" s="17"/>
      <c r="I5" s="17"/>
      <c r="J5" s="17">
        <f>SUM(J6:J15)</f>
        <v>26.683074236720099</v>
      </c>
      <c r="K5" s="17"/>
      <c r="L5" s="17"/>
      <c r="M5" s="17"/>
      <c r="N5" s="17">
        <f>SUM(N6:N15)</f>
        <v>251.7121423127486</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331.04022421584904</v>
      </c>
      <c r="C8" s="33"/>
      <c r="D8" s="37">
        <f>IF( ISERROR(IND_metaal_Gas_kWH/1000),0,IND_metaal_Gas_kWH/1000)*0.903</f>
        <v>85.34837019420651</v>
      </c>
      <c r="E8" s="33">
        <f>C30*'E Balans VL '!I18/100/3.6*1000000</f>
        <v>1.8045518903970994</v>
      </c>
      <c r="F8" s="33">
        <f>C30*'E Balans VL '!L18/100/3.6*1000000+C30*'E Balans VL '!N18/100/3.6*1000000</f>
        <v>21.319015725247322</v>
      </c>
      <c r="G8" s="34"/>
      <c r="H8" s="33"/>
      <c r="I8" s="33"/>
      <c r="J8" s="40">
        <f>C30*'E Balans VL '!D18/100/3.6*1000000+C30*'E Balans VL '!E18/100/3.6*1000000</f>
        <v>0.27116232339231822</v>
      </c>
      <c r="K8" s="33"/>
      <c r="L8" s="33"/>
      <c r="M8" s="33"/>
      <c r="N8" s="33">
        <f>C30*'E Balans VL '!Y18/100/3.6*1000000</f>
        <v>7.0989685608993263</v>
      </c>
      <c r="O8" s="33"/>
      <c r="P8" s="33"/>
      <c r="R8" s="32"/>
    </row>
    <row r="9" spans="1:18">
      <c r="A9" s="6" t="s">
        <v>32</v>
      </c>
      <c r="B9" s="37">
        <f t="shared" si="0"/>
        <v>2007.00153050632</v>
      </c>
      <c r="C9" s="33"/>
      <c r="D9" s="37">
        <f>IF( ISERROR(IND_andere_gas_kWh/1000),0,IND_andere_gas_kWh/1000)*0.903</f>
        <v>1040.5092606082885</v>
      </c>
      <c r="E9" s="33">
        <f>C31*'E Balans VL '!I19/100/3.6*1000000</f>
        <v>6.4789427339502108</v>
      </c>
      <c r="F9" s="33">
        <f>C31*'E Balans VL '!L19/100/3.6*1000000+C31*'E Balans VL '!N19/100/3.6*1000000</f>
        <v>1297.7429447106683</v>
      </c>
      <c r="G9" s="34"/>
      <c r="H9" s="33"/>
      <c r="I9" s="33"/>
      <c r="J9" s="40">
        <f>C31*'E Balans VL '!D19/100/3.6*1000000+C31*'E Balans VL '!E19/100/3.6*1000000</f>
        <v>0</v>
      </c>
      <c r="K9" s="33"/>
      <c r="L9" s="33"/>
      <c r="M9" s="33"/>
      <c r="N9" s="33">
        <f>C31*'E Balans VL '!Y19/100/3.6*1000000</f>
        <v>81.492758236347385</v>
      </c>
      <c r="O9" s="33"/>
      <c r="P9" s="33"/>
      <c r="R9" s="32"/>
    </row>
    <row r="10" spans="1:18">
      <c r="A10" s="6" t="s">
        <v>40</v>
      </c>
      <c r="B10" s="37">
        <f t="shared" si="0"/>
        <v>321.03558384604503</v>
      </c>
      <c r="C10" s="33"/>
      <c r="D10" s="37">
        <f>IF( ISERROR(IND_voed_gas_kWh/1000),0,IND_voed_gas_kWh/1000)*0.903</f>
        <v>298.34860694453357</v>
      </c>
      <c r="E10" s="33">
        <f>C32*'E Balans VL '!I20/100/3.6*1000000</f>
        <v>0.67687899659188944</v>
      </c>
      <c r="F10" s="33">
        <f>C32*'E Balans VL '!L20/100/3.6*1000000+C32*'E Balans VL '!N20/100/3.6*1000000</f>
        <v>6.8268076547412369</v>
      </c>
      <c r="G10" s="34"/>
      <c r="H10" s="33"/>
      <c r="I10" s="33"/>
      <c r="J10" s="40">
        <f>C32*'E Balans VL '!D20/100/3.6*1000000+C32*'E Balans VL '!E20/100/3.6*1000000</f>
        <v>0</v>
      </c>
      <c r="K10" s="33"/>
      <c r="L10" s="33"/>
      <c r="M10" s="33"/>
      <c r="N10" s="33">
        <f>C32*'E Balans VL '!Y20/100/3.6*1000000</f>
        <v>12.769905484314657</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45.524711291789998</v>
      </c>
      <c r="C13" s="33"/>
      <c r="D13" s="37">
        <f>IF( ISERROR(IND_papier_gas_kWh/1000),0,IND_papier_gas_kWh/1000)*0.903</f>
        <v>0</v>
      </c>
      <c r="E13" s="33">
        <f>C35*'E Balans VL '!I23/100/3.6*1000000</f>
        <v>0</v>
      </c>
      <c r="F13" s="33">
        <f>C35*'E Balans VL '!L23/100/3.6*1000000+C35*'E Balans VL '!N23/100/3.6*1000000</f>
        <v>6.0981786017064608E-3</v>
      </c>
      <c r="G13" s="34"/>
      <c r="H13" s="33"/>
      <c r="I13" s="33"/>
      <c r="J13" s="40">
        <f>C35*'E Balans VL '!D23/100/3.6*1000000+C35*'E Balans VL '!E23/100/3.6*1000000</f>
        <v>9.0050743336619558E-3</v>
      </c>
      <c r="K13" s="33"/>
      <c r="L13" s="33"/>
      <c r="M13" s="33"/>
      <c r="N13" s="33">
        <f>C35*'E Balans VL '!Y23/100/3.6*1000000</f>
        <v>-3.3706355804505064</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4862.845610709941</v>
      </c>
      <c r="C15" s="33"/>
      <c r="D15" s="37">
        <f>IF( ISERROR(IND_rest_gas_kWh/1000),0,IND_rest_gas_kWh/1000)*0.903</f>
        <v>70.542261240552605</v>
      </c>
      <c r="E15" s="33">
        <f>C37*'E Balans VL '!I15/100/3.6*1000000</f>
        <v>286.30464019691999</v>
      </c>
      <c r="F15" s="33">
        <f>C37*'E Balans VL '!L15/100/3.6*1000000+C37*'E Balans VL '!N15/100/3.6*1000000</f>
        <v>744.30435492173217</v>
      </c>
      <c r="G15" s="34"/>
      <c r="H15" s="33"/>
      <c r="I15" s="33"/>
      <c r="J15" s="40">
        <f>C37*'E Balans VL '!D15/100/3.6*1000000+C37*'E Balans VL '!E15/100/3.6*1000000</f>
        <v>26.40290683899412</v>
      </c>
      <c r="K15" s="33"/>
      <c r="L15" s="33"/>
      <c r="M15" s="33"/>
      <c r="N15" s="33">
        <f>C37*'E Balans VL '!Y15/100/3.6*1000000</f>
        <v>153.72114561163775</v>
      </c>
      <c r="O15" s="33"/>
      <c r="P15" s="33"/>
      <c r="R15" s="32"/>
    </row>
    <row r="16" spans="1:18">
      <c r="A16" s="16" t="s">
        <v>466</v>
      </c>
      <c r="B16" s="242">
        <f>'lokale energieproductie'!N37+'lokale energieproductie'!N30</f>
        <v>8.5</v>
      </c>
      <c r="C16" s="242">
        <f>'lokale energieproductie'!O37+'lokale energieproductie'!O30</f>
        <v>12.175675675675675</v>
      </c>
      <c r="D16" s="302">
        <f>('lokale energieproductie'!P30+'lokale energieproductie'!P37)*(-1)</f>
        <v>-22.972972972972972</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7575.9476605699456</v>
      </c>
      <c r="C18" s="21">
        <f>C5+C16</f>
        <v>12.175675675675675</v>
      </c>
      <c r="D18" s="21">
        <f>MAX((D5+D16),0)</f>
        <v>1471.7755260146084</v>
      </c>
      <c r="E18" s="21">
        <f>MAX((E5+E16),0)</f>
        <v>295.2650138178592</v>
      </c>
      <c r="F18" s="21">
        <f>MAX((F5+F16),0)</f>
        <v>2070.1992211909906</v>
      </c>
      <c r="G18" s="21"/>
      <c r="H18" s="21"/>
      <c r="I18" s="21"/>
      <c r="J18" s="21">
        <f>MAX((J5+J16),0)</f>
        <v>26.683074236720099</v>
      </c>
      <c r="K18" s="21"/>
      <c r="L18" s="21">
        <f>MAX((L5+L16),0)</f>
        <v>0</v>
      </c>
      <c r="M18" s="21"/>
      <c r="N18" s="21">
        <f>MAX((N5+N16),0)</f>
        <v>251.7121423127486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0.19830605672602145</v>
      </c>
      <c r="C20" s="25">
        <f ca="1">'EF ele_warmte'!B22</f>
        <v>0.22444444444444442</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1502.3563065303531</v>
      </c>
      <c r="C22" s="23">
        <f ca="1">C18*C20</f>
        <v>2.7327627627627624</v>
      </c>
      <c r="D22" s="23">
        <f>D18*D20</f>
        <v>297.29865625495091</v>
      </c>
      <c r="E22" s="23">
        <f>E18*E20</f>
        <v>67.025158136654042</v>
      </c>
      <c r="F22" s="23">
        <f>F18*F20</f>
        <v>552.74319205799452</v>
      </c>
      <c r="G22" s="23"/>
      <c r="H22" s="23"/>
      <c r="I22" s="23"/>
      <c r="J22" s="23">
        <f>J18*J20</f>
        <v>9.4458082797989142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802</v>
      </c>
    </row>
    <row r="29" spans="1:18" ht="30">
      <c r="A29" s="167" t="s">
        <v>37</v>
      </c>
      <c r="B29" s="37">
        <f>IF( ISERROR(IND_nonf_ele_kWh/1000),0,IND_nonf_ele_kWh/1000)</f>
        <v>0</v>
      </c>
      <c r="C29" s="39">
        <f>IF(ISERROR(B29*3.6/1000000/'E Balans VL '!Z17*100),0,B29*3.6/1000000/'E Balans VL '!Z17*100)</f>
        <v>0</v>
      </c>
      <c r="D29" s="232" t="s">
        <v>802</v>
      </c>
    </row>
    <row r="30" spans="1:18" ht="30">
      <c r="A30" s="167" t="s">
        <v>35</v>
      </c>
      <c r="B30" s="37">
        <f>IF( ISERROR(IND_metaal_ele_kWh/1000),0,IND_metaal_ele_kWh/1000)</f>
        <v>331.04022421584904</v>
      </c>
      <c r="C30" s="39">
        <f>IF(ISERROR(B30*3.6/1000000/'E Balans VL '!Z18*100),0,B30*3.6/1000000/'E Balans VL '!Z18*100)</f>
        <v>1.9934334576523355E-2</v>
      </c>
      <c r="D30" s="232" t="s">
        <v>802</v>
      </c>
    </row>
    <row r="31" spans="1:18" ht="30">
      <c r="A31" s="6" t="s">
        <v>32</v>
      </c>
      <c r="B31" s="37">
        <f>IF( ISERROR(IND_ander_ele_kWh/1000),0,IND_ander_ele_kWh/1000)</f>
        <v>2007.00153050632</v>
      </c>
      <c r="C31" s="39">
        <f>IF(ISERROR(B31*3.6/1000000/'E Balans VL '!Z19*100),0,B31*3.6/1000000/'E Balans VL '!Z19*100)</f>
        <v>8.176939732415503E-2</v>
      </c>
      <c r="D31" s="232" t="s">
        <v>802</v>
      </c>
    </row>
    <row r="32" spans="1:18" ht="30">
      <c r="A32" s="167" t="s">
        <v>40</v>
      </c>
      <c r="B32" s="37">
        <f>IF( ISERROR(IND_voed_ele_kWh/1000),0,IND_voed_ele_kWh/1000)</f>
        <v>321.03558384604503</v>
      </c>
      <c r="C32" s="39">
        <f>IF(ISERROR(B32*3.6/1000000/'E Balans VL '!Z20*100),0,B32*3.6/1000000/'E Balans VL '!Z20*100)</f>
        <v>9.2824306727161774E-3</v>
      </c>
      <c r="D32" s="232" t="s">
        <v>802</v>
      </c>
    </row>
    <row r="33" spans="1:5" ht="30">
      <c r="A33" s="167" t="s">
        <v>39</v>
      </c>
      <c r="B33" s="37">
        <f>IF( ISERROR(IND_textiel_ele_kWh/1000),0,IND_textiel_ele_kWh/1000)</f>
        <v>0</v>
      </c>
      <c r="C33" s="39">
        <f>IF(ISERROR(B33*3.6/1000000/'E Balans VL '!Z21*100),0,B33*3.6/1000000/'E Balans VL '!Z21*100)</f>
        <v>0</v>
      </c>
      <c r="D33" s="232" t="s">
        <v>802</v>
      </c>
    </row>
    <row r="34" spans="1:5" ht="30">
      <c r="A34" s="167" t="s">
        <v>36</v>
      </c>
      <c r="B34" s="37">
        <f>IF( ISERROR(IND_min_ele_kWh/1000),0,IND_min_ele_kWh/1000)</f>
        <v>0</v>
      </c>
      <c r="C34" s="39">
        <f>IF(ISERROR(B34*3.6/1000000/'E Balans VL '!Z22*100),0,B34*3.6/1000000/'E Balans VL '!Z22*100)</f>
        <v>0</v>
      </c>
      <c r="D34" s="232" t="s">
        <v>802</v>
      </c>
    </row>
    <row r="35" spans="1:5" ht="30">
      <c r="A35" s="167" t="s">
        <v>38</v>
      </c>
      <c r="B35" s="37">
        <f>IF( ISERROR(IND_papier_ele_kWh/1000),0,IND_papier_ele_kWh/1000)</f>
        <v>45.524711291789998</v>
      </c>
      <c r="C35" s="39">
        <f>IF(ISERROR(B35*3.6/1000000/'E Balans VL '!Z22*100),0,B35*3.6/1000000/'E Balans VL '!Z22*100)</f>
        <v>1.943862869465773E-2</v>
      </c>
      <c r="D35" s="232" t="s">
        <v>802</v>
      </c>
    </row>
    <row r="36" spans="1:5" ht="30">
      <c r="A36" s="167" t="s">
        <v>33</v>
      </c>
      <c r="B36" s="37">
        <f>IF( ISERROR(IND_chemie_ele_kWh/1000),0,IND_chemie_ele_kWh/1000)</f>
        <v>0</v>
      </c>
      <c r="C36" s="39">
        <f>IF(ISERROR(B36*3.6/1000000/'E Balans VL '!Z24*100),0,B36*3.6/1000000/'E Balans VL '!Z24*100)</f>
        <v>0</v>
      </c>
      <c r="D36" s="232" t="s">
        <v>802</v>
      </c>
    </row>
    <row r="37" spans="1:5" ht="30">
      <c r="A37" s="167" t="s">
        <v>259</v>
      </c>
      <c r="B37" s="37">
        <f>IF( ISERROR(IND_rest_ele_kWh/1000),0,IND_rest_ele_kWh/1000)</f>
        <v>4862.845610709941</v>
      </c>
      <c r="C37" s="39">
        <f>IF(ISERROR(B37*3.6/1000000/'E Balans VL '!Z15*100),0,B37*3.6/1000000/'E Balans VL '!Z15*100)</f>
        <v>3.9927645688091672E-2</v>
      </c>
      <c r="D37" s="232" t="s">
        <v>802</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738</v>
      </c>
    </row>
    <row r="45" spans="1:5">
      <c r="A45" s="6" t="s">
        <v>456</v>
      </c>
      <c r="B45" s="312">
        <f>1.34/3.6</f>
        <v>0.37222222222222223</v>
      </c>
      <c r="C45" s="43" t="s">
        <v>208</v>
      </c>
      <c r="D45" s="301" t="s">
        <v>739</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738</v>
      </c>
    </row>
    <row r="53" spans="1:4">
      <c r="A53" s="167" t="s">
        <v>253</v>
      </c>
      <c r="B53" s="307">
        <v>1870.3471198212708</v>
      </c>
      <c r="C53" s="32" t="s">
        <v>254</v>
      </c>
      <c r="D53" s="301" t="s">
        <v>738</v>
      </c>
    </row>
    <row r="54" spans="1:4">
      <c r="A54" s="167" t="s">
        <v>388</v>
      </c>
      <c r="B54" s="307">
        <v>3.75</v>
      </c>
      <c r="C54" s="32"/>
      <c r="D54" s="301" t="s">
        <v>739</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260</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443.805119920957</v>
      </c>
      <c r="C5" s="17">
        <f>'Eigen informatie GS &amp; warmtenet'!B62</f>
        <v>0</v>
      </c>
      <c r="D5" s="30">
        <f>IF(ISERROR(SUM(LB_lb_gas_kWh,LB_rest_gas_kWh)/1000),0,SUM(LB_lb_gas_kWh,LB_rest_gas_kWh)/1000)*0.903</f>
        <v>94.129939653906533</v>
      </c>
      <c r="E5" s="17">
        <f>B17*'E Balans VL '!I25/3.6*1000000/100</f>
        <v>15.811886274231441</v>
      </c>
      <c r="F5" s="17">
        <f>B17*('E Balans VL '!L25/3.6*1000000+'E Balans VL '!N25/3.6*1000000)/100</f>
        <v>1512.4042869915079</v>
      </c>
      <c r="G5" s="18"/>
      <c r="H5" s="17"/>
      <c r="I5" s="17"/>
      <c r="J5" s="17">
        <f>('E Balans VL '!D25+'E Balans VL '!E25)/3.6*1000000*landbouw!B17/100</f>
        <v>112.84570545355338</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443.805119920957</v>
      </c>
      <c r="C8" s="21">
        <f>C5+C6</f>
        <v>0</v>
      </c>
      <c r="D8" s="21">
        <f>MAX((D5+D6),0)</f>
        <v>94.129939653906533</v>
      </c>
      <c r="E8" s="21">
        <f>MAX((E5+E6),0)</f>
        <v>15.811886274231441</v>
      </c>
      <c r="F8" s="21">
        <f>MAX((F5+F6),0)</f>
        <v>1512.4042869915079</v>
      </c>
      <c r="G8" s="21"/>
      <c r="H8" s="21"/>
      <c r="I8" s="21"/>
      <c r="J8" s="21">
        <f>MAX((J5+J6),0)</f>
        <v>112.84570545355338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0.19830605672602145</v>
      </c>
      <c r="C10" s="31">
        <f ca="1">'EF ele_warmte'!B22</f>
        <v>0.22444444444444442</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88.009243286344045</v>
      </c>
      <c r="C12" s="23">
        <f ca="1">C8*C10</f>
        <v>0</v>
      </c>
      <c r="D12" s="23">
        <f>D8*D10</f>
        <v>19.01424781008912</v>
      </c>
      <c r="E12" s="23">
        <f>E8*E10</f>
        <v>3.5892981842505369</v>
      </c>
      <c r="F12" s="23">
        <f>F8*F10</f>
        <v>403.81194462673261</v>
      </c>
      <c r="G12" s="23"/>
      <c r="H12" s="23"/>
      <c r="I12" s="23"/>
      <c r="J12" s="23">
        <f>J8*J10</f>
        <v>39.947379730557891</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ht="30">
      <c r="A17" s="251" t="s">
        <v>105</v>
      </c>
      <c r="B17" s="249">
        <f>IF(ISERROR(SUM(LB_lb_ele_kWh,LB_rest_ele_kWh)*3.6/1000000000/'E Balans VL '!Z26*100),0,SUM(LB_lb_ele_kWh,LB_rest_ele_kWh)*3.6/1000000000/'E Balans VL '!Z26*100)</f>
        <v>6.1456941168113309E-2</v>
      </c>
      <c r="C17" s="866" t="s">
        <v>802</v>
      </c>
      <c r="D17" s="247"/>
    </row>
    <row r="18" spans="1:4">
      <c r="A18" s="235"/>
      <c r="B18" s="248"/>
      <c r="C18" s="236"/>
    </row>
    <row r="19" spans="1:4">
      <c r="A19" s="32"/>
      <c r="B19" s="48"/>
      <c r="C19" s="32"/>
    </row>
    <row r="20" spans="1:4">
      <c r="A20" s="32"/>
      <c r="B20" s="48"/>
      <c r="C20" s="32"/>
    </row>
    <row r="21" spans="1:4" ht="15.75" thickBot="1">
      <c r="B21" s="32"/>
    </row>
    <row r="22" spans="1:4" ht="15.75" customHeight="1">
      <c r="A22" s="1177" t="s">
        <v>292</v>
      </c>
      <c r="B22" s="1180" t="s">
        <v>293</v>
      </c>
      <c r="C22" s="1180" t="s">
        <v>471</v>
      </c>
    </row>
    <row r="23" spans="1:4">
      <c r="A23" s="1178"/>
      <c r="B23" s="1181"/>
      <c r="C23" s="1181"/>
    </row>
    <row r="24" spans="1:4" ht="15.75" thickBot="1">
      <c r="A24" s="1179"/>
      <c r="B24" s="1182"/>
      <c r="C24" s="1182"/>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120.21154003023342</v>
      </c>
      <c r="C26" s="242">
        <f>B26*'GWP N2O_CH4'!B5</f>
        <v>2524.4423406349019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12.618149293074275</v>
      </c>
      <c r="C27" s="242">
        <f>B27*'GWP N2O_CH4'!B5</f>
        <v>264.98113515455975</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1.8460643758938899</v>
      </c>
      <c r="C28" s="242">
        <f>B28*'GWP N2O_CH4'!B4</f>
        <v>572.27995652710592</v>
      </c>
      <c r="D28" s="50"/>
    </row>
    <row r="29" spans="1:4">
      <c r="A29" s="41" t="s">
        <v>266</v>
      </c>
      <c r="B29" s="242">
        <f>B34*'ha_N2O bodem landbouw'!B4</f>
        <v>11.585413135731372</v>
      </c>
      <c r="C29" s="242">
        <f>B29*'GWP N2O_CH4'!B4</f>
        <v>3591.4780720767253</v>
      </c>
      <c r="D29" s="50"/>
    </row>
    <row r="31" spans="1:4">
      <c r="A31" s="189" t="s">
        <v>473</v>
      </c>
      <c r="B31" s="199"/>
      <c r="C31" s="221"/>
    </row>
    <row r="32" spans="1:4">
      <c r="A32" s="231"/>
      <c r="B32" s="32"/>
      <c r="C32" s="232"/>
    </row>
    <row r="33" spans="1:5">
      <c r="A33" s="233"/>
      <c r="B33" s="220" t="s">
        <v>575</v>
      </c>
      <c r="C33" s="234" t="s">
        <v>175</v>
      </c>
    </row>
    <row r="34" spans="1:5" ht="15.75" thickBot="1">
      <c r="A34" s="252" t="s">
        <v>105</v>
      </c>
      <c r="B34" s="35">
        <f>IF(ISERROR(aantalCultuurgronden/'ha_N2O bodem landbouw'!B5),0,aantalCultuurgronden/'ha_N2O bodem landbouw'!B5)</f>
        <v>2.6319985170820989E-3</v>
      </c>
      <c r="C34" s="881" t="s">
        <v>774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3"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9" t="s">
        <v>475</v>
      </c>
      <c r="B1" s="1170" t="s">
        <v>521</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2.7653467553274799E-3</v>
      </c>
      <c r="C5" s="430" t="s">
        <v>204</v>
      </c>
      <c r="D5" s="415">
        <f>SUM(D6:D11)</f>
        <v>3.7602471625829467E-3</v>
      </c>
      <c r="E5" s="415">
        <f>SUM(E6:E11)</f>
        <v>1.6333931673618485E-3</v>
      </c>
      <c r="F5" s="428" t="s">
        <v>204</v>
      </c>
      <c r="G5" s="415">
        <f>SUM(G6:G11)</f>
        <v>0.70612974550350671</v>
      </c>
      <c r="H5" s="415">
        <f>SUM(H6:H11)</f>
        <v>0.20501623793298757</v>
      </c>
      <c r="I5" s="430" t="s">
        <v>204</v>
      </c>
      <c r="J5" s="430" t="s">
        <v>204</v>
      </c>
      <c r="K5" s="430" t="s">
        <v>204</v>
      </c>
      <c r="L5" s="430" t="s">
        <v>204</v>
      </c>
      <c r="M5" s="415">
        <f>SUM(M6:M11)</f>
        <v>5.5078648206506389E-2</v>
      </c>
      <c r="N5" s="430" t="s">
        <v>204</v>
      </c>
      <c r="O5" s="430" t="s">
        <v>204</v>
      </c>
      <c r="P5" s="431" t="s">
        <v>204</v>
      </c>
    </row>
    <row r="6" spans="1:18">
      <c r="A6" s="256" t="s">
        <v>608</v>
      </c>
      <c r="B6" s="845">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7.2099420923143987E-4</v>
      </c>
      <c r="C6" s="416"/>
      <c r="D6" s="845">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1.0467885522578121E-3</v>
      </c>
      <c r="E6" s="845">
        <f>vkm_GW_PW*SUMIFS(TableVerdeelsleutelVkm[LPG],TableVerdeelsleutelVkm[Voertuigtype],"Lichte voertuigen")*SUMIFS(TableECFTransport[EnergieConsumptieFactor (PJ per km)],TableECFTransport[Index],CONCATENATE($A6,"_LPG_LPG"))</f>
        <v>4.1030990086860056E-4</v>
      </c>
      <c r="F6" s="418"/>
      <c r="G6" s="84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0.12620510638909738</v>
      </c>
      <c r="H6" s="845">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5.5715988331938714E-2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1.1196298279226838E-2</v>
      </c>
      <c r="N6" s="416"/>
      <c r="O6" s="416"/>
      <c r="P6" s="417"/>
    </row>
    <row r="7" spans="1:18">
      <c r="A7" s="256" t="s">
        <v>609</v>
      </c>
      <c r="B7" s="845">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9.354520092013579E-7</v>
      </c>
      <c r="C7" s="416"/>
      <c r="D7" s="845">
        <f>vkm_GW_ZV*SUMIFS(TableVerdeelsleutelVkm[CNG],TableVerdeelsleutelVkm[Voertuigtype],"Zware voertuigen")*SUMIFS(TableECFTransport[EnergieConsumptieFactor (PJ per km)],TableECFTransport[Index],CONCATENATE($A7,"_CNG_CNG"))</f>
        <v>0</v>
      </c>
      <c r="E7" s="845">
        <f>vkm_GW_ZV*SUMIFS(TableVerdeelsleutelVkm[LPG],TableVerdeelsleutelVkm[Voertuigtype],"Zware voertuigen")*SUMIFS(TableECFTransport[EnergieConsumptieFactor (PJ per km)],TableECFTransport[Index],CONCATENATE($A7,"_LPG_LPG"))</f>
        <v>0</v>
      </c>
      <c r="F7" s="418"/>
      <c r="G7" s="84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3.7256110001682323E-2</v>
      </c>
      <c r="H7" s="845">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3.1436235804823354E-7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2.1391856287241184E-3</v>
      </c>
      <c r="N7" s="416"/>
      <c r="O7" s="416"/>
      <c r="P7" s="417"/>
      <c r="R7" s="842"/>
    </row>
    <row r="8" spans="1:18">
      <c r="A8" s="256" t="s">
        <v>610</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4.2865393553010811E-4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8.0979130351102201E-4</v>
      </c>
      <c r="E8" s="418">
        <f>vkm_NGW_PW*SUMIFS(TableVerdeelsleutelVkm[LPG],TableVerdeelsleutelVkm[Voertuigtype],"Lichte voertuigen")*SUMIFS(TableECFTransport[EnergieConsumptieFactor (PJ per km)],TableECFTransport[Index],CONCATENATE($A8,"_LPG_LPG"))</f>
        <v>3.0312904639152221E-4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8.5744657234596899E-2</v>
      </c>
      <c r="H8" s="845">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4.2552799289996557E-2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7.9399692732438094E-3</v>
      </c>
      <c r="N8" s="416"/>
      <c r="O8" s="416"/>
      <c r="P8" s="417"/>
      <c r="R8" s="842"/>
    </row>
    <row r="9" spans="1:18">
      <c r="A9" s="256" t="s">
        <v>611</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3.4967801418308049E-7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1.7934213268769365E-2</v>
      </c>
      <c r="H9" s="845">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1.4183839197981356E-7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1.0297528707355302E-3</v>
      </c>
      <c r="N9" s="416"/>
      <c r="O9" s="416"/>
      <c r="P9" s="417"/>
      <c r="R9" s="842"/>
    </row>
    <row r="10" spans="1:18">
      <c r="A10" s="256" t="s">
        <v>612</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1.6094677376390491E-3</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1.9036673068141125E-3</v>
      </c>
      <c r="E10" s="418">
        <f>vkm_SW_PW*SUMIFS(TableVerdeelsleutelVkm[LPG],TableVerdeelsleutelVkm[Voertuigtype],"Lichte voertuigen")*SUMIFS(TableECFTransport[EnergieConsumptieFactor (PJ per km)],TableECFTransport[Index],CONCATENATE($A10,"_LPG_LPG"))</f>
        <v>9.1995422010172564E-4</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0.25362406612084537</v>
      </c>
      <c r="H10" s="845">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0.1067452834215437</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2.2130039000396687E-2</v>
      </c>
      <c r="N10" s="416"/>
      <c r="O10" s="416"/>
      <c r="P10" s="417"/>
      <c r="R10" s="842"/>
    </row>
    <row r="11" spans="1:18">
      <c r="A11" s="4" t="s">
        <v>613</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4.9457429034983089E-6</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0.18536559248851539</v>
      </c>
      <c r="H11" s="846">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1.7106887586029711E-6</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1.0643403154179399E-2</v>
      </c>
      <c r="N11" s="419"/>
      <c r="O11" s="419"/>
      <c r="P11" s="421"/>
      <c r="R11" s="842"/>
    </row>
    <row r="12" spans="1:18">
      <c r="A12" s="323" t="s">
        <v>519</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768.15187647985556</v>
      </c>
      <c r="C14" s="21"/>
      <c r="D14" s="21">
        <f t="shared" ref="D14:M14" si="0">((D5)*10^9/3600)+D12</f>
        <v>1044.513100717485</v>
      </c>
      <c r="E14" s="21">
        <f t="shared" si="0"/>
        <v>453.72032426718016</v>
      </c>
      <c r="F14" s="21"/>
      <c r="G14" s="21">
        <f t="shared" si="0"/>
        <v>196147.15152875186</v>
      </c>
      <c r="H14" s="21">
        <f t="shared" si="0"/>
        <v>56948.954981385439</v>
      </c>
      <c r="I14" s="21"/>
      <c r="J14" s="21"/>
      <c r="K14" s="21"/>
      <c r="L14" s="21"/>
      <c r="M14" s="21">
        <f t="shared" si="0"/>
        <v>15299.62450180733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0.19830605672602145</v>
      </c>
      <c r="C16" s="56">
        <f ca="1">'EF ele_warmte'!B22</f>
        <v>0.22444444444444442</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152.32916959141406</v>
      </c>
      <c r="C18" s="23"/>
      <c r="D18" s="23">
        <f t="shared" ref="D18:M18" si="1">D14*D16</f>
        <v>210.99164634493198</v>
      </c>
      <c r="E18" s="23">
        <f t="shared" si="1"/>
        <v>102.9945136086499</v>
      </c>
      <c r="F18" s="23"/>
      <c r="G18" s="23">
        <f t="shared" si="1"/>
        <v>52371.289458176747</v>
      </c>
      <c r="H18" s="23">
        <f t="shared" si="1"/>
        <v>14180.289790364974</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1"/>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614</v>
      </c>
      <c r="D23" s="871" t="s">
        <v>615</v>
      </c>
      <c r="E23" s="871" t="s">
        <v>616</v>
      </c>
      <c r="F23" s="871" t="s">
        <v>599</v>
      </c>
      <c r="G23" s="871" t="s">
        <v>617</v>
      </c>
      <c r="H23" s="871" t="s">
        <v>618</v>
      </c>
      <c r="I23" s="871" t="s">
        <v>112</v>
      </c>
      <c r="J23" s="871" t="s">
        <v>619</v>
      </c>
      <c r="K23" s="871" t="s">
        <v>620</v>
      </c>
      <c r="L23" s="872" t="s">
        <v>621</v>
      </c>
      <c r="M23" s="128" t="s">
        <v>175</v>
      </c>
      <c r="N23" s="263" t="s">
        <v>305</v>
      </c>
    </row>
    <row r="24" spans="1:18">
      <c r="A24" s="32" t="s">
        <v>606</v>
      </c>
      <c r="B24" s="1012">
        <v>4.6544034208765156E-3</v>
      </c>
      <c r="C24" s="1012">
        <v>0.67457013587836034</v>
      </c>
      <c r="D24" s="1015" t="s">
        <v>849</v>
      </c>
      <c r="E24" s="1012">
        <v>1.9809002524546764E-3</v>
      </c>
      <c r="F24" s="1012"/>
      <c r="G24" s="1012">
        <v>6.9512918165255608E-3</v>
      </c>
      <c r="H24" s="1015">
        <v>2.8481887628558895E-12</v>
      </c>
      <c r="I24" s="1015">
        <v>2.0480075479845801E-3</v>
      </c>
      <c r="J24" s="1015">
        <v>0.29340700993283542</v>
      </c>
      <c r="K24" s="1015">
        <v>9.4867148517135038E-3</v>
      </c>
      <c r="L24" s="1013">
        <v>6.9015362964010493E-3</v>
      </c>
      <c r="M24" s="1003" t="s">
        <v>843</v>
      </c>
      <c r="N24" s="844">
        <f>SUM(B24:L24)</f>
        <v>0.99999999999999978</v>
      </c>
      <c r="O24" s="842"/>
    </row>
    <row r="25" spans="1:18">
      <c r="A25" s="32" t="s">
        <v>607</v>
      </c>
      <c r="B25" s="1015" t="s">
        <v>849</v>
      </c>
      <c r="C25" s="1012">
        <v>0.99993252924300025</v>
      </c>
      <c r="D25" s="1015" t="s">
        <v>849</v>
      </c>
      <c r="E25" s="1015" t="s">
        <v>849</v>
      </c>
      <c r="F25" s="1012"/>
      <c r="G25" s="1015">
        <v>5.3747855986051421E-5</v>
      </c>
      <c r="H25" s="1015" t="s">
        <v>849</v>
      </c>
      <c r="I25" s="1015" t="s">
        <v>849</v>
      </c>
      <c r="J25" s="1015">
        <v>1.3722901013616041E-5</v>
      </c>
      <c r="K25" s="1015" t="s">
        <v>849</v>
      </c>
      <c r="L25" s="1013" t="s">
        <v>849</v>
      </c>
      <c r="M25" s="1003" t="s">
        <v>843</v>
      </c>
      <c r="N25" s="844">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1">
        <v>2019</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5.4300000000000001E-2</v>
      </c>
      <c r="D35" s="58"/>
      <c r="E35" s="869" t="s">
        <v>782</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1">
        <f>C30</f>
        <v>2019</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6.6199999999999995E-2</v>
      </c>
      <c r="D42" s="276"/>
      <c r="E42" s="869" t="str">
        <f>E35</f>
        <v>Data VMM 2021</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3" t="s">
        <v>476</v>
      </c>
      <c r="B46" s="1184" t="s">
        <v>520</v>
      </c>
      <c r="C46" s="1185"/>
      <c r="D46" s="1185"/>
      <c r="E46" s="1185"/>
      <c r="F46" s="1185"/>
      <c r="G46" s="1185"/>
      <c r="H46" s="1185"/>
      <c r="I46" s="1185"/>
      <c r="J46" s="1185"/>
      <c r="K46" s="1185"/>
      <c r="L46" s="1185"/>
      <c r="M46" s="1185"/>
      <c r="N46" s="1185"/>
      <c r="O46" s="1185"/>
      <c r="P46" s="1185"/>
    </row>
    <row r="47" spans="1:16" s="15" customFormat="1" ht="15.75" thickTop="1">
      <c r="A47" s="1183"/>
      <c r="B47" s="1186" t="s">
        <v>20</v>
      </c>
      <c r="C47" s="1186" t="s">
        <v>189</v>
      </c>
      <c r="D47" s="1188" t="s">
        <v>190</v>
      </c>
      <c r="E47" s="1189"/>
      <c r="F47" s="1189"/>
      <c r="G47" s="1189"/>
      <c r="H47" s="1189"/>
      <c r="I47" s="1189"/>
      <c r="J47" s="1189"/>
      <c r="K47" s="1190"/>
      <c r="L47" s="1188" t="s">
        <v>191</v>
      </c>
      <c r="M47" s="1189"/>
      <c r="N47" s="1189"/>
      <c r="O47" s="1189"/>
      <c r="P47" s="1190"/>
    </row>
    <row r="48" spans="1:16" s="15" customFormat="1" ht="45">
      <c r="A48" s="1183"/>
      <c r="B48" s="1187"/>
      <c r="C48" s="118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2.4095358273345036E-4</v>
      </c>
      <c r="C50" s="313">
        <f t="shared" ref="C50:P50" si="2">SUM(C51:C52)</f>
        <v>0</v>
      </c>
      <c r="D50" s="313">
        <f t="shared" si="2"/>
        <v>0</v>
      </c>
      <c r="E50" s="313">
        <f t="shared" si="2"/>
        <v>0</v>
      </c>
      <c r="F50" s="313">
        <f t="shared" si="2"/>
        <v>0</v>
      </c>
      <c r="G50" s="313">
        <f t="shared" si="2"/>
        <v>1.5084422969671664E-2</v>
      </c>
      <c r="H50" s="313">
        <f t="shared" si="2"/>
        <v>0</v>
      </c>
      <c r="I50" s="313">
        <f t="shared" si="2"/>
        <v>0</v>
      </c>
      <c r="J50" s="313">
        <f t="shared" si="2"/>
        <v>0</v>
      </c>
      <c r="K50" s="313">
        <f t="shared" si="2"/>
        <v>0</v>
      </c>
      <c r="L50" s="313">
        <f t="shared" si="2"/>
        <v>0</v>
      </c>
      <c r="M50" s="313">
        <f t="shared" si="2"/>
        <v>8.6611416649378379E-4</v>
      </c>
      <c r="N50" s="313">
        <f t="shared" si="2"/>
        <v>0</v>
      </c>
      <c r="O50" s="313">
        <f t="shared" si="2"/>
        <v>0</v>
      </c>
      <c r="P50" s="314">
        <f t="shared" si="2"/>
        <v>0</v>
      </c>
    </row>
    <row r="51" spans="1:18">
      <c r="A51" s="256" t="s">
        <v>319</v>
      </c>
      <c r="B51" s="1014">
        <f>vkm_bus
*($B$65*(SUMIFS(TableECFTransport[EnergieConsumptieFactor (PJ per km)],TableECFTransport[Index],"BUS_Niet-genummerde wegen_DIESEL HYBRID PHEV_ELECTRIC")*0.5+SUMIFS(TableECFTransport[EnergieConsumptieFactor (PJ per km)],TableECFTransport[Index],"BUS_Genummerde wegen_DIESEL HYBRID PHEV_ELECTRIC")*0.5))</f>
        <v>2.4095358273345036E-4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1.5084422969671664E-2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8.6611416649378379E-4</v>
      </c>
      <c r="N51" s="315"/>
      <c r="O51" s="315"/>
      <c r="P51" s="318"/>
    </row>
    <row r="52" spans="1:18">
      <c r="A52" s="4" t="s">
        <v>318</v>
      </c>
      <c r="B52" s="846">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66.931550759291767</v>
      </c>
      <c r="C54" s="21">
        <f t="shared" ref="C54:P54" si="3">(C50)*10^9/3600</f>
        <v>0</v>
      </c>
      <c r="D54" s="21">
        <f t="shared" si="3"/>
        <v>0</v>
      </c>
      <c r="E54" s="21">
        <f t="shared" si="3"/>
        <v>0</v>
      </c>
      <c r="F54" s="21">
        <f t="shared" si="3"/>
        <v>0</v>
      </c>
      <c r="G54" s="21">
        <f t="shared" si="3"/>
        <v>4190.1174915754627</v>
      </c>
      <c r="H54" s="21">
        <f t="shared" si="3"/>
        <v>0</v>
      </c>
      <c r="I54" s="21">
        <f t="shared" si="3"/>
        <v>0</v>
      </c>
      <c r="J54" s="21">
        <f t="shared" si="3"/>
        <v>0</v>
      </c>
      <c r="K54" s="21">
        <f t="shared" si="3"/>
        <v>0</v>
      </c>
      <c r="L54" s="21">
        <f t="shared" si="3"/>
        <v>0</v>
      </c>
      <c r="M54" s="21">
        <f t="shared" si="3"/>
        <v>240.5872684704955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0.19830605672602145</v>
      </c>
      <c r="C56" s="56">
        <f ca="1">'EF ele_warmte'!B22</f>
        <v>0.22444444444444442</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13.272931901632697</v>
      </c>
      <c r="C58" s="23">
        <f t="shared" ref="C58:P58" ca="1" si="4">C54*C56</f>
        <v>0</v>
      </c>
      <c r="D58" s="23">
        <f t="shared" si="4"/>
        <v>0</v>
      </c>
      <c r="E58" s="23">
        <f t="shared" si="4"/>
        <v>0</v>
      </c>
      <c r="F58" s="23">
        <f t="shared" si="4"/>
        <v>0</v>
      </c>
      <c r="G58" s="23">
        <f t="shared" si="4"/>
        <v>1118.7613702506487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533</v>
      </c>
      <c r="B61" s="259"/>
      <c r="C61" s="260"/>
    </row>
    <row r="62" spans="1:18" s="15" customFormat="1">
      <c r="A62" s="288"/>
      <c r="B62" s="284"/>
      <c r="C62" s="289"/>
    </row>
    <row r="63" spans="1:18">
      <c r="A63" s="290"/>
      <c r="B63" s="132"/>
      <c r="C63" s="291" t="s">
        <v>175</v>
      </c>
    </row>
    <row r="64" spans="1:18">
      <c r="A64" s="282" t="s">
        <v>195</v>
      </c>
      <c r="B64" s="285">
        <f>100%-B65</f>
        <v>0.93620000000000003</v>
      </c>
      <c r="C64" s="170"/>
    </row>
    <row r="65" spans="1:12">
      <c r="A65" s="282" t="s">
        <v>783</v>
      </c>
      <c r="B65" s="1011">
        <v>6.3799999999999996E-2</v>
      </c>
      <c r="C65" s="170" t="s">
        <v>776</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534</v>
      </c>
    </row>
    <row r="72" spans="1:12">
      <c r="A72" s="256"/>
      <c r="B72" s="261"/>
      <c r="C72" s="261"/>
      <c r="D72" s="261"/>
      <c r="E72" s="261"/>
    </row>
    <row r="73" spans="1:12">
      <c r="A73" s="267"/>
      <c r="B73" s="268" t="s">
        <v>306</v>
      </c>
      <c r="C73" s="841">
        <f>C30</f>
        <v>2019</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5.4300000000000001E-2</v>
      </c>
      <c r="D78" s="410"/>
      <c r="E78" t="str">
        <f>E35</f>
        <v>Data VMM 2021</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8" customWidth="1"/>
    <col min="2" max="2" width="27" style="608" customWidth="1"/>
    <col min="3" max="3" width="25.42578125" style="608" customWidth="1"/>
    <col min="4" max="4" width="41.28515625" style="608" customWidth="1"/>
    <col min="5" max="5" width="27.5703125" style="608" customWidth="1"/>
    <col min="6" max="7" width="18" style="608" customWidth="1"/>
    <col min="8" max="8" width="23.42578125" style="608" customWidth="1"/>
    <col min="9" max="9" width="28.5703125" style="608" customWidth="1"/>
    <col min="10" max="10" width="35.28515625" style="608" customWidth="1"/>
    <col min="11" max="11" width="32.7109375" style="608" customWidth="1"/>
    <col min="12" max="14" width="23.85546875" style="608" customWidth="1"/>
    <col min="15" max="15" width="21.140625" style="608" customWidth="1"/>
    <col min="16" max="16" width="17.5703125" style="608" customWidth="1"/>
    <col min="17" max="17" width="22.85546875" style="608" customWidth="1"/>
    <col min="18" max="18" width="19.140625" style="608" customWidth="1"/>
    <col min="19" max="19" width="24.7109375" style="608" customWidth="1"/>
    <col min="20" max="20" width="9.140625" style="608"/>
    <col min="21" max="21" width="21.140625" style="608" customWidth="1"/>
    <col min="22" max="22" width="14.85546875" style="608" customWidth="1"/>
    <col min="23" max="24" width="16.140625" style="608" customWidth="1"/>
    <col min="25" max="25" width="14.7109375" style="608" customWidth="1"/>
    <col min="26" max="27" width="16.140625" style="608" customWidth="1"/>
    <col min="28" max="28" width="17.28515625" style="608" customWidth="1"/>
    <col min="29" max="29" width="16.85546875" style="608" customWidth="1"/>
    <col min="30" max="16384" width="9.140625" style="608"/>
  </cols>
  <sheetData>
    <row r="1" spans="1:21" s="527" customFormat="1" ht="17.45" customHeight="1" thickTop="1" thickBot="1">
      <c r="A1" s="1215" t="s">
        <v>230</v>
      </c>
      <c r="B1" s="1203" t="s">
        <v>231</v>
      </c>
      <c r="C1" s="1237" t="s">
        <v>232</v>
      </c>
      <c r="D1" s="1238"/>
      <c r="E1" s="1238"/>
      <c r="F1" s="1238"/>
      <c r="G1" s="1238"/>
      <c r="H1" s="1238"/>
      <c r="I1" s="1238"/>
      <c r="J1" s="1238"/>
      <c r="K1" s="1238"/>
      <c r="L1" s="1238"/>
      <c r="M1" s="1238"/>
      <c r="N1" s="1239"/>
      <c r="O1" s="1204" t="s">
        <v>233</v>
      </c>
      <c r="P1" s="1203" t="s">
        <v>522</v>
      </c>
      <c r="Q1" s="1204"/>
      <c r="S1" s="1202"/>
      <c r="T1" s="1202"/>
      <c r="U1" s="1202"/>
    </row>
    <row r="2" spans="1:21" s="527" customFormat="1" ht="15.75" thickBot="1">
      <c r="A2" s="1216"/>
      <c r="B2" s="1216"/>
      <c r="C2" s="1233" t="s">
        <v>190</v>
      </c>
      <c r="D2" s="1234"/>
      <c r="E2" s="1234"/>
      <c r="F2" s="1234"/>
      <c r="G2" s="1235"/>
      <c r="H2" s="1236" t="s">
        <v>234</v>
      </c>
      <c r="I2" s="1231" t="s">
        <v>235</v>
      </c>
      <c r="J2" s="1231" t="s">
        <v>223</v>
      </c>
      <c r="K2" s="1231" t="s">
        <v>236</v>
      </c>
      <c r="L2" s="1231" t="s">
        <v>120</v>
      </c>
      <c r="M2" s="1231" t="s">
        <v>670</v>
      </c>
      <c r="N2" s="1226" t="s">
        <v>671</v>
      </c>
      <c r="O2" s="1206"/>
      <c r="P2" s="1205"/>
      <c r="Q2" s="1206"/>
      <c r="S2" s="1202"/>
      <c r="T2" s="1202"/>
      <c r="U2" s="1202"/>
    </row>
    <row r="3" spans="1:21" s="527" customFormat="1" ht="53.45" customHeight="1" thickBot="1">
      <c r="A3" s="1217"/>
      <c r="B3" s="1207"/>
      <c r="C3" s="528" t="s">
        <v>192</v>
      </c>
      <c r="D3" s="529" t="s">
        <v>193</v>
      </c>
      <c r="E3" s="530" t="s">
        <v>194</v>
      </c>
      <c r="F3" s="531" t="s">
        <v>196</v>
      </c>
      <c r="G3" s="532" t="s">
        <v>197</v>
      </c>
      <c r="H3" s="1222"/>
      <c r="I3" s="1232"/>
      <c r="J3" s="1232"/>
      <c r="K3" s="1232"/>
      <c r="L3" s="1232"/>
      <c r="M3" s="1232"/>
      <c r="N3" s="1227"/>
      <c r="O3" s="1208"/>
      <c r="P3" s="1207"/>
      <c r="Q3" s="1208"/>
      <c r="S3" s="1202"/>
      <c r="T3" s="1202"/>
      <c r="U3" s="1202"/>
    </row>
    <row r="4" spans="1:21" s="527" customFormat="1" ht="15.75" thickTop="1">
      <c r="A4" s="533" t="s">
        <v>238</v>
      </c>
      <c r="B4" s="534">
        <f>IF(ISERROR(kWh_wind_land),0,kWh_wind_land)</f>
        <v>0</v>
      </c>
      <c r="C4" s="1243"/>
      <c r="D4" s="1228"/>
      <c r="E4" s="1228"/>
      <c r="F4" s="1246"/>
      <c r="G4" s="1249"/>
      <c r="H4" s="1240"/>
      <c r="I4" s="1228"/>
      <c r="J4" s="1228"/>
      <c r="K4" s="1228"/>
      <c r="L4" s="1228"/>
      <c r="M4" s="1228"/>
      <c r="N4" s="907"/>
      <c r="O4" s="535"/>
      <c r="P4" s="1209"/>
      <c r="Q4" s="1210"/>
      <c r="S4" s="536"/>
      <c r="T4" s="1199"/>
      <c r="U4" s="1199"/>
    </row>
    <row r="5" spans="1:21" s="527" customFormat="1">
      <c r="A5" s="537" t="s">
        <v>239</v>
      </c>
      <c r="B5" s="534">
        <f>IF(ISERROR(kWh_waterkracht),0,kWh_waterkracht)</f>
        <v>0</v>
      </c>
      <c r="C5" s="1244"/>
      <c r="D5" s="1229"/>
      <c r="E5" s="1229"/>
      <c r="F5" s="1247"/>
      <c r="G5" s="1250"/>
      <c r="H5" s="1241"/>
      <c r="I5" s="1229"/>
      <c r="J5" s="1229"/>
      <c r="K5" s="1229"/>
      <c r="L5" s="1229"/>
      <c r="M5" s="1229"/>
      <c r="N5" s="907"/>
      <c r="O5" s="538"/>
      <c r="P5" s="1211"/>
      <c r="Q5" s="1212"/>
      <c r="S5" s="536"/>
      <c r="T5" s="1199"/>
      <c r="U5" s="1199"/>
    </row>
    <row r="6" spans="1:21" s="527" customFormat="1">
      <c r="A6" s="537" t="s">
        <v>240</v>
      </c>
      <c r="B6" s="534">
        <f>IF(ISERROR((kWh_PV_kleiner_dan_10kW+kWh_PV_groter_dan_10kW)),0,(kWh_PV_kleiner_dan_10kW+kWh_PV_groter_dan_10kW))</f>
        <v>6336.7573690074896</v>
      </c>
      <c r="C6" s="1244"/>
      <c r="D6" s="1229"/>
      <c r="E6" s="1229"/>
      <c r="F6" s="1247"/>
      <c r="G6" s="1250"/>
      <c r="H6" s="1241"/>
      <c r="I6" s="1229"/>
      <c r="J6" s="1229"/>
      <c r="K6" s="1229"/>
      <c r="L6" s="1229"/>
      <c r="M6" s="1229"/>
      <c r="N6" s="907"/>
      <c r="O6" s="538"/>
      <c r="P6" s="1211"/>
      <c r="Q6" s="1212"/>
      <c r="S6" s="536"/>
      <c r="T6" s="1199"/>
      <c r="U6" s="1199"/>
    </row>
    <row r="7" spans="1:21" s="527" customFormat="1">
      <c r="A7" s="537" t="s">
        <v>668</v>
      </c>
      <c r="B7" s="534"/>
      <c r="C7" s="1245"/>
      <c r="D7" s="1230"/>
      <c r="E7" s="1230"/>
      <c r="F7" s="1248"/>
      <c r="G7" s="1251"/>
      <c r="H7" s="1242"/>
      <c r="I7" s="1230"/>
      <c r="J7" s="1230"/>
      <c r="K7" s="1230"/>
      <c r="L7" s="1230"/>
      <c r="M7" s="1230"/>
      <c r="N7" s="908"/>
      <c r="O7" s="538"/>
      <c r="P7" s="892"/>
      <c r="Q7" s="893"/>
      <c r="S7" s="891"/>
      <c r="T7" s="891"/>
      <c r="U7" s="891"/>
    </row>
    <row r="8" spans="1:21" s="527" customFormat="1">
      <c r="A8" s="539" t="s">
        <v>241</v>
      </c>
      <c r="B8" s="540">
        <f>N29</f>
        <v>8.5</v>
      </c>
      <c r="C8" s="541">
        <f>B48</f>
        <v>9.4444444444444429</v>
      </c>
      <c r="D8" s="542"/>
      <c r="E8" s="542">
        <f>E48</f>
        <v>0</v>
      </c>
      <c r="F8" s="543"/>
      <c r="G8" s="544"/>
      <c r="H8" s="542">
        <f>I48</f>
        <v>0</v>
      </c>
      <c r="I8" s="542">
        <f>G48+F48</f>
        <v>0</v>
      </c>
      <c r="J8" s="542">
        <f>H48+D48+C48</f>
        <v>0</v>
      </c>
      <c r="K8" s="542"/>
      <c r="L8" s="542"/>
      <c r="M8" s="542"/>
      <c r="N8" s="545"/>
      <c r="O8" s="546">
        <f>C8*$C$12+D8*$D$12+E8*$E$12+F8*$F$12+G8*$G$12+H8*$H$12+I8*$I$12+J8*$J$12</f>
        <v>1.9077777777777776</v>
      </c>
      <c r="P8" s="1211"/>
      <c r="Q8" s="1212"/>
      <c r="S8" s="536"/>
      <c r="T8" s="1199"/>
      <c r="U8" s="1199"/>
    </row>
    <row r="9" spans="1:21" s="527" customFormat="1" ht="17.45" customHeight="1" thickBot="1">
      <c r="A9" s="547" t="s">
        <v>237</v>
      </c>
      <c r="B9" s="548">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16"/>
      <c r="O9" s="546">
        <f>C9*$C$12+D9*$D$12+E9*$E$12+F9*$F$12+G9*$G$12+H9*$H$12+I9*$I$12+J9*$J$12</f>
        <v>0</v>
      </c>
      <c r="P9" s="1213"/>
      <c r="Q9" s="1214"/>
      <c r="R9" s="553"/>
      <c r="S9" s="536"/>
      <c r="T9" s="1199"/>
      <c r="U9" s="1199"/>
    </row>
    <row r="10" spans="1:21" s="527" customFormat="1" ht="16.5" thickTop="1" thickBot="1">
      <c r="A10" s="554" t="s">
        <v>109</v>
      </c>
      <c r="B10" s="555">
        <f>SUM(B4:B9)</f>
        <v>6345.2573690074896</v>
      </c>
      <c r="C10" s="556">
        <f t="shared" ref="C10:L10" si="0">SUM(C8:C9)</f>
        <v>9.4444444444444429</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17"/>
      <c r="N10" s="917"/>
      <c r="O10" s="557">
        <f>SUM(O4:O9)</f>
        <v>1.9077777777777776</v>
      </c>
      <c r="P10" s="558"/>
      <c r="R10" s="559"/>
      <c r="S10" s="536"/>
      <c r="T10" s="559"/>
      <c r="U10" s="559"/>
    </row>
    <row r="11" spans="1:21" s="562" customFormat="1" ht="15.75" thickTop="1">
      <c r="A11" s="560"/>
      <c r="B11" s="561"/>
      <c r="C11" s="561"/>
      <c r="D11" s="561"/>
      <c r="E11" s="561"/>
      <c r="F11" s="561"/>
      <c r="G11" s="561"/>
      <c r="H11" s="561"/>
      <c r="I11" s="561"/>
      <c r="J11" s="561"/>
      <c r="K11" s="561"/>
      <c r="L11" s="561"/>
      <c r="M11" s="561"/>
      <c r="N11" s="561"/>
      <c r="P11" s="561"/>
      <c r="R11" s="561"/>
    </row>
    <row r="12" spans="1:21" s="562" customFormat="1">
      <c r="A12" s="563" t="s">
        <v>279</v>
      </c>
      <c r="B12" s="564"/>
      <c r="C12" s="564">
        <f>EF_CO2_aardgas</f>
        <v>0.20200000000000001</v>
      </c>
      <c r="D12" s="564">
        <f>EF_VLgas_CO2</f>
        <v>0.22700000000000001</v>
      </c>
      <c r="E12" s="564">
        <f>EF_stookolie_CO2</f>
        <v>0.26700000000000002</v>
      </c>
      <c r="F12" s="564">
        <f>EF_bruinkool_CO2</f>
        <v>0.35099999999999998</v>
      </c>
      <c r="G12" s="564">
        <f>EF_steenkool_CO2</f>
        <v>0.35399999999999998</v>
      </c>
      <c r="H12" s="564">
        <f>'EF brandstof'!M4</f>
        <v>0.33</v>
      </c>
      <c r="I12" s="564">
        <f>'EF brandstof'!J4</f>
        <v>0</v>
      </c>
      <c r="J12" s="564">
        <f>'EF brandstof'!L4</f>
        <v>0</v>
      </c>
      <c r="K12" s="564">
        <f>'EF brandstof'!L4</f>
        <v>0</v>
      </c>
      <c r="L12" s="564"/>
      <c r="M12" s="564"/>
      <c r="N12" s="564"/>
      <c r="P12" s="565"/>
      <c r="Q12" s="565"/>
      <c r="R12" s="565"/>
    </row>
    <row r="13" spans="1:21" s="527" customFormat="1" ht="15.75" thickBot="1">
      <c r="A13" s="566"/>
      <c r="B13" s="565"/>
      <c r="C13" s="565"/>
      <c r="D13" s="565"/>
      <c r="E13" s="565"/>
      <c r="F13" s="565"/>
      <c r="G13" s="565"/>
      <c r="H13" s="565"/>
      <c r="I13" s="565"/>
      <c r="J13" s="565"/>
      <c r="K13" s="565"/>
      <c r="L13" s="565"/>
      <c r="M13" s="565"/>
      <c r="N13" s="565"/>
      <c r="O13" s="565"/>
      <c r="P13" s="565"/>
      <c r="Q13" s="565"/>
      <c r="R13" s="565"/>
    </row>
    <row r="14" spans="1:21" s="527" customFormat="1" ht="17.25" thickTop="1" thickBot="1">
      <c r="A14" s="1215" t="s">
        <v>242</v>
      </c>
      <c r="B14" s="1215" t="s">
        <v>243</v>
      </c>
      <c r="C14" s="1223" t="s">
        <v>244</v>
      </c>
      <c r="D14" s="1224"/>
      <c r="E14" s="1224"/>
      <c r="F14" s="1224"/>
      <c r="G14" s="1224"/>
      <c r="H14" s="1224"/>
      <c r="I14" s="1224"/>
      <c r="J14" s="1224"/>
      <c r="K14" s="1224"/>
      <c r="L14" s="1224"/>
      <c r="M14" s="1224"/>
      <c r="N14" s="1225"/>
      <c r="O14" s="1204" t="s">
        <v>233</v>
      </c>
      <c r="P14" s="1203" t="s">
        <v>245</v>
      </c>
      <c r="Q14" s="1204"/>
      <c r="R14" s="1202"/>
      <c r="S14" s="1202"/>
      <c r="T14" s="1202"/>
    </row>
    <row r="15" spans="1:21" s="527" customFormat="1" ht="15.75" customHeight="1" thickBot="1">
      <c r="A15" s="1216"/>
      <c r="B15" s="1216"/>
      <c r="C15" s="1218" t="s">
        <v>190</v>
      </c>
      <c r="D15" s="1219"/>
      <c r="E15" s="1219"/>
      <c r="F15" s="1219"/>
      <c r="G15" s="1220"/>
      <c r="H15" s="1221" t="s">
        <v>234</v>
      </c>
      <c r="I15" s="1221" t="s">
        <v>235</v>
      </c>
      <c r="J15" s="1221" t="s">
        <v>223</v>
      </c>
      <c r="K15" s="1221" t="s">
        <v>246</v>
      </c>
      <c r="L15" s="1221" t="s">
        <v>120</v>
      </c>
      <c r="M15" s="1221" t="s">
        <v>670</v>
      </c>
      <c r="N15" s="1226" t="s">
        <v>671</v>
      </c>
      <c r="O15" s="1206"/>
      <c r="P15" s="1205"/>
      <c r="Q15" s="1206"/>
      <c r="R15" s="1202"/>
      <c r="S15" s="1202"/>
      <c r="T15" s="1202"/>
    </row>
    <row r="16" spans="1:21" s="527" customFormat="1" ht="40.700000000000003" customHeight="1" thickBot="1">
      <c r="A16" s="1217"/>
      <c r="B16" s="1217"/>
      <c r="C16" s="567" t="s">
        <v>192</v>
      </c>
      <c r="D16" s="529" t="s">
        <v>193</v>
      </c>
      <c r="E16" s="568" t="s">
        <v>194</v>
      </c>
      <c r="F16" s="529" t="s">
        <v>196</v>
      </c>
      <c r="G16" s="569" t="s">
        <v>197</v>
      </c>
      <c r="H16" s="1222"/>
      <c r="I16" s="1222"/>
      <c r="J16" s="1222"/>
      <c r="K16" s="1222"/>
      <c r="L16" s="1222"/>
      <c r="M16" s="1222"/>
      <c r="N16" s="1227"/>
      <c r="O16" s="1208"/>
      <c r="P16" s="1207"/>
      <c r="Q16" s="1208"/>
      <c r="R16" s="1202"/>
      <c r="S16" s="1202"/>
      <c r="T16" s="1202"/>
    </row>
    <row r="17" spans="1:27" s="527" customFormat="1" ht="15.75" thickTop="1">
      <c r="A17" s="570" t="s">
        <v>241</v>
      </c>
      <c r="B17" s="571">
        <f>O29</f>
        <v>12.175675675675675</v>
      </c>
      <c r="C17" s="572">
        <f>B49</f>
        <v>13.528528528528525</v>
      </c>
      <c r="D17" s="573"/>
      <c r="E17" s="573">
        <f>E49</f>
        <v>0</v>
      </c>
      <c r="F17" s="574"/>
      <c r="G17" s="575"/>
      <c r="H17" s="572">
        <f>I49</f>
        <v>0</v>
      </c>
      <c r="I17" s="573">
        <f>G49+F49</f>
        <v>0</v>
      </c>
      <c r="J17" s="573">
        <f>H49+D49+C49</f>
        <v>0</v>
      </c>
      <c r="K17" s="573"/>
      <c r="L17" s="573"/>
      <c r="M17" s="573"/>
      <c r="N17" s="918"/>
      <c r="O17" s="576">
        <f>C17*$C$22+E17*$E$22+H17*$H$22+I17*$I$22+J17*$J$22+D17*$D$22+F17*$F$22+G17*$G$22+K17*$K$22+L17*$L$22</f>
        <v>2.7327627627627624</v>
      </c>
      <c r="P17" s="1194"/>
      <c r="Q17" s="1195"/>
      <c r="R17" s="577"/>
      <c r="S17" s="1196"/>
      <c r="T17" s="1196"/>
    </row>
    <row r="18" spans="1:27" s="527" customFormat="1">
      <c r="A18" s="578" t="s">
        <v>247</v>
      </c>
      <c r="B18" s="579">
        <f>'Eigen informatie GS &amp; warmtenet'!B32</f>
        <v>0</v>
      </c>
      <c r="C18" s="542">
        <f>'Eigen informatie GS &amp; warmtenet'!B35</f>
        <v>0</v>
      </c>
      <c r="D18" s="542">
        <f>'Eigen informatie GS &amp; warmtenet'!B36</f>
        <v>0</v>
      </c>
      <c r="E18" s="542">
        <f>'Eigen informatie GS &amp; warmtenet'!B37</f>
        <v>0</v>
      </c>
      <c r="F18" s="542">
        <f>'Eigen informatie GS &amp; warmtenet'!B38</f>
        <v>0</v>
      </c>
      <c r="G18" s="542">
        <f>'Eigen informatie GS &amp; warmtenet'!B39</f>
        <v>0</v>
      </c>
      <c r="H18" s="542">
        <f>'Eigen informatie GS &amp; warmtenet'!B40</f>
        <v>0</v>
      </c>
      <c r="I18" s="542">
        <f>'Eigen informatie GS &amp; warmtenet'!B41</f>
        <v>0</v>
      </c>
      <c r="J18" s="542">
        <f>'Eigen informatie GS &amp; warmtenet'!B42</f>
        <v>0</v>
      </c>
      <c r="K18" s="542">
        <f>'Eigen informatie GS &amp; warmtenet'!B43</f>
        <v>0</v>
      </c>
      <c r="L18" s="542">
        <f>'Eigen informatie GS &amp; warmtenet'!B44</f>
        <v>0</v>
      </c>
      <c r="M18" s="542">
        <f>'Eigen informatie GS &amp; warmtenet'!B45</f>
        <v>0</v>
      </c>
      <c r="N18" s="542">
        <f>'Eigen informatie GS &amp; warmtenet'!B46</f>
        <v>0</v>
      </c>
      <c r="O18" s="576">
        <f>C18*$C$22+E18*$E$22+H18*$H$22+I18*$I$22+J18*$J$22+D18*$D$22+F18*$F$22+G18*$G$22+K18*$K$22+L18*$L$22</f>
        <v>0</v>
      </c>
      <c r="P18" s="1197"/>
      <c r="Q18" s="1198"/>
      <c r="R18" s="536"/>
      <c r="S18" s="1199"/>
      <c r="T18" s="1199"/>
    </row>
    <row r="19" spans="1:27" s="527" customFormat="1" ht="15.75" thickBot="1">
      <c r="A19" s="547" t="s">
        <v>237</v>
      </c>
      <c r="B19" s="579">
        <f>'Eigen informatie GS &amp; warmtenet'!B11</f>
        <v>0</v>
      </c>
      <c r="C19" s="58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8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8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8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8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8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8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8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8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2"/>
      <c r="N19" s="919"/>
      <c r="O19" s="576">
        <f>C19*$C$22+E19*$E$22+H19*$H$22+I19*$I$22+J19*$J$22+D19*$D$22+F19*$F$22+G19*$G$22+K19*$K$22+L19*$L$22</f>
        <v>0</v>
      </c>
      <c r="P19" s="1200"/>
      <c r="Q19" s="1201"/>
      <c r="R19" s="536"/>
      <c r="S19" s="1199"/>
      <c r="T19" s="1199"/>
    </row>
    <row r="20" spans="1:27" s="527" customFormat="1" ht="16.5" thickTop="1" thickBot="1">
      <c r="A20" s="554" t="s">
        <v>109</v>
      </c>
      <c r="B20" s="555">
        <f>SUM(B17:B19)</f>
        <v>12.175675675675675</v>
      </c>
      <c r="C20" s="555">
        <f>SUM(C17:C19)</f>
        <v>13.528528528528525</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81">
        <f>SUM(O17:O19)</f>
        <v>2.7327627627627624</v>
      </c>
      <c r="P20" s="1191"/>
      <c r="Q20" s="1192"/>
      <c r="R20" s="536"/>
      <c r="S20" s="1193"/>
      <c r="T20" s="1193"/>
    </row>
    <row r="21" spans="1:27" s="527" customFormat="1" ht="15.75" thickTop="1">
      <c r="A21" s="577"/>
      <c r="B21" s="536"/>
      <c r="C21" s="536"/>
      <c r="D21" s="536"/>
      <c r="E21" s="536"/>
      <c r="F21" s="536"/>
      <c r="G21" s="536"/>
      <c r="H21" s="536"/>
      <c r="I21" s="536"/>
      <c r="J21" s="536"/>
      <c r="K21" s="536"/>
      <c r="L21" s="536"/>
      <c r="M21" s="891"/>
      <c r="N21" s="891"/>
      <c r="O21" s="536"/>
      <c r="P21" s="559"/>
      <c r="Q21" s="559"/>
      <c r="R21" s="536"/>
      <c r="S21" s="559"/>
      <c r="T21" s="559"/>
    </row>
    <row r="22" spans="1:27" s="562" customFormat="1">
      <c r="A22" s="563" t="s">
        <v>279</v>
      </c>
      <c r="B22" s="564"/>
      <c r="C22" s="564">
        <f>EF_CO2_aardgas</f>
        <v>0.20200000000000001</v>
      </c>
      <c r="D22" s="564">
        <f>EF_VLgas_CO2</f>
        <v>0.22700000000000001</v>
      </c>
      <c r="E22" s="564">
        <f>EF_stookolie_CO2</f>
        <v>0.26700000000000002</v>
      </c>
      <c r="F22" s="564">
        <f>EF_bruinkool_CO2</f>
        <v>0.35099999999999998</v>
      </c>
      <c r="G22" s="564">
        <f>EF_steenkool_CO2</f>
        <v>0.35399999999999998</v>
      </c>
      <c r="H22" s="564">
        <f>'EF brandstof'!M4</f>
        <v>0.33</v>
      </c>
      <c r="I22" s="564">
        <f>'EF brandstof'!J4</f>
        <v>0</v>
      </c>
      <c r="J22" s="564">
        <f>'EF brandstof'!L4</f>
        <v>0</v>
      </c>
      <c r="K22" s="564">
        <f>'EF brandstof'!L4</f>
        <v>0</v>
      </c>
      <c r="L22" s="564"/>
      <c r="M22" s="564"/>
      <c r="N22" s="564"/>
      <c r="O22" s="565"/>
      <c r="P22" s="565"/>
      <c r="Q22" s="565"/>
      <c r="R22" s="565"/>
      <c r="S22" s="527"/>
    </row>
    <row r="23" spans="1:27" s="562" customFormat="1">
      <c r="A23" s="566"/>
      <c r="B23" s="565"/>
      <c r="C23" s="565"/>
      <c r="D23" s="565"/>
      <c r="E23" s="565"/>
      <c r="F23" s="565"/>
      <c r="G23" s="565"/>
      <c r="H23" s="565"/>
      <c r="I23" s="565"/>
      <c r="J23" s="565"/>
      <c r="K23" s="565"/>
      <c r="L23" s="565"/>
      <c r="M23" s="565"/>
      <c r="N23" s="565"/>
      <c r="O23" s="565"/>
      <c r="P23" s="565"/>
      <c r="Q23" s="565"/>
      <c r="R23" s="565"/>
      <c r="S23" s="527"/>
    </row>
    <row r="24" spans="1:27" s="562" customFormat="1">
      <c r="A24" s="566"/>
      <c r="B24" s="565"/>
      <c r="C24" s="565"/>
      <c r="D24" s="582"/>
      <c r="E24" s="582"/>
      <c r="F24" s="582"/>
      <c r="G24" s="565"/>
      <c r="H24" s="565"/>
      <c r="I24" s="565"/>
      <c r="J24" s="565"/>
      <c r="K24" s="565"/>
      <c r="L24" s="565"/>
      <c r="M24" s="565"/>
      <c r="N24" s="565"/>
      <c r="O24" s="565"/>
      <c r="P24" s="565"/>
      <c r="Q24" s="565"/>
      <c r="R24" s="565"/>
    </row>
    <row r="25" spans="1:27" s="562" customFormat="1">
      <c r="A25" s="566"/>
      <c r="B25" s="565"/>
      <c r="C25" s="565"/>
      <c r="D25" s="582"/>
      <c r="E25" s="582"/>
      <c r="F25" s="582"/>
      <c r="G25" s="565"/>
      <c r="H25" s="565"/>
      <c r="I25" s="565"/>
      <c r="J25" s="565"/>
      <c r="K25" s="565"/>
      <c r="L25" s="565"/>
      <c r="M25" s="565"/>
      <c r="N25" s="565"/>
      <c r="O25" s="565"/>
      <c r="P25" s="565"/>
      <c r="Q25" s="565"/>
      <c r="R25" s="565"/>
    </row>
    <row r="26" spans="1:27" s="527" customFormat="1" ht="15.75" thickBot="1">
      <c r="B26" s="582"/>
      <c r="C26" s="582"/>
      <c r="D26" s="582"/>
      <c r="E26" s="582"/>
      <c r="F26" s="582"/>
      <c r="G26" s="582"/>
      <c r="H26" s="582"/>
      <c r="I26" s="582"/>
      <c r="J26" s="582"/>
      <c r="K26" s="582"/>
      <c r="L26" s="582"/>
      <c r="M26" s="582"/>
      <c r="N26" s="582"/>
      <c r="O26" s="582"/>
      <c r="P26" s="582"/>
      <c r="Q26" s="583"/>
      <c r="R26" s="583"/>
    </row>
    <row r="27" spans="1:27" s="527" customFormat="1" ht="45">
      <c r="A27" s="584" t="s">
        <v>268</v>
      </c>
      <c r="B27" s="629" t="s">
        <v>89</v>
      </c>
      <c r="C27" s="629" t="s">
        <v>90</v>
      </c>
      <c r="D27" s="629"/>
      <c r="E27" s="629"/>
      <c r="F27" s="629"/>
      <c r="G27" s="629" t="s">
        <v>91</v>
      </c>
      <c r="H27" s="629" t="s">
        <v>92</v>
      </c>
      <c r="I27" s="629"/>
      <c r="J27" s="629"/>
      <c r="K27" s="629"/>
      <c r="L27" s="629" t="s">
        <v>93</v>
      </c>
      <c r="M27" s="630" t="s">
        <v>287</v>
      </c>
      <c r="N27" s="630" t="s">
        <v>94</v>
      </c>
      <c r="O27" s="630" t="s">
        <v>95</v>
      </c>
      <c r="P27" s="630" t="s">
        <v>509</v>
      </c>
      <c r="Q27" s="630" t="s">
        <v>96</v>
      </c>
      <c r="R27" s="630" t="s">
        <v>97</v>
      </c>
      <c r="S27" s="630" t="s">
        <v>98</v>
      </c>
      <c r="T27" s="630" t="s">
        <v>99</v>
      </c>
      <c r="U27" s="630" t="s">
        <v>100</v>
      </c>
      <c r="V27" s="630" t="s">
        <v>101</v>
      </c>
      <c r="W27" s="629" t="s">
        <v>102</v>
      </c>
      <c r="X27" s="629" t="s">
        <v>855</v>
      </c>
      <c r="Y27" s="629" t="s">
        <v>288</v>
      </c>
      <c r="Z27" s="629" t="s">
        <v>103</v>
      </c>
      <c r="AA27" s="631" t="s">
        <v>289</v>
      </c>
    </row>
    <row r="28" spans="1:27" s="586" customFormat="1" ht="12.75" hidden="1">
      <c r="A28" s="585"/>
      <c r="B28" s="747">
        <v>23050</v>
      </c>
      <c r="C28" s="747">
        <v>1860</v>
      </c>
      <c r="D28" s="633"/>
      <c r="E28" s="632"/>
      <c r="F28" s="632"/>
      <c r="G28" s="632" t="s">
        <v>856</v>
      </c>
      <c r="H28" s="632" t="s">
        <v>856</v>
      </c>
      <c r="I28" s="632"/>
      <c r="J28" s="746"/>
      <c r="K28" s="746"/>
      <c r="L28" s="632" t="s">
        <v>857</v>
      </c>
      <c r="M28" s="632">
        <v>1.7</v>
      </c>
      <c r="N28" s="632">
        <v>8.5</v>
      </c>
      <c r="O28" s="632">
        <v>12.175675675675675</v>
      </c>
      <c r="P28" s="632">
        <v>22.972972972972972</v>
      </c>
      <c r="Q28" s="632">
        <v>0</v>
      </c>
      <c r="R28" s="632">
        <v>0</v>
      </c>
      <c r="S28" s="632">
        <v>0</v>
      </c>
      <c r="T28" s="632">
        <v>0</v>
      </c>
      <c r="U28" s="632">
        <v>0</v>
      </c>
      <c r="V28" s="632">
        <v>0</v>
      </c>
      <c r="W28" s="632">
        <v>0</v>
      </c>
      <c r="X28" s="632"/>
      <c r="Y28" s="632">
        <v>16000</v>
      </c>
      <c r="Z28" s="632" t="s">
        <v>32</v>
      </c>
      <c r="AA28" s="634" t="s">
        <v>373</v>
      </c>
    </row>
    <row r="29" spans="1:27" s="566" customFormat="1" hidden="1">
      <c r="A29" s="588" t="s">
        <v>269</v>
      </c>
      <c r="B29" s="589"/>
      <c r="C29" s="589"/>
      <c r="D29" s="589"/>
      <c r="E29" s="589"/>
      <c r="F29" s="589"/>
      <c r="G29" s="589"/>
      <c r="H29" s="589"/>
      <c r="I29" s="589"/>
      <c r="J29" s="589"/>
      <c r="K29" s="589"/>
      <c r="L29" s="590"/>
      <c r="M29" s="590">
        <f>SUM(M28:M28)</f>
        <v>1.7</v>
      </c>
      <c r="N29" s="590">
        <f>SUM(N28:N28)</f>
        <v>8.5</v>
      </c>
      <c r="O29" s="590">
        <f>SUM(O28:O28)</f>
        <v>12.175675675675675</v>
      </c>
      <c r="P29" s="590">
        <f>SUM(P28:P28)</f>
        <v>22.972972972972972</v>
      </c>
      <c r="Q29" s="590">
        <f>SUM(Q28:Q28)</f>
        <v>0</v>
      </c>
      <c r="R29" s="590">
        <f>SUM(R28:R28)</f>
        <v>0</v>
      </c>
      <c r="S29" s="590">
        <f>SUM(S28:S28)</f>
        <v>0</v>
      </c>
      <c r="T29" s="590">
        <f>SUM(T28:T28)</f>
        <v>0</v>
      </c>
      <c r="U29" s="590">
        <f>SUM(U28:U28)</f>
        <v>0</v>
      </c>
      <c r="V29" s="590">
        <f>SUM(V28:V28)</f>
        <v>0</v>
      </c>
      <c r="W29" s="590">
        <f>SUM(W28:W28)</f>
        <v>0</v>
      </c>
      <c r="X29" s="590"/>
      <c r="Y29" s="591"/>
      <c r="Z29" s="591"/>
      <c r="AA29" s="592"/>
    </row>
    <row r="30" spans="1:27" s="566" customFormat="1">
      <c r="A30" s="588" t="s">
        <v>276</v>
      </c>
      <c r="B30" s="589"/>
      <c r="C30" s="589"/>
      <c r="D30" s="589"/>
      <c r="E30" s="589"/>
      <c r="F30" s="589"/>
      <c r="G30" s="589"/>
      <c r="H30" s="589"/>
      <c r="I30" s="589"/>
      <c r="J30" s="589"/>
      <c r="K30" s="589"/>
      <c r="L30" s="590"/>
      <c r="M30" s="590">
        <f>SUMIF($AA$28:$AA$28,"industrie",M28:M28)</f>
        <v>1.7</v>
      </c>
      <c r="N30" s="590">
        <f>SUMIF($AA$28:$AA$28,"industrie",N28:N28)</f>
        <v>8.5</v>
      </c>
      <c r="O30" s="590">
        <f>SUMIF($AA$28:$AA$28,"industrie",O28:O28)</f>
        <v>12.175675675675675</v>
      </c>
      <c r="P30" s="590">
        <f>SUMIF($AA$28:$AA$28,"industrie",P28:P28)</f>
        <v>22.972972972972972</v>
      </c>
      <c r="Q30" s="590">
        <f>SUMIF($AA$28:$AA$28,"industrie",Q28:Q28)</f>
        <v>0</v>
      </c>
      <c r="R30" s="590">
        <f>SUMIF($AA$28:$AA$28,"industrie",R28:R28)</f>
        <v>0</v>
      </c>
      <c r="S30" s="590">
        <f>SUMIF($AA$28:$AA$28,"industrie",S28:S28)</f>
        <v>0</v>
      </c>
      <c r="T30" s="590">
        <f>SUMIF($AA$28:$AA$28,"industrie",T28:T28)</f>
        <v>0</v>
      </c>
      <c r="U30" s="590">
        <f>SUMIF($AA$28:$AA$28,"industrie",U28:U28)</f>
        <v>0</v>
      </c>
      <c r="V30" s="590">
        <f>SUMIF($AA$28:$AA$28,"industrie",V28:V28)</f>
        <v>0</v>
      </c>
      <c r="W30" s="590">
        <f>SUMIF($AA$28:$AA$28,"industrie",W28:W28)</f>
        <v>0</v>
      </c>
      <c r="X30" s="590"/>
      <c r="Y30" s="591"/>
      <c r="Z30" s="591"/>
      <c r="AA30" s="592"/>
    </row>
    <row r="31" spans="1:27" s="566" customFormat="1">
      <c r="A31" s="588" t="s">
        <v>277</v>
      </c>
      <c r="B31" s="589"/>
      <c r="C31" s="589"/>
      <c r="D31" s="589"/>
      <c r="E31" s="589"/>
      <c r="F31" s="589"/>
      <c r="G31" s="589"/>
      <c r="H31" s="589"/>
      <c r="I31" s="589"/>
      <c r="J31" s="589"/>
      <c r="K31" s="589"/>
      <c r="L31" s="590"/>
      <c r="M31" s="590">
        <f ca="1">SUMIF($AA$28:AD28,"tertiair",M28:M28)</f>
        <v>0</v>
      </c>
      <c r="N31" s="590">
        <f ca="1">SUMIF($AA$28:AE28,"tertiair",N28:N28)</f>
        <v>0</v>
      </c>
      <c r="O31" s="590">
        <f ca="1">SUMIF($AA$28:AF28,"tertiair",O28:O28)</f>
        <v>0</v>
      </c>
      <c r="P31" s="590">
        <f ca="1">SUMIF($AA$28:AG28,"tertiair",P28:P28)</f>
        <v>0</v>
      </c>
      <c r="Q31" s="590">
        <f ca="1">SUMIF($AA$28:AH28,"tertiair",Q28:Q28)</f>
        <v>0</v>
      </c>
      <c r="R31" s="590">
        <f ca="1">SUMIF($AA$28:AI28,"tertiair",R28:R28)</f>
        <v>0</v>
      </c>
      <c r="S31" s="590">
        <f ca="1">SUMIF($AA$28:AJ28,"tertiair",S28:S28)</f>
        <v>0</v>
      </c>
      <c r="T31" s="590">
        <f ca="1">SUMIF($AA$28:AK28,"tertiair",T28:T28)</f>
        <v>0</v>
      </c>
      <c r="U31" s="590">
        <f ca="1">SUMIF($AA$28:AL28,"tertiair",U28:U28)</f>
        <v>0</v>
      </c>
      <c r="V31" s="590">
        <f ca="1">SUMIF($AA$28:AM28,"tertiair",V28:V28)</f>
        <v>0</v>
      </c>
      <c r="W31" s="590">
        <f ca="1">SUMIF($AA$28:AN28,"tertiair",W28:W28)</f>
        <v>0</v>
      </c>
      <c r="X31" s="590"/>
      <c r="Y31" s="591"/>
      <c r="Z31" s="591"/>
      <c r="AA31" s="592"/>
    </row>
    <row r="32" spans="1:27" s="566" customFormat="1" ht="15.75" thickBot="1">
      <c r="A32" s="593" t="s">
        <v>278</v>
      </c>
      <c r="B32" s="594"/>
      <c r="C32" s="594"/>
      <c r="D32" s="594"/>
      <c r="E32" s="594"/>
      <c r="F32" s="594"/>
      <c r="G32" s="594"/>
      <c r="H32" s="594"/>
      <c r="I32" s="594"/>
      <c r="J32" s="594"/>
      <c r="K32" s="594"/>
      <c r="L32" s="595"/>
      <c r="M32" s="595">
        <f>SUMIF($AA$28:$AA$28,"landbouw",M28:M28)</f>
        <v>0</v>
      </c>
      <c r="N32" s="595">
        <f>SUMIF($AA$28:$AA$28,"landbouw",N28:N28)</f>
        <v>0</v>
      </c>
      <c r="O32" s="595">
        <f>SUMIF($AA$28:$AA$28,"landbouw",O28:O28)</f>
        <v>0</v>
      </c>
      <c r="P32" s="595">
        <f>SUMIF($AA$28:$AA$28,"landbouw",P28:P28)</f>
        <v>0</v>
      </c>
      <c r="Q32" s="595">
        <f>SUMIF($AA$28:$AA$28,"landbouw",Q28:Q28)</f>
        <v>0</v>
      </c>
      <c r="R32" s="595">
        <f>SUMIF($AA$28:$AA$28,"landbouw",R28:R28)</f>
        <v>0</v>
      </c>
      <c r="S32" s="595">
        <f>SUMIF($AA$28:$AA$28,"landbouw",S28:S28)</f>
        <v>0</v>
      </c>
      <c r="T32" s="595">
        <f>SUMIF($AA$28:$AA$28,"landbouw",T28:T28)</f>
        <v>0</v>
      </c>
      <c r="U32" s="595">
        <f>SUMIF($AA$28:$AA$28,"landbouw",U28:U28)</f>
        <v>0</v>
      </c>
      <c r="V32" s="595">
        <f>SUMIF($AA$28:$AA$28,"landbouw",V28:V28)</f>
        <v>0</v>
      </c>
      <c r="W32" s="595">
        <f>SUMIF($AA$28:$AA$28,"landbouw",W28:W28)</f>
        <v>0</v>
      </c>
      <c r="X32" s="595"/>
      <c r="Y32" s="596"/>
      <c r="Z32" s="596"/>
      <c r="AA32" s="597"/>
    </row>
    <row r="33" spans="1:28" s="527" customFormat="1" ht="15.75" thickBot="1">
      <c r="A33" s="598"/>
      <c r="B33" s="599"/>
      <c r="C33" s="599"/>
      <c r="D33" s="599"/>
      <c r="E33" s="599"/>
      <c r="F33" s="599"/>
      <c r="G33" s="599"/>
      <c r="H33" s="599"/>
      <c r="I33" s="599"/>
      <c r="J33" s="599"/>
      <c r="K33" s="599"/>
      <c r="L33" s="582"/>
      <c r="M33" s="582"/>
      <c r="N33" s="582"/>
      <c r="O33" s="583"/>
      <c r="P33" s="583"/>
    </row>
    <row r="34" spans="1:28" s="527" customFormat="1" ht="45">
      <c r="A34" s="600" t="s">
        <v>270</v>
      </c>
      <c r="B34" s="629" t="s">
        <v>89</v>
      </c>
      <c r="C34" s="629" t="s">
        <v>90</v>
      </c>
      <c r="D34" s="629"/>
      <c r="E34" s="629"/>
      <c r="F34" s="629"/>
      <c r="G34" s="629" t="s">
        <v>91</v>
      </c>
      <c r="H34" s="629" t="s">
        <v>92</v>
      </c>
      <c r="I34" s="629"/>
      <c r="J34" s="629"/>
      <c r="K34" s="629"/>
      <c r="L34" s="629" t="s">
        <v>93</v>
      </c>
      <c r="M34" s="630" t="s">
        <v>287</v>
      </c>
      <c r="N34" s="630" t="s">
        <v>94</v>
      </c>
      <c r="O34" s="630" t="s">
        <v>95</v>
      </c>
      <c r="P34" s="630" t="s">
        <v>509</v>
      </c>
      <c r="Q34" s="630" t="s">
        <v>96</v>
      </c>
      <c r="R34" s="630" t="s">
        <v>97</v>
      </c>
      <c r="S34" s="630" t="s">
        <v>98</v>
      </c>
      <c r="T34" s="630" t="s">
        <v>99</v>
      </c>
      <c r="U34" s="630" t="s">
        <v>100</v>
      </c>
      <c r="V34" s="630" t="s">
        <v>101</v>
      </c>
      <c r="W34" s="629" t="s">
        <v>102</v>
      </c>
      <c r="X34" s="629" t="s">
        <v>855</v>
      </c>
      <c r="Y34" s="629" t="s">
        <v>288</v>
      </c>
      <c r="Z34" s="629" t="s">
        <v>103</v>
      </c>
      <c r="AA34" s="631" t="s">
        <v>289</v>
      </c>
    </row>
    <row r="35" spans="1:28" s="601" customFormat="1" ht="12.75" hidden="1">
      <c r="A35" s="587"/>
      <c r="B35" s="747"/>
      <c r="C35" s="747"/>
      <c r="D35" s="635"/>
      <c r="E35" s="635"/>
      <c r="F35" s="635"/>
      <c r="G35" s="635"/>
      <c r="H35" s="635"/>
      <c r="I35" s="635"/>
      <c r="J35" s="746"/>
      <c r="K35" s="746"/>
      <c r="L35" s="635"/>
      <c r="M35" s="635"/>
      <c r="N35" s="635"/>
      <c r="O35" s="635"/>
      <c r="P35" s="635"/>
      <c r="Q35" s="635"/>
      <c r="R35" s="635"/>
      <c r="S35" s="635"/>
      <c r="T35" s="635"/>
      <c r="U35" s="635"/>
      <c r="V35" s="635"/>
      <c r="W35" s="635"/>
      <c r="X35" s="635"/>
      <c r="Y35" s="635"/>
      <c r="Z35" s="635"/>
      <c r="AA35" s="636"/>
    </row>
    <row r="36" spans="1:28" s="566" customFormat="1" hidden="1">
      <c r="A36" s="588" t="s">
        <v>269</v>
      </c>
      <c r="B36" s="589"/>
      <c r="C36" s="589"/>
      <c r="D36" s="589"/>
      <c r="E36" s="589"/>
      <c r="F36" s="589"/>
      <c r="G36" s="589"/>
      <c r="H36" s="589"/>
      <c r="I36" s="589"/>
      <c r="J36" s="589"/>
      <c r="K36" s="589"/>
      <c r="L36" s="590"/>
      <c r="M36" s="590">
        <f>SUM(M35:M35)</f>
        <v>0</v>
      </c>
      <c r="N36" s="590">
        <f>SUM(N35:N35)</f>
        <v>0</v>
      </c>
      <c r="O36" s="590">
        <f>SUM(O35:O35)</f>
        <v>0</v>
      </c>
      <c r="P36" s="590">
        <f>SUM(P35:P35)</f>
        <v>0</v>
      </c>
      <c r="Q36" s="590">
        <f>SUM(Q35:Q35)</f>
        <v>0</v>
      </c>
      <c r="R36" s="590">
        <f>SUM(R35:R35)</f>
        <v>0</v>
      </c>
      <c r="S36" s="590">
        <f>SUM(S35:S35)</f>
        <v>0</v>
      </c>
      <c r="T36" s="590">
        <f>SUM(T35:T35)</f>
        <v>0</v>
      </c>
      <c r="U36" s="590">
        <f>SUM(U35:U35)</f>
        <v>0</v>
      </c>
      <c r="V36" s="590">
        <f>SUM(V35:V35)</f>
        <v>0</v>
      </c>
      <c r="W36" s="590">
        <f>SUM(W35:W35)</f>
        <v>0</v>
      </c>
      <c r="X36" s="590"/>
      <c r="Y36" s="591"/>
      <c r="Z36" s="591"/>
      <c r="AA36" s="592"/>
    </row>
    <row r="37" spans="1:28" s="566" customFormat="1">
      <c r="A37" s="588" t="s">
        <v>276</v>
      </c>
      <c r="B37" s="589"/>
      <c r="C37" s="589"/>
      <c r="D37" s="589"/>
      <c r="E37" s="589"/>
      <c r="F37" s="589"/>
      <c r="G37" s="589"/>
      <c r="H37" s="589"/>
      <c r="I37" s="589"/>
      <c r="J37" s="589"/>
      <c r="K37" s="589"/>
      <c r="L37" s="590"/>
      <c r="M37" s="590">
        <f>SUMIF($AA$35:$AA$35,"industrie",M35:M35)</f>
        <v>0</v>
      </c>
      <c r="N37" s="590">
        <f>SUMIF($AA$35:$AA$35,"industrie",N35:N35)</f>
        <v>0</v>
      </c>
      <c r="O37" s="590">
        <f>SUMIF($AA$35:$AA$35,"industrie",O35:O35)</f>
        <v>0</v>
      </c>
      <c r="P37" s="590">
        <f>SUMIF($AA$35:$AA$35,"industrie",P35:P35)</f>
        <v>0</v>
      </c>
      <c r="Q37" s="590">
        <f>SUMIF($AA$35:$AA$35,"industrie",Q35:Q35)</f>
        <v>0</v>
      </c>
      <c r="R37" s="590">
        <f>SUMIF($AA$35:$AA$35,"industrie",R35:R35)</f>
        <v>0</v>
      </c>
      <c r="S37" s="590">
        <f>SUMIF($AA$35:$AA$35,"industrie",S35:S35)</f>
        <v>0</v>
      </c>
      <c r="T37" s="590">
        <f>SUMIF($AA$35:$AA$35,"industrie",T35:T35)</f>
        <v>0</v>
      </c>
      <c r="U37" s="590">
        <f>SUMIF($AA$35:$AA$35,"industrie",U35:U35)</f>
        <v>0</v>
      </c>
      <c r="V37" s="590">
        <f>SUMIF($AA$35:$AA$35,"industrie",V35:V35)</f>
        <v>0</v>
      </c>
      <c r="W37" s="590">
        <f>SUMIF($AA$35:$AA$35,"industrie",W35:W35)</f>
        <v>0</v>
      </c>
      <c r="X37" s="590"/>
      <c r="Y37" s="591"/>
      <c r="Z37" s="591"/>
      <c r="AA37" s="592"/>
    </row>
    <row r="38" spans="1:28" s="566" customFormat="1">
      <c r="A38" s="588" t="s">
        <v>277</v>
      </c>
      <c r="B38" s="589"/>
      <c r="C38" s="589"/>
      <c r="D38" s="589"/>
      <c r="E38" s="589"/>
      <c r="F38" s="589"/>
      <c r="G38" s="589"/>
      <c r="H38" s="589"/>
      <c r="I38" s="589"/>
      <c r="J38" s="589"/>
      <c r="K38" s="589"/>
      <c r="L38" s="590"/>
      <c r="M38" s="590">
        <f>SUMIF($AA$35:$AA$36,"tertiair",M35:M36)</f>
        <v>0</v>
      </c>
      <c r="N38" s="590">
        <f>SUMIF($AA$35:$AA$36,"tertiair",N35:N36)</f>
        <v>0</v>
      </c>
      <c r="O38" s="590">
        <f>SUMIF($AA$35:$AA$36,"tertiair",O35:O36)</f>
        <v>0</v>
      </c>
      <c r="P38" s="590">
        <f>SUMIF($AA$35:$AA$36,"tertiair",P35:P36)</f>
        <v>0</v>
      </c>
      <c r="Q38" s="590">
        <f>SUMIF($AA$35:$AA$36,"tertiair",Q35:Q36)</f>
        <v>0</v>
      </c>
      <c r="R38" s="590">
        <f>SUMIF($AA$35:$AA$36,"tertiair",R35:R36)</f>
        <v>0</v>
      </c>
      <c r="S38" s="590">
        <f>SUMIF($AA$35:$AA$36,"tertiair",S35:S36)</f>
        <v>0</v>
      </c>
      <c r="T38" s="590">
        <f>SUMIF($AA$35:$AA$36,"tertiair",T35:T36)</f>
        <v>0</v>
      </c>
      <c r="U38" s="590">
        <f>SUMIF($AA$35:$AA$36,"tertiair",U35:U36)</f>
        <v>0</v>
      </c>
      <c r="V38" s="590">
        <f>SUMIF($AA$35:$AA$36,"tertiair",V35:V36)</f>
        <v>0</v>
      </c>
      <c r="W38" s="590">
        <f>SUMIF($AA$35:$AA$36,"tertiair",W35:W36)</f>
        <v>0</v>
      </c>
      <c r="X38" s="590"/>
      <c r="Y38" s="591"/>
      <c r="Z38" s="591"/>
      <c r="AA38" s="592"/>
    </row>
    <row r="39" spans="1:28" s="566" customFormat="1" ht="15.75" thickBot="1">
      <c r="A39" s="593" t="s">
        <v>278</v>
      </c>
      <c r="B39" s="594"/>
      <c r="C39" s="594"/>
      <c r="D39" s="594"/>
      <c r="E39" s="594"/>
      <c r="F39" s="594"/>
      <c r="G39" s="594"/>
      <c r="H39" s="594"/>
      <c r="I39" s="594"/>
      <c r="J39" s="594"/>
      <c r="K39" s="594"/>
      <c r="L39" s="595"/>
      <c r="M39" s="595">
        <f>SUMIF($AA$35:$AA$37,"landbouw",M35:M37)</f>
        <v>0</v>
      </c>
      <c r="N39" s="595">
        <f>SUMIF($AA$35:$AA$37,"landbouw",N35:N37)</f>
        <v>0</v>
      </c>
      <c r="O39" s="595">
        <f>SUMIF($AA$35:$AA$37,"landbouw",O35:O37)</f>
        <v>0</v>
      </c>
      <c r="P39" s="595">
        <f>SUMIF($AA$35:$AA$37,"landbouw",P35:P37)</f>
        <v>0</v>
      </c>
      <c r="Q39" s="595">
        <f>SUMIF($AA$35:$AA$37,"landbouw",Q35:Q37)</f>
        <v>0</v>
      </c>
      <c r="R39" s="595">
        <f>SUMIF($AA$35:$AA$37,"landbouw",R35:R37)</f>
        <v>0</v>
      </c>
      <c r="S39" s="595">
        <f>SUMIF($AA$35:$AA$37,"landbouw",S35:S37)</f>
        <v>0</v>
      </c>
      <c r="T39" s="595">
        <f>SUMIF($AA$35:$AA$37,"landbouw",T35:T37)</f>
        <v>0</v>
      </c>
      <c r="U39" s="595">
        <f>SUMIF($AA$35:$AA$37,"landbouw",U35:U37)</f>
        <v>0</v>
      </c>
      <c r="V39" s="595">
        <f>SUMIF($AA$35:$AA$37,"landbouw",V35:V37)</f>
        <v>0</v>
      </c>
      <c r="W39" s="595">
        <f>SUMIF($AA$35:$AA$37,"landbouw",W35:W37)</f>
        <v>0</v>
      </c>
      <c r="X39" s="595"/>
      <c r="Y39" s="596"/>
      <c r="Z39" s="596"/>
      <c r="AA39" s="597"/>
    </row>
    <row r="40" spans="1:28" s="602" customFormat="1">
      <c r="A40" s="598"/>
      <c r="B40" s="582"/>
      <c r="C40" s="582"/>
      <c r="D40" s="582"/>
      <c r="E40" s="582"/>
      <c r="F40" s="582"/>
      <c r="G40" s="582"/>
      <c r="H40" s="582"/>
      <c r="I40" s="582"/>
      <c r="J40" s="582"/>
      <c r="K40" s="582"/>
      <c r="L40" s="582"/>
      <c r="M40" s="582"/>
      <c r="N40" s="582"/>
      <c r="O40" s="582"/>
      <c r="P40" s="582"/>
      <c r="Q40" s="582"/>
      <c r="R40" s="582"/>
      <c r="S40" s="582"/>
      <c r="T40" s="582"/>
      <c r="U40" s="582"/>
      <c r="V40" s="582"/>
      <c r="W40" s="582"/>
      <c r="X40" s="582"/>
      <c r="Y40" s="582"/>
      <c r="Z40" s="582"/>
    </row>
    <row r="41" spans="1:28" s="602" customFormat="1" ht="15.75" thickBot="1">
      <c r="A41" s="598"/>
      <c r="B41" s="582"/>
      <c r="C41" s="582"/>
      <c r="D41" s="582"/>
      <c r="E41" s="582"/>
      <c r="F41" s="582"/>
      <c r="G41" s="582"/>
      <c r="H41" s="582"/>
      <c r="I41" s="582"/>
      <c r="J41" s="582"/>
      <c r="K41" s="582"/>
      <c r="L41" s="582"/>
      <c r="M41" s="582"/>
      <c r="N41" s="582"/>
      <c r="O41" s="582"/>
      <c r="P41" s="582"/>
      <c r="Q41" s="582"/>
      <c r="R41" s="582"/>
      <c r="S41" s="582"/>
      <c r="T41" s="582"/>
      <c r="U41" s="582"/>
      <c r="V41" s="582"/>
      <c r="W41" s="582"/>
      <c r="X41" s="582"/>
      <c r="Y41" s="582"/>
      <c r="Z41" s="582"/>
      <c r="AA41" s="582"/>
      <c r="AB41" s="582"/>
    </row>
    <row r="42" spans="1:28">
      <c r="A42" s="603" t="s">
        <v>271</v>
      </c>
      <c r="B42" s="604"/>
      <c r="C42" s="604"/>
      <c r="D42" s="604"/>
      <c r="E42" s="604"/>
      <c r="F42" s="604"/>
      <c r="G42" s="604"/>
      <c r="H42" s="604"/>
      <c r="I42" s="605"/>
      <c r="J42" s="606"/>
      <c r="K42" s="606"/>
      <c r="L42" s="607"/>
      <c r="M42" s="607"/>
      <c r="N42" s="607"/>
      <c r="O42" s="607"/>
      <c r="P42" s="607"/>
    </row>
    <row r="43" spans="1:28">
      <c r="A43" s="609"/>
      <c r="B43" s="599"/>
      <c r="C43" s="599"/>
      <c r="D43" s="599"/>
      <c r="E43" s="599"/>
      <c r="F43" s="599"/>
      <c r="G43" s="599"/>
      <c r="H43" s="599"/>
      <c r="I43" s="610"/>
      <c r="J43" s="599"/>
      <c r="K43" s="599"/>
      <c r="L43" s="607"/>
      <c r="M43" s="607"/>
      <c r="N43" s="607"/>
      <c r="O43" s="607"/>
      <c r="P43" s="607"/>
    </row>
    <row r="44" spans="1:28">
      <c r="A44" s="611"/>
      <c r="B44" s="612" t="s">
        <v>272</v>
      </c>
      <c r="C44" s="612" t="s">
        <v>273</v>
      </c>
      <c r="D44" s="612"/>
      <c r="E44" s="612"/>
      <c r="F44" s="612"/>
      <c r="G44" s="612"/>
      <c r="H44" s="612"/>
      <c r="I44" s="613"/>
      <c r="J44" s="612"/>
      <c r="K44" s="612"/>
      <c r="L44" s="612"/>
      <c r="M44" s="612"/>
      <c r="N44" s="612"/>
      <c r="O44" s="612"/>
      <c r="P44" s="607"/>
    </row>
    <row r="45" spans="1:28">
      <c r="A45" s="609" t="s">
        <v>269</v>
      </c>
      <c r="B45" s="614">
        <f>IF(ISERROR(O29/(O29+N29)),0,O29/(O29+N29))</f>
        <v>0.5888888888888888</v>
      </c>
      <c r="C45" s="615">
        <f>IF(ISERROR(N29/(O29+N29)),0,N29/(N29+O29))</f>
        <v>0.41111111111111109</v>
      </c>
      <c r="D45" s="582"/>
      <c r="E45" s="582"/>
      <c r="F45" s="582"/>
      <c r="G45" s="582"/>
      <c r="H45" s="582"/>
      <c r="I45" s="616"/>
      <c r="J45" s="582"/>
      <c r="K45" s="582"/>
      <c r="L45" s="617"/>
      <c r="M45" s="617"/>
      <c r="N45" s="617"/>
      <c r="O45" s="617"/>
      <c r="P45" s="607"/>
    </row>
    <row r="46" spans="1:28">
      <c r="A46" s="609"/>
      <c r="B46" s="618"/>
      <c r="C46" s="618"/>
      <c r="D46" s="618"/>
      <c r="E46" s="618"/>
      <c r="F46" s="618"/>
      <c r="G46" s="618"/>
      <c r="H46" s="618"/>
      <c r="I46" s="619"/>
      <c r="J46" s="618"/>
      <c r="K46" s="618"/>
      <c r="L46" s="620"/>
      <c r="M46" s="620"/>
      <c r="N46" s="620"/>
      <c r="O46" s="620"/>
      <c r="P46" s="607"/>
    </row>
    <row r="47" spans="1:28" ht="30">
      <c r="A47" s="621"/>
      <c r="B47" s="622" t="s">
        <v>509</v>
      </c>
      <c r="C47" s="622" t="s">
        <v>96</v>
      </c>
      <c r="D47" s="622" t="s">
        <v>97</v>
      </c>
      <c r="E47" s="622" t="s">
        <v>98</v>
      </c>
      <c r="F47" s="622" t="s">
        <v>99</v>
      </c>
      <c r="G47" s="622" t="s">
        <v>100</v>
      </c>
      <c r="H47" s="622" t="s">
        <v>101</v>
      </c>
      <c r="I47" s="623" t="s">
        <v>102</v>
      </c>
      <c r="J47" s="612"/>
      <c r="K47" s="612"/>
      <c r="L47" s="620"/>
      <c r="M47" s="620"/>
      <c r="N47" s="620"/>
      <c r="O47" s="607"/>
      <c r="P47" s="607"/>
    </row>
    <row r="48" spans="1:28">
      <c r="A48" s="611" t="s">
        <v>274</v>
      </c>
      <c r="B48" s="624">
        <f t="shared" ref="B48:I48" si="2">$C$45*P29</f>
        <v>9.4444444444444429</v>
      </c>
      <c r="C48" s="624">
        <f t="shared" si="2"/>
        <v>0</v>
      </c>
      <c r="D48" s="624">
        <f t="shared" si="2"/>
        <v>0</v>
      </c>
      <c r="E48" s="624">
        <f t="shared" si="2"/>
        <v>0</v>
      </c>
      <c r="F48" s="624">
        <f t="shared" si="2"/>
        <v>0</v>
      </c>
      <c r="G48" s="624">
        <f t="shared" si="2"/>
        <v>0</v>
      </c>
      <c r="H48" s="624">
        <f t="shared" si="2"/>
        <v>0</v>
      </c>
      <c r="I48" s="625">
        <f t="shared" si="2"/>
        <v>0</v>
      </c>
      <c r="J48" s="582"/>
      <c r="K48" s="582"/>
      <c r="L48" s="620"/>
      <c r="M48" s="620"/>
      <c r="N48" s="620"/>
      <c r="O48" s="607"/>
      <c r="P48" s="607"/>
    </row>
    <row r="49" spans="1:16" ht="15.75" thickBot="1">
      <c r="A49" s="626" t="s">
        <v>275</v>
      </c>
      <c r="B49" s="627">
        <f t="shared" ref="B49:I49" si="3">$B$45*P29</f>
        <v>13.528528528528525</v>
      </c>
      <c r="C49" s="627">
        <f t="shared" si="3"/>
        <v>0</v>
      </c>
      <c r="D49" s="627">
        <f t="shared" si="3"/>
        <v>0</v>
      </c>
      <c r="E49" s="627">
        <f t="shared" si="3"/>
        <v>0</v>
      </c>
      <c r="F49" s="627">
        <f t="shared" si="3"/>
        <v>0</v>
      </c>
      <c r="G49" s="627">
        <f t="shared" si="3"/>
        <v>0</v>
      </c>
      <c r="H49" s="627">
        <f t="shared" si="3"/>
        <v>0</v>
      </c>
      <c r="I49" s="628">
        <f t="shared" si="3"/>
        <v>0</v>
      </c>
      <c r="J49" s="582"/>
      <c r="K49" s="582"/>
      <c r="L49" s="620"/>
      <c r="M49" s="620"/>
      <c r="N49" s="620"/>
      <c r="O49" s="607"/>
      <c r="P49" s="607"/>
    </row>
    <row r="50" spans="1:16">
      <c r="J50" s="562"/>
      <c r="K50" s="562"/>
      <c r="L50" s="562"/>
      <c r="M50" s="562"/>
      <c r="N50" s="562"/>
    </row>
    <row r="51" spans="1:16">
      <c r="J51" s="562"/>
      <c r="K51" s="562"/>
      <c r="L51" s="562"/>
      <c r="M51" s="562"/>
      <c r="N51" s="562"/>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10" t="s">
        <v>210</v>
      </c>
      <c r="B2" s="1110"/>
      <c r="C2" s="1110"/>
      <c r="D2" s="59"/>
      <c r="E2" s="59"/>
      <c r="F2" s="59"/>
      <c r="G2" s="59"/>
      <c r="H2" s="60"/>
      <c r="I2" s="60"/>
      <c r="J2" s="61"/>
      <c r="K2" s="61"/>
      <c r="L2" s="60"/>
      <c r="M2" s="60"/>
      <c r="N2" s="60"/>
      <c r="O2" s="60"/>
      <c r="P2" s="60"/>
      <c r="Q2" s="60"/>
      <c r="R2" s="60"/>
    </row>
    <row r="3" spans="1:19">
      <c r="A3" s="1111"/>
      <c r="B3" s="1111"/>
      <c r="C3" s="1111"/>
      <c r="D3" s="1111"/>
      <c r="E3" s="1111"/>
      <c r="F3" s="1111"/>
      <c r="G3" s="1111"/>
      <c r="H3" s="1111"/>
      <c r="I3" s="1111"/>
      <c r="J3" s="1111"/>
      <c r="K3" s="1111"/>
      <c r="L3" s="1111"/>
      <c r="M3" s="1111"/>
      <c r="N3" s="1111"/>
      <c r="O3" s="1111"/>
      <c r="P3" s="1111"/>
      <c r="Q3" s="1111"/>
      <c r="R3" s="1111"/>
    </row>
    <row r="4" spans="1:19" ht="15.75" thickBot="1">
      <c r="A4" s="440"/>
      <c r="B4" s="440"/>
      <c r="C4" s="63"/>
      <c r="D4" s="63"/>
      <c r="E4" s="63"/>
      <c r="F4" s="63"/>
      <c r="G4" s="63"/>
      <c r="H4" s="63"/>
      <c r="I4" s="63"/>
      <c r="J4" s="63"/>
      <c r="K4" s="63"/>
      <c r="L4" s="63"/>
      <c r="M4" s="63"/>
      <c r="N4" s="63"/>
      <c r="O4" s="63"/>
      <c r="P4" s="63"/>
      <c r="Q4" s="63"/>
      <c r="R4" s="63"/>
    </row>
    <row r="5" spans="1:19" ht="16.5" thickBot="1">
      <c r="A5" s="1112" t="s">
        <v>211</v>
      </c>
      <c r="B5" s="754"/>
      <c r="C5" s="1115" t="s">
        <v>330</v>
      </c>
      <c r="D5" s="1116"/>
      <c r="E5" s="1116"/>
      <c r="F5" s="1116"/>
      <c r="G5" s="1116"/>
      <c r="H5" s="1116"/>
      <c r="I5" s="1116"/>
      <c r="J5" s="1116"/>
      <c r="K5" s="1116"/>
      <c r="L5" s="1116"/>
      <c r="M5" s="1116"/>
      <c r="N5" s="1116"/>
      <c r="O5" s="1116"/>
      <c r="P5" s="1116"/>
      <c r="Q5" s="1116"/>
      <c r="R5" s="1117"/>
    </row>
    <row r="6" spans="1:19" ht="16.5" thickTop="1">
      <c r="A6" s="1113"/>
      <c r="B6" s="755"/>
      <c r="C6" s="1118" t="s">
        <v>20</v>
      </c>
      <c r="D6" s="1120" t="s">
        <v>189</v>
      </c>
      <c r="E6" s="1122" t="s">
        <v>190</v>
      </c>
      <c r="F6" s="1123"/>
      <c r="G6" s="1123"/>
      <c r="H6" s="1123"/>
      <c r="I6" s="1123"/>
      <c r="J6" s="1123"/>
      <c r="K6" s="1123"/>
      <c r="L6" s="1124"/>
      <c r="M6" s="1122" t="s">
        <v>191</v>
      </c>
      <c r="N6" s="1123"/>
      <c r="O6" s="1123"/>
      <c r="P6" s="1123"/>
      <c r="Q6" s="1123"/>
      <c r="R6" s="1125" t="s">
        <v>109</v>
      </c>
    </row>
    <row r="7" spans="1:19" ht="45.75" thickBot="1">
      <c r="A7" s="1114"/>
      <c r="B7" s="756"/>
      <c r="C7" s="1119"/>
      <c r="D7" s="1121"/>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6"/>
    </row>
    <row r="8" spans="1:19" ht="18.75" customHeight="1" thickTop="1">
      <c r="A8" s="762" t="s">
        <v>331</v>
      </c>
      <c r="B8" s="767"/>
      <c r="C8" s="1127"/>
      <c r="D8" s="1127"/>
      <c r="E8" s="1127"/>
      <c r="F8" s="1127"/>
      <c r="G8" s="1127"/>
      <c r="H8" s="1127"/>
      <c r="I8" s="1127"/>
      <c r="J8" s="1127"/>
      <c r="K8" s="1127"/>
      <c r="L8" s="1127"/>
      <c r="M8" s="1127"/>
      <c r="N8" s="1127"/>
      <c r="O8" s="1127"/>
      <c r="P8" s="1127"/>
      <c r="Q8" s="1127"/>
      <c r="R8" s="300"/>
    </row>
    <row r="9" spans="1:19" s="441" customFormat="1">
      <c r="A9" s="763" t="s">
        <v>212</v>
      </c>
      <c r="B9" s="768"/>
      <c r="C9" s="643">
        <f>'Eigen gebouwen'!B15</f>
        <v>0</v>
      </c>
      <c r="D9" s="643">
        <f>'Eigen gebouwen'!C15</f>
        <v>0</v>
      </c>
      <c r="E9" s="643">
        <f>'Eigen gebouwen'!D15</f>
        <v>0</v>
      </c>
      <c r="F9" s="643">
        <f>'Eigen gebouwen'!E15</f>
        <v>0</v>
      </c>
      <c r="G9" s="643">
        <f>'Eigen gebouwen'!F15</f>
        <v>0</v>
      </c>
      <c r="H9" s="643">
        <f>'Eigen gebouwen'!G15</f>
        <v>0</v>
      </c>
      <c r="I9" s="643">
        <f>'Eigen gebouwen'!H15</f>
        <v>0</v>
      </c>
      <c r="J9" s="643">
        <f>'Eigen gebouwen'!I15</f>
        <v>0</v>
      </c>
      <c r="K9" s="643">
        <f>'Eigen gebouwen'!J15</f>
        <v>0</v>
      </c>
      <c r="L9" s="643">
        <f>'Eigen gebouwen'!K15</f>
        <v>0</v>
      </c>
      <c r="M9" s="643">
        <f>'Eigen gebouwen'!L15</f>
        <v>0</v>
      </c>
      <c r="N9" s="643">
        <f>'Eigen gebouwen'!M15</f>
        <v>0</v>
      </c>
      <c r="O9" s="643">
        <f>'Eigen gebouwen'!N15</f>
        <v>0</v>
      </c>
      <c r="P9" s="643">
        <f>'Eigen gebouwen'!O15</f>
        <v>0</v>
      </c>
      <c r="Q9" s="644">
        <f>'Eigen gebouwen'!P15</f>
        <v>0</v>
      </c>
      <c r="R9" s="645">
        <f>SUM(C9:Q9)</f>
        <v>0</v>
      </c>
      <c r="S9" s="67"/>
    </row>
    <row r="10" spans="1:19" s="441" customFormat="1">
      <c r="A10" s="764" t="s">
        <v>213</v>
      </c>
      <c r="B10" s="769"/>
      <c r="C10" s="643">
        <f ca="1">tertiair!B16+'openbare verlichting'!B8</f>
        <v>17290.296238602008</v>
      </c>
      <c r="D10" s="643">
        <f ca="1">tertiair!C16</f>
        <v>0</v>
      </c>
      <c r="E10" s="643">
        <f ca="1">tertiair!D16</f>
        <v>29275.473114496814</v>
      </c>
      <c r="F10" s="643">
        <f>tertiair!E16</f>
        <v>88.584052570177164</v>
      </c>
      <c r="G10" s="643">
        <f ca="1">tertiair!F16</f>
        <v>4643.3682471973389</v>
      </c>
      <c r="H10" s="643">
        <f>tertiair!G16</f>
        <v>0</v>
      </c>
      <c r="I10" s="643">
        <f>tertiair!H16</f>
        <v>0</v>
      </c>
      <c r="J10" s="643">
        <f>tertiair!I16</f>
        <v>0</v>
      </c>
      <c r="K10" s="643">
        <f>tertiair!J16</f>
        <v>3.9160466258302551E-2</v>
      </c>
      <c r="L10" s="643">
        <f>tertiair!K16</f>
        <v>0</v>
      </c>
      <c r="M10" s="643">
        <f ca="1">tertiair!L16</f>
        <v>0</v>
      </c>
      <c r="N10" s="643">
        <f>tertiair!M16</f>
        <v>0</v>
      </c>
      <c r="O10" s="643">
        <f ca="1">tertiair!N16</f>
        <v>1507.1798259193745</v>
      </c>
      <c r="P10" s="643">
        <f>tertiair!O16</f>
        <v>0</v>
      </c>
      <c r="Q10" s="644">
        <f>tertiair!P16</f>
        <v>52.539138306495019</v>
      </c>
      <c r="R10" s="646">
        <f ca="1">SUM(C10:Q10)</f>
        <v>52857.479777558459</v>
      </c>
      <c r="S10" s="67"/>
    </row>
    <row r="11" spans="1:19" s="441" customFormat="1">
      <c r="A11" s="763" t="s">
        <v>214</v>
      </c>
      <c r="B11" s="768"/>
      <c r="C11" s="643">
        <f>huishoudens!B8</f>
        <v>34651.126306707461</v>
      </c>
      <c r="D11" s="643">
        <f>huishoudens!C8</f>
        <v>0</v>
      </c>
      <c r="E11" s="643">
        <f>huishoudens!D8</f>
        <v>82528.443678293945</v>
      </c>
      <c r="F11" s="643">
        <f>huishoudens!E8</f>
        <v>1801.3421327608978</v>
      </c>
      <c r="G11" s="643">
        <f>huishoudens!F8</f>
        <v>32631.555650371851</v>
      </c>
      <c r="H11" s="643">
        <f>huishoudens!G8</f>
        <v>0</v>
      </c>
      <c r="I11" s="643">
        <f>huishoudens!H8</f>
        <v>0</v>
      </c>
      <c r="J11" s="643">
        <f>huishoudens!I8</f>
        <v>0</v>
      </c>
      <c r="K11" s="643">
        <f>huishoudens!J8</f>
        <v>206.41087159254684</v>
      </c>
      <c r="L11" s="643">
        <f>huishoudens!K8</f>
        <v>0</v>
      </c>
      <c r="M11" s="643">
        <f>huishoudens!L8</f>
        <v>0</v>
      </c>
      <c r="N11" s="643">
        <f>huishoudens!M8</f>
        <v>0</v>
      </c>
      <c r="O11" s="643">
        <f>huishoudens!N8</f>
        <v>9845.6327685135875</v>
      </c>
      <c r="P11" s="643">
        <f>huishoudens!O8</f>
        <v>361.08039592843977</v>
      </c>
      <c r="Q11" s="644">
        <f>huishoudens!P8</f>
        <v>1506.3561809989585</v>
      </c>
      <c r="R11" s="646">
        <f>SUM(C11:Q11)</f>
        <v>163531.94798516767</v>
      </c>
      <c r="S11" s="67"/>
    </row>
    <row r="12" spans="1:19" s="441" customFormat="1">
      <c r="A12" s="763" t="s">
        <v>479</v>
      </c>
      <c r="B12" s="768"/>
      <c r="C12" s="643">
        <f>'Eigen openbare verlichting'!B15</f>
        <v>0</v>
      </c>
      <c r="D12" s="643"/>
      <c r="E12" s="643"/>
      <c r="F12" s="643"/>
      <c r="G12" s="643"/>
      <c r="H12" s="643"/>
      <c r="I12" s="643"/>
      <c r="J12" s="643"/>
      <c r="K12" s="643"/>
      <c r="L12" s="643"/>
      <c r="M12" s="643"/>
      <c r="N12" s="643"/>
      <c r="O12" s="643"/>
      <c r="P12" s="643"/>
      <c r="Q12" s="643"/>
      <c r="R12" s="646">
        <f>SUM(C12:Q12)</f>
        <v>0</v>
      </c>
      <c r="S12" s="67"/>
    </row>
    <row r="13" spans="1:19" s="441" customFormat="1">
      <c r="A13" s="763" t="s">
        <v>589</v>
      </c>
      <c r="B13" s="772" t="s">
        <v>587</v>
      </c>
      <c r="C13" s="643">
        <f>industrie!B18</f>
        <v>7575.9476605699456</v>
      </c>
      <c r="D13" s="643">
        <f>industrie!C18</f>
        <v>12.175675675675675</v>
      </c>
      <c r="E13" s="643">
        <f>industrie!D18</f>
        <v>1471.7755260146084</v>
      </c>
      <c r="F13" s="643">
        <f>industrie!E18</f>
        <v>295.2650138178592</v>
      </c>
      <c r="G13" s="643">
        <f>industrie!F18</f>
        <v>2070.1992211909906</v>
      </c>
      <c r="H13" s="643">
        <f>industrie!G18</f>
        <v>0</v>
      </c>
      <c r="I13" s="643">
        <f>industrie!H18</f>
        <v>0</v>
      </c>
      <c r="J13" s="643">
        <f>industrie!I18</f>
        <v>0</v>
      </c>
      <c r="K13" s="643">
        <f>industrie!J18</f>
        <v>26.683074236720099</v>
      </c>
      <c r="L13" s="643">
        <f>industrie!K18</f>
        <v>0</v>
      </c>
      <c r="M13" s="643">
        <f>industrie!L18</f>
        <v>0</v>
      </c>
      <c r="N13" s="643">
        <f>industrie!M18</f>
        <v>0</v>
      </c>
      <c r="O13" s="643">
        <f>industrie!N18</f>
        <v>251.7121423127486</v>
      </c>
      <c r="P13" s="643">
        <f>industrie!O18</f>
        <v>0</v>
      </c>
      <c r="Q13" s="644">
        <f>industrie!P18</f>
        <v>0</v>
      </c>
      <c r="R13" s="646">
        <f>SUM(C13:Q13)</f>
        <v>11703.758313818549</v>
      </c>
      <c r="S13" s="67"/>
    </row>
    <row r="14" spans="1:19" s="441" customFormat="1">
      <c r="A14" s="763"/>
      <c r="B14" s="772" t="s">
        <v>588</v>
      </c>
      <c r="C14" s="643"/>
      <c r="D14" s="643"/>
      <c r="E14" s="643"/>
      <c r="F14" s="643"/>
      <c r="G14" s="643"/>
      <c r="H14" s="643"/>
      <c r="I14" s="643"/>
      <c r="J14" s="643"/>
      <c r="K14" s="643"/>
      <c r="L14" s="643"/>
      <c r="M14" s="643"/>
      <c r="N14" s="643"/>
      <c r="O14" s="643"/>
      <c r="P14" s="643"/>
      <c r="Q14" s="643"/>
      <c r="R14" s="646"/>
      <c r="S14" s="67"/>
    </row>
    <row r="15" spans="1:19" s="441" customFormat="1" ht="15" thickBot="1">
      <c r="A15" s="894" t="s">
        <v>664</v>
      </c>
      <c r="B15" s="895"/>
      <c r="C15" s="896"/>
      <c r="D15" s="896"/>
      <c r="E15" s="896"/>
      <c r="F15" s="896"/>
      <c r="G15" s="896"/>
      <c r="H15" s="896"/>
      <c r="I15" s="896"/>
      <c r="J15" s="896"/>
      <c r="K15" s="896"/>
      <c r="L15" s="896"/>
      <c r="M15" s="896"/>
      <c r="N15" s="896"/>
      <c r="O15" s="896"/>
      <c r="P15" s="896"/>
      <c r="Q15" s="897"/>
      <c r="R15" s="645"/>
      <c r="S15" s="67"/>
    </row>
    <row r="16" spans="1:19" s="441" customFormat="1" ht="15.75" thickBot="1">
      <c r="A16" s="647" t="s">
        <v>215</v>
      </c>
      <c r="B16" s="770"/>
      <c r="C16" s="679">
        <f ca="1">SUM(C9:C15)</f>
        <v>59517.370205879415</v>
      </c>
      <c r="D16" s="679">
        <f t="shared" ref="D16:R16" ca="1" si="0">SUM(D9:D15)</f>
        <v>12.175675675675675</v>
      </c>
      <c r="E16" s="679">
        <f t="shared" ca="1" si="0"/>
        <v>113275.69231880536</v>
      </c>
      <c r="F16" s="679">
        <f t="shared" si="0"/>
        <v>2185.1911991489342</v>
      </c>
      <c r="G16" s="679">
        <f t="shared" ca="1" si="0"/>
        <v>39345.123118760181</v>
      </c>
      <c r="H16" s="679">
        <f t="shared" si="0"/>
        <v>0</v>
      </c>
      <c r="I16" s="679">
        <f t="shared" si="0"/>
        <v>0</v>
      </c>
      <c r="J16" s="679">
        <f t="shared" si="0"/>
        <v>0</v>
      </c>
      <c r="K16" s="679">
        <f t="shared" si="0"/>
        <v>233.13310629552524</v>
      </c>
      <c r="L16" s="679">
        <f t="shared" si="0"/>
        <v>0</v>
      </c>
      <c r="M16" s="679">
        <f t="shared" ca="1" si="0"/>
        <v>0</v>
      </c>
      <c r="N16" s="679">
        <f t="shared" si="0"/>
        <v>0</v>
      </c>
      <c r="O16" s="679">
        <f t="shared" ca="1" si="0"/>
        <v>11604.52473674571</v>
      </c>
      <c r="P16" s="679">
        <f t="shared" si="0"/>
        <v>361.08039592843977</v>
      </c>
      <c r="Q16" s="679">
        <f t="shared" si="0"/>
        <v>1558.8953193054535</v>
      </c>
      <c r="R16" s="679">
        <f t="shared" ca="1" si="0"/>
        <v>228093.18607654469</v>
      </c>
      <c r="S16" s="67"/>
    </row>
    <row r="17" spans="1:19" s="441" customFormat="1" ht="15.75">
      <c r="A17" s="765" t="s">
        <v>216</v>
      </c>
      <c r="B17" s="683"/>
      <c r="C17" s="1067"/>
      <c r="D17" s="1067"/>
      <c r="E17" s="1067"/>
      <c r="F17" s="1067"/>
      <c r="G17" s="1067"/>
      <c r="H17" s="1067"/>
      <c r="I17" s="1067"/>
      <c r="J17" s="1067"/>
      <c r="K17" s="1067"/>
      <c r="L17" s="1067"/>
      <c r="M17" s="1067"/>
      <c r="N17" s="1067"/>
      <c r="O17" s="1067"/>
      <c r="P17" s="1067"/>
      <c r="Q17" s="1067"/>
      <c r="R17" s="648"/>
      <c r="S17" s="67"/>
    </row>
    <row r="18" spans="1:19" s="441" customFormat="1">
      <c r="A18" s="763" t="s">
        <v>217</v>
      </c>
      <c r="B18" s="768"/>
      <c r="C18" s="643">
        <f>'Eigen vloot'!B27</f>
        <v>0</v>
      </c>
      <c r="D18" s="643">
        <f>'Eigen vloot'!C27</f>
        <v>0</v>
      </c>
      <c r="E18" s="643">
        <f>'Eigen vloot'!D27</f>
        <v>0</v>
      </c>
      <c r="F18" s="643">
        <f>'Eigen vloot'!E27</f>
        <v>0</v>
      </c>
      <c r="G18" s="643">
        <f>'Eigen vloot'!F27</f>
        <v>0</v>
      </c>
      <c r="H18" s="643">
        <f>'Eigen vloot'!G27</f>
        <v>0</v>
      </c>
      <c r="I18" s="643">
        <f>'Eigen vloot'!H27</f>
        <v>0</v>
      </c>
      <c r="J18" s="643">
        <f>'Eigen vloot'!I27</f>
        <v>0</v>
      </c>
      <c r="K18" s="643">
        <f>'Eigen vloot'!J27</f>
        <v>0</v>
      </c>
      <c r="L18" s="643">
        <f>'Eigen vloot'!K27</f>
        <v>0</v>
      </c>
      <c r="M18" s="643">
        <f>'Eigen vloot'!L27</f>
        <v>0</v>
      </c>
      <c r="N18" s="643">
        <f>'Eigen vloot'!M27</f>
        <v>0</v>
      </c>
      <c r="O18" s="643">
        <f>'Eigen vloot'!N27</f>
        <v>0</v>
      </c>
      <c r="P18" s="643">
        <f>'Eigen vloot'!O27</f>
        <v>0</v>
      </c>
      <c r="Q18" s="644">
        <f>'Eigen vloot'!P27</f>
        <v>0</v>
      </c>
      <c r="R18" s="646">
        <f>SUM(C18:Q18)</f>
        <v>0</v>
      </c>
      <c r="S18" s="67"/>
    </row>
    <row r="19" spans="1:19" s="441" customFormat="1">
      <c r="A19" s="763" t="s">
        <v>218</v>
      </c>
      <c r="B19" s="768"/>
      <c r="C19" s="643">
        <f>transport!B54</f>
        <v>66.931550759291767</v>
      </c>
      <c r="D19" s="643">
        <f>transport!C54</f>
        <v>0</v>
      </c>
      <c r="E19" s="643">
        <f>transport!D54</f>
        <v>0</v>
      </c>
      <c r="F19" s="643">
        <f>transport!E54</f>
        <v>0</v>
      </c>
      <c r="G19" s="643">
        <f>transport!F54</f>
        <v>0</v>
      </c>
      <c r="H19" s="643">
        <f>transport!G54</f>
        <v>4190.1174915754627</v>
      </c>
      <c r="I19" s="643">
        <f>transport!H54</f>
        <v>0</v>
      </c>
      <c r="J19" s="643">
        <f>transport!I54</f>
        <v>0</v>
      </c>
      <c r="K19" s="643">
        <f>transport!J54</f>
        <v>0</v>
      </c>
      <c r="L19" s="643">
        <f>transport!K54</f>
        <v>0</v>
      </c>
      <c r="M19" s="643">
        <f>transport!L54</f>
        <v>0</v>
      </c>
      <c r="N19" s="643">
        <f>transport!M54</f>
        <v>240.5872684704955</v>
      </c>
      <c r="O19" s="643">
        <f>transport!N54</f>
        <v>0</v>
      </c>
      <c r="P19" s="643">
        <f>transport!O54</f>
        <v>0</v>
      </c>
      <c r="Q19" s="644">
        <f>transport!P54</f>
        <v>0</v>
      </c>
      <c r="R19" s="646">
        <f>SUM(C19:Q19)</f>
        <v>4497.6363108052501</v>
      </c>
      <c r="S19" s="67"/>
    </row>
    <row r="20" spans="1:19" s="441" customFormat="1">
      <c r="A20" s="763" t="s">
        <v>296</v>
      </c>
      <c r="B20" s="768"/>
      <c r="C20" s="643">
        <f>transport!B14</f>
        <v>768.15187647985556</v>
      </c>
      <c r="D20" s="643">
        <f>transport!C14</f>
        <v>0</v>
      </c>
      <c r="E20" s="643">
        <f>transport!D14</f>
        <v>1044.513100717485</v>
      </c>
      <c r="F20" s="643">
        <f>transport!E14</f>
        <v>453.72032426718016</v>
      </c>
      <c r="G20" s="643">
        <f>transport!F14</f>
        <v>0</v>
      </c>
      <c r="H20" s="643">
        <f>transport!G14</f>
        <v>196147.15152875186</v>
      </c>
      <c r="I20" s="643">
        <f>transport!H14</f>
        <v>56948.954981385439</v>
      </c>
      <c r="J20" s="643">
        <f>transport!I14</f>
        <v>0</v>
      </c>
      <c r="K20" s="643">
        <f>transport!J14</f>
        <v>0</v>
      </c>
      <c r="L20" s="643">
        <f>transport!K14</f>
        <v>0</v>
      </c>
      <c r="M20" s="643">
        <f>transport!L14</f>
        <v>0</v>
      </c>
      <c r="N20" s="643">
        <f>transport!M14</f>
        <v>15299.62450180733</v>
      </c>
      <c r="O20" s="643">
        <f>transport!N14</f>
        <v>0</v>
      </c>
      <c r="P20" s="643">
        <f>transport!O14</f>
        <v>0</v>
      </c>
      <c r="Q20" s="644">
        <f>transport!P14</f>
        <v>0</v>
      </c>
      <c r="R20" s="646">
        <f>SUM(C20:Q20)</f>
        <v>270662.11631340918</v>
      </c>
      <c r="S20" s="67"/>
    </row>
    <row r="21" spans="1:19" s="441" customFormat="1" ht="15" thickBot="1">
      <c r="A21" s="785" t="s">
        <v>667</v>
      </c>
      <c r="B21" s="895"/>
      <c r="C21" s="896"/>
      <c r="D21" s="896"/>
      <c r="E21" s="896"/>
      <c r="F21" s="896"/>
      <c r="G21" s="896"/>
      <c r="H21" s="896"/>
      <c r="I21" s="896"/>
      <c r="J21" s="896"/>
      <c r="K21" s="896"/>
      <c r="L21" s="896"/>
      <c r="M21" s="896"/>
      <c r="N21" s="896"/>
      <c r="O21" s="896"/>
      <c r="P21" s="896"/>
      <c r="Q21" s="897"/>
      <c r="R21" s="645"/>
      <c r="S21" s="67"/>
    </row>
    <row r="22" spans="1:19" s="441" customFormat="1" ht="15.75" thickBot="1">
      <c r="A22" s="651" t="s">
        <v>219</v>
      </c>
      <c r="B22" s="771"/>
      <c r="C22" s="766">
        <f>SUM(C18:C21)</f>
        <v>835.08342723914734</v>
      </c>
      <c r="D22" s="766">
        <f t="shared" ref="D22:R22" si="1">SUM(D18:D21)</f>
        <v>0</v>
      </c>
      <c r="E22" s="766">
        <f t="shared" si="1"/>
        <v>1044.513100717485</v>
      </c>
      <c r="F22" s="766">
        <f t="shared" si="1"/>
        <v>453.72032426718016</v>
      </c>
      <c r="G22" s="766">
        <f t="shared" si="1"/>
        <v>0</v>
      </c>
      <c r="H22" s="766">
        <f t="shared" si="1"/>
        <v>200337.26902032731</v>
      </c>
      <c r="I22" s="766">
        <f t="shared" si="1"/>
        <v>56948.954981385439</v>
      </c>
      <c r="J22" s="766">
        <f t="shared" si="1"/>
        <v>0</v>
      </c>
      <c r="K22" s="766">
        <f t="shared" si="1"/>
        <v>0</v>
      </c>
      <c r="L22" s="766">
        <f t="shared" si="1"/>
        <v>0</v>
      </c>
      <c r="M22" s="766">
        <f t="shared" si="1"/>
        <v>0</v>
      </c>
      <c r="N22" s="766">
        <f t="shared" si="1"/>
        <v>15540.211770277825</v>
      </c>
      <c r="O22" s="766">
        <f t="shared" si="1"/>
        <v>0</v>
      </c>
      <c r="P22" s="766">
        <f t="shared" si="1"/>
        <v>0</v>
      </c>
      <c r="Q22" s="766">
        <f t="shared" si="1"/>
        <v>0</v>
      </c>
      <c r="R22" s="766">
        <f t="shared" si="1"/>
        <v>275159.75262421445</v>
      </c>
      <c r="S22" s="67"/>
    </row>
    <row r="23" spans="1:19" s="441" customFormat="1" ht="15.75">
      <c r="A23" s="765" t="s">
        <v>226</v>
      </c>
      <c r="B23" s="683"/>
      <c r="C23" s="1067"/>
      <c r="D23" s="1067"/>
      <c r="E23" s="1067"/>
      <c r="F23" s="1067"/>
      <c r="G23" s="1067"/>
      <c r="H23" s="1067"/>
      <c r="I23" s="1067"/>
      <c r="J23" s="1067"/>
      <c r="K23" s="1067"/>
      <c r="L23" s="1067"/>
      <c r="M23" s="1067"/>
      <c r="N23" s="1067"/>
      <c r="O23" s="1067"/>
      <c r="P23" s="1067"/>
      <c r="Q23" s="1067"/>
      <c r="R23" s="648"/>
      <c r="S23" s="67"/>
    </row>
    <row r="24" spans="1:19" s="441" customFormat="1">
      <c r="A24" s="763" t="s">
        <v>584</v>
      </c>
      <c r="B24" s="768"/>
      <c r="C24" s="643">
        <f>+landbouw!B8</f>
        <v>443.805119920957</v>
      </c>
      <c r="D24" s="643">
        <f>+landbouw!C8</f>
        <v>0</v>
      </c>
      <c r="E24" s="643">
        <f>+landbouw!D8</f>
        <v>94.129939653906533</v>
      </c>
      <c r="F24" s="643">
        <f>+landbouw!E8</f>
        <v>15.811886274231441</v>
      </c>
      <c r="G24" s="643">
        <f>+landbouw!F8</f>
        <v>1512.4042869915079</v>
      </c>
      <c r="H24" s="643">
        <f>+landbouw!G8</f>
        <v>0</v>
      </c>
      <c r="I24" s="643">
        <f>+landbouw!H8</f>
        <v>0</v>
      </c>
      <c r="J24" s="643">
        <f>+landbouw!I8</f>
        <v>0</v>
      </c>
      <c r="K24" s="643">
        <f>+landbouw!J8</f>
        <v>112.84570545355338</v>
      </c>
      <c r="L24" s="643">
        <f>+landbouw!K8</f>
        <v>0</v>
      </c>
      <c r="M24" s="643">
        <f>+landbouw!L8</f>
        <v>0</v>
      </c>
      <c r="N24" s="643">
        <f>+landbouw!M8</f>
        <v>0</v>
      </c>
      <c r="O24" s="643">
        <f>+landbouw!N8</f>
        <v>0</v>
      </c>
      <c r="P24" s="643">
        <f>+landbouw!O8</f>
        <v>0</v>
      </c>
      <c r="Q24" s="644">
        <f>+landbouw!P8</f>
        <v>0</v>
      </c>
      <c r="R24" s="646">
        <f>SUM(C24:Q24)</f>
        <v>2178.9969382941563</v>
      </c>
      <c r="S24" s="67"/>
    </row>
    <row r="25" spans="1:19" s="441" customFormat="1" ht="15" thickBot="1">
      <c r="A25" s="785" t="s">
        <v>665</v>
      </c>
      <c r="B25" s="895"/>
      <c r="C25" s="896">
        <f>IF(Onbekend_ele_kWh="---",0,Onbekend_ele_kWh)/1000+IF(REST_rest_ele_kWh="---",0,REST_rest_ele_kWh)/1000</f>
        <v>911.57597036013499</v>
      </c>
      <c r="D25" s="896"/>
      <c r="E25" s="896">
        <f>IF(onbekend_gas_kWh="---",0,onbekend_gas_kWh)/1000+IF(REST_rest_gas_kWh="---",0,REST_rest_gas_kWh)/1000</f>
        <v>2868.1940957161901</v>
      </c>
      <c r="F25" s="896"/>
      <c r="G25" s="896"/>
      <c r="H25" s="896"/>
      <c r="I25" s="896"/>
      <c r="J25" s="896"/>
      <c r="K25" s="896"/>
      <c r="L25" s="896"/>
      <c r="M25" s="896"/>
      <c r="N25" s="896"/>
      <c r="O25" s="896"/>
      <c r="P25" s="896"/>
      <c r="Q25" s="897"/>
      <c r="R25" s="646">
        <f>SUM(C25:Q25)</f>
        <v>3779.7700660763248</v>
      </c>
      <c r="S25" s="67"/>
    </row>
    <row r="26" spans="1:19" s="441" customFormat="1" ht="15.75" thickBot="1">
      <c r="A26" s="651" t="s">
        <v>666</v>
      </c>
      <c r="B26" s="771"/>
      <c r="C26" s="766">
        <f>SUM(C24:C25)</f>
        <v>1355.3810902810919</v>
      </c>
      <c r="D26" s="766">
        <f t="shared" ref="D26:R26" si="2">SUM(D24:D25)</f>
        <v>0</v>
      </c>
      <c r="E26" s="766">
        <f t="shared" si="2"/>
        <v>2962.3240353700967</v>
      </c>
      <c r="F26" s="766">
        <f t="shared" si="2"/>
        <v>15.811886274231441</v>
      </c>
      <c r="G26" s="766">
        <f t="shared" si="2"/>
        <v>1512.4042869915079</v>
      </c>
      <c r="H26" s="766">
        <f t="shared" si="2"/>
        <v>0</v>
      </c>
      <c r="I26" s="766">
        <f t="shared" si="2"/>
        <v>0</v>
      </c>
      <c r="J26" s="766">
        <f t="shared" si="2"/>
        <v>0</v>
      </c>
      <c r="K26" s="766">
        <f t="shared" si="2"/>
        <v>112.84570545355338</v>
      </c>
      <c r="L26" s="766">
        <f t="shared" si="2"/>
        <v>0</v>
      </c>
      <c r="M26" s="766">
        <f t="shared" si="2"/>
        <v>0</v>
      </c>
      <c r="N26" s="766">
        <f t="shared" si="2"/>
        <v>0</v>
      </c>
      <c r="O26" s="766">
        <f t="shared" si="2"/>
        <v>0</v>
      </c>
      <c r="P26" s="766">
        <f t="shared" si="2"/>
        <v>0</v>
      </c>
      <c r="Q26" s="766">
        <f t="shared" si="2"/>
        <v>0</v>
      </c>
      <c r="R26" s="766">
        <f t="shared" si="2"/>
        <v>5958.7670043704811</v>
      </c>
      <c r="S26" s="67"/>
    </row>
    <row r="27" spans="1:19" s="441" customFormat="1" ht="17.25" thickTop="1" thickBot="1">
      <c r="A27" s="652" t="s">
        <v>109</v>
      </c>
      <c r="B27" s="758"/>
      <c r="C27" s="653">
        <f ca="1">C22+C16+C26</f>
        <v>61707.834723399654</v>
      </c>
      <c r="D27" s="653">
        <f t="shared" ref="D27:R27" ca="1" si="3">D22+D16+D26</f>
        <v>12.175675675675675</v>
      </c>
      <c r="E27" s="653">
        <f t="shared" ca="1" si="3"/>
        <v>117282.52945489294</v>
      </c>
      <c r="F27" s="653">
        <f t="shared" si="3"/>
        <v>2654.7234096903458</v>
      </c>
      <c r="G27" s="653">
        <f t="shared" ca="1" si="3"/>
        <v>40857.527405751687</v>
      </c>
      <c r="H27" s="653">
        <f t="shared" si="3"/>
        <v>200337.26902032731</v>
      </c>
      <c r="I27" s="653">
        <f t="shared" si="3"/>
        <v>56948.954981385439</v>
      </c>
      <c r="J27" s="653">
        <f t="shared" si="3"/>
        <v>0</v>
      </c>
      <c r="K27" s="653">
        <f t="shared" si="3"/>
        <v>345.9788117490786</v>
      </c>
      <c r="L27" s="653">
        <f t="shared" si="3"/>
        <v>0</v>
      </c>
      <c r="M27" s="653">
        <f t="shared" ca="1" si="3"/>
        <v>0</v>
      </c>
      <c r="N27" s="653">
        <f t="shared" si="3"/>
        <v>15540.211770277825</v>
      </c>
      <c r="O27" s="653">
        <f t="shared" ca="1" si="3"/>
        <v>11604.52473674571</v>
      </c>
      <c r="P27" s="653">
        <f t="shared" si="3"/>
        <v>361.08039592843977</v>
      </c>
      <c r="Q27" s="653">
        <f t="shared" si="3"/>
        <v>1558.8953193054535</v>
      </c>
      <c r="R27" s="653">
        <f t="shared" ca="1" si="3"/>
        <v>509211.7057051296</v>
      </c>
      <c r="S27" s="67"/>
    </row>
    <row r="28" spans="1:19" ht="15.75" customHeight="1" thickBot="1">
      <c r="A28" s="654"/>
      <c r="B28" s="654"/>
      <c r="C28" s="655"/>
      <c r="D28" s="655"/>
      <c r="E28" s="655"/>
      <c r="F28" s="655"/>
      <c r="G28" s="655"/>
      <c r="H28" s="655"/>
      <c r="I28" s="655"/>
      <c r="J28" s="655"/>
      <c r="K28" s="655"/>
      <c r="L28" s="655"/>
      <c r="M28" s="655"/>
      <c r="N28" s="655"/>
      <c r="O28" s="655"/>
      <c r="P28" s="655"/>
      <c r="Q28" s="655"/>
      <c r="R28" s="655"/>
    </row>
    <row r="29" spans="1:19" ht="41.25" customHeight="1" thickTop="1" thickBot="1">
      <c r="A29" s="656" t="s">
        <v>332</v>
      </c>
      <c r="B29" s="656"/>
      <c r="C29" s="657">
        <f>'EF ele_warmte'!B5</f>
        <v>0</v>
      </c>
      <c r="D29" s="658"/>
      <c r="E29" s="659"/>
      <c r="F29" s="658"/>
      <c r="G29" s="658"/>
      <c r="H29" s="658"/>
      <c r="I29" s="658"/>
      <c r="J29" s="658"/>
      <c r="K29" s="658"/>
      <c r="L29" s="658"/>
      <c r="M29" s="658"/>
      <c r="N29" s="658"/>
      <c r="O29" s="658"/>
      <c r="P29" s="658"/>
      <c r="Q29" s="658"/>
      <c r="R29" s="658"/>
    </row>
    <row r="30" spans="1:19" ht="31.5" thickTop="1" thickBot="1">
      <c r="A30" s="660" t="s">
        <v>333</v>
      </c>
      <c r="B30" s="660"/>
      <c r="C30" s="661" t="s">
        <v>204</v>
      </c>
      <c r="D30" s="662"/>
      <c r="E30" s="662"/>
      <c r="F30" s="662"/>
      <c r="G30" s="662"/>
      <c r="H30" s="663"/>
      <c r="I30" s="664"/>
      <c r="J30" s="664"/>
      <c r="K30" s="664"/>
      <c r="L30" s="664"/>
      <c r="M30" s="664"/>
      <c r="N30" s="664"/>
      <c r="O30" s="664"/>
      <c r="P30" s="664"/>
      <c r="Q30" s="664"/>
      <c r="R30" s="664"/>
    </row>
    <row r="31" spans="1:19" ht="15" thickTop="1">
      <c r="A31" s="1128"/>
      <c r="B31" s="1128"/>
      <c r="C31" s="1128"/>
      <c r="D31" s="665"/>
      <c r="E31" s="664"/>
      <c r="F31" s="664"/>
      <c r="G31" s="664"/>
      <c r="H31" s="664"/>
      <c r="I31" s="664"/>
      <c r="J31" s="664"/>
      <c r="K31" s="664"/>
      <c r="L31" s="664"/>
      <c r="M31" s="664"/>
      <c r="N31" s="664"/>
      <c r="O31" s="664"/>
      <c r="P31" s="664"/>
      <c r="Q31" s="664"/>
      <c r="R31" s="664"/>
    </row>
    <row r="32" spans="1:19" ht="15.75">
      <c r="A32" s="666" t="s">
        <v>220</v>
      </c>
      <c r="B32" s="666"/>
      <c r="C32" s="665"/>
      <c r="D32" s="665"/>
      <c r="E32" s="664"/>
      <c r="F32" s="664"/>
      <c r="G32" s="664"/>
      <c r="H32" s="664"/>
      <c r="I32" s="664"/>
      <c r="J32" s="664"/>
      <c r="K32" s="664"/>
      <c r="L32" s="664"/>
      <c r="M32" s="664"/>
      <c r="N32" s="664"/>
      <c r="O32" s="664"/>
      <c r="P32" s="664"/>
      <c r="Q32" s="664"/>
      <c r="R32" s="664"/>
    </row>
    <row r="33" spans="1:18">
      <c r="A33" s="1084"/>
      <c r="B33" s="1084"/>
      <c r="C33" s="1084"/>
      <c r="D33" s="1084"/>
      <c r="E33" s="1084"/>
      <c r="F33" s="1084"/>
      <c r="G33" s="1084"/>
      <c r="H33" s="1084"/>
      <c r="I33" s="1084"/>
      <c r="J33" s="1084"/>
      <c r="K33" s="1084"/>
      <c r="L33" s="1084"/>
      <c r="M33" s="1084"/>
      <c r="N33" s="1084"/>
      <c r="O33" s="1084"/>
      <c r="P33" s="1084"/>
      <c r="Q33" s="1084"/>
      <c r="R33" s="1084"/>
    </row>
    <row r="34" spans="1:18" ht="15.75" thickBot="1">
      <c r="A34" s="667"/>
      <c r="B34" s="667"/>
      <c r="C34" s="668"/>
      <c r="D34" s="668"/>
      <c r="E34" s="668"/>
      <c r="F34" s="668"/>
      <c r="G34" s="668"/>
      <c r="H34" s="668"/>
      <c r="I34" s="668"/>
      <c r="J34" s="668"/>
      <c r="K34" s="668"/>
      <c r="L34" s="668"/>
      <c r="M34" s="668"/>
      <c r="N34" s="668"/>
      <c r="O34" s="668"/>
      <c r="P34" s="668"/>
      <c r="Q34" s="668"/>
      <c r="R34" s="668"/>
    </row>
    <row r="35" spans="1:18" ht="17.25" thickTop="1" thickBot="1">
      <c r="A35" s="1096"/>
      <c r="B35" s="773"/>
      <c r="C35" s="1098" t="s">
        <v>334</v>
      </c>
      <c r="D35" s="1099"/>
      <c r="E35" s="1099"/>
      <c r="F35" s="1099"/>
      <c r="G35" s="1099"/>
      <c r="H35" s="1099"/>
      <c r="I35" s="1099"/>
      <c r="J35" s="1099"/>
      <c r="K35" s="1099"/>
      <c r="L35" s="1099"/>
      <c r="M35" s="1099"/>
      <c r="N35" s="1099"/>
      <c r="O35" s="1099"/>
      <c r="P35" s="1099"/>
      <c r="Q35" s="1099"/>
      <c r="R35" s="1100"/>
    </row>
    <row r="36" spans="1:18" ht="16.5" thickTop="1">
      <c r="A36" s="1097"/>
      <c r="B36" s="774"/>
      <c r="C36" s="1101" t="s">
        <v>20</v>
      </c>
      <c r="D36" s="1075" t="s">
        <v>221</v>
      </c>
      <c r="E36" s="1103" t="s">
        <v>190</v>
      </c>
      <c r="F36" s="1104"/>
      <c r="G36" s="1104"/>
      <c r="H36" s="1104"/>
      <c r="I36" s="1104"/>
      <c r="J36" s="1104"/>
      <c r="K36" s="1104"/>
      <c r="L36" s="1105"/>
      <c r="M36" s="1103" t="s">
        <v>191</v>
      </c>
      <c r="N36" s="1104"/>
      <c r="O36" s="1104"/>
      <c r="P36" s="1104"/>
      <c r="Q36" s="1104"/>
      <c r="R36" s="1085" t="s">
        <v>109</v>
      </c>
    </row>
    <row r="37" spans="1:18" ht="45.75" thickBot="1">
      <c r="A37" s="1097"/>
      <c r="B37" s="774"/>
      <c r="C37" s="1102"/>
      <c r="D37" s="1046"/>
      <c r="E37" s="669" t="s">
        <v>192</v>
      </c>
      <c r="F37" s="669" t="s">
        <v>193</v>
      </c>
      <c r="G37" s="669" t="s">
        <v>194</v>
      </c>
      <c r="H37" s="669" t="s">
        <v>195</v>
      </c>
      <c r="I37" s="669" t="s">
        <v>113</v>
      </c>
      <c r="J37" s="669" t="s">
        <v>196</v>
      </c>
      <c r="K37" s="670" t="s">
        <v>222</v>
      </c>
      <c r="L37" s="670" t="s">
        <v>198</v>
      </c>
      <c r="M37" s="64" t="s">
        <v>199</v>
      </c>
      <c r="N37" s="65" t="s">
        <v>200</v>
      </c>
      <c r="O37" s="669" t="s">
        <v>223</v>
      </c>
      <c r="P37" s="669" t="s">
        <v>224</v>
      </c>
      <c r="Q37" s="670" t="s">
        <v>203</v>
      </c>
      <c r="R37" s="1087"/>
    </row>
    <row r="38" spans="1:18" ht="17.25" thickTop="1" thickBot="1">
      <c r="A38" s="786" t="s">
        <v>331</v>
      </c>
      <c r="B38" s="787"/>
      <c r="C38" s="671" t="s">
        <v>225</v>
      </c>
      <c r="D38" s="672"/>
      <c r="E38" s="673"/>
      <c r="F38" s="673"/>
      <c r="G38" s="673"/>
      <c r="H38" s="673"/>
      <c r="I38" s="673"/>
      <c r="J38" s="673"/>
      <c r="K38" s="673"/>
      <c r="L38" s="673"/>
      <c r="M38" s="674"/>
      <c r="N38" s="674"/>
      <c r="O38" s="673"/>
      <c r="P38" s="674"/>
      <c r="Q38" s="675"/>
      <c r="R38" s="676"/>
    </row>
    <row r="39" spans="1:18" ht="15" thickTop="1">
      <c r="A39" s="759" t="s">
        <v>212</v>
      </c>
      <c r="B39" s="783"/>
      <c r="C39" s="643">
        <f ca="1">'Eigen gebouwen'!B19</f>
        <v>0</v>
      </c>
      <c r="D39" s="643">
        <f ca="1">'Eigen gebouwen'!C19</f>
        <v>0</v>
      </c>
      <c r="E39" s="643">
        <f>'Eigen gebouwen'!D19</f>
        <v>0</v>
      </c>
      <c r="F39" s="643">
        <f>'Eigen gebouwen'!E19</f>
        <v>0</v>
      </c>
      <c r="G39" s="643">
        <f>'Eigen gebouwen'!F19</f>
        <v>0</v>
      </c>
      <c r="H39" s="643">
        <f>'Eigen gebouwen'!G19</f>
        <v>0</v>
      </c>
      <c r="I39" s="643">
        <f>'Eigen gebouwen'!H19</f>
        <v>0</v>
      </c>
      <c r="J39" s="643">
        <f>'Eigen gebouwen'!I19</f>
        <v>0</v>
      </c>
      <c r="K39" s="643">
        <f>'Eigen gebouwen'!J19</f>
        <v>0</v>
      </c>
      <c r="L39" s="643">
        <f>'Eigen gebouwen'!K19</f>
        <v>0</v>
      </c>
      <c r="M39" s="643">
        <f>'Eigen gebouwen'!L19</f>
        <v>0</v>
      </c>
      <c r="N39" s="643">
        <f>'Eigen gebouwen'!M19</f>
        <v>0</v>
      </c>
      <c r="O39" s="643">
        <f>'Eigen gebouwen'!N19</f>
        <v>0</v>
      </c>
      <c r="P39" s="643">
        <f>'Eigen gebouwen'!O19</f>
        <v>0</v>
      </c>
      <c r="Q39" s="726">
        <f>'Eigen gebouwen'!P19</f>
        <v>0</v>
      </c>
      <c r="R39" s="900">
        <f t="shared" ref="R39:R44" ca="1" si="4">SUM(C39:Q39)</f>
        <v>0</v>
      </c>
    </row>
    <row r="40" spans="1:18">
      <c r="A40" s="764" t="s">
        <v>213</v>
      </c>
      <c r="B40" s="784"/>
      <c r="C40" s="643">
        <f ca="1">tertiair!B20+'openbare verlichting'!B12</f>
        <v>3428.7704667019252</v>
      </c>
      <c r="D40" s="643">
        <f ca="1">tertiair!C20</f>
        <v>0</v>
      </c>
      <c r="E40" s="643">
        <f ca="1">tertiair!D20</f>
        <v>5913.6455691283563</v>
      </c>
      <c r="F40" s="643">
        <f>tertiair!E20</f>
        <v>20.108579933430217</v>
      </c>
      <c r="G40" s="643">
        <f ca="1">tertiair!F20</f>
        <v>1239.7793220016895</v>
      </c>
      <c r="H40" s="643">
        <f>tertiair!G20</f>
        <v>0</v>
      </c>
      <c r="I40" s="643">
        <f>tertiair!H20</f>
        <v>0</v>
      </c>
      <c r="J40" s="643">
        <f>tertiair!I20</f>
        <v>0</v>
      </c>
      <c r="K40" s="643">
        <f>tertiair!J20</f>
        <v>1.3862805055439102E-2</v>
      </c>
      <c r="L40" s="643">
        <f>tertiair!K20</f>
        <v>0</v>
      </c>
      <c r="M40" s="643">
        <f ca="1">tertiair!L20</f>
        <v>0</v>
      </c>
      <c r="N40" s="643">
        <f>tertiair!M20</f>
        <v>0</v>
      </c>
      <c r="O40" s="643">
        <f ca="1">tertiair!N20</f>
        <v>0</v>
      </c>
      <c r="P40" s="643">
        <f>tertiair!O20</f>
        <v>0</v>
      </c>
      <c r="Q40" s="726">
        <f>tertiair!P20</f>
        <v>0</v>
      </c>
      <c r="R40" s="804">
        <f t="shared" ca="1" si="4"/>
        <v>10602.317800570458</v>
      </c>
    </row>
    <row r="41" spans="1:18">
      <c r="A41" s="776" t="s">
        <v>214</v>
      </c>
      <c r="B41" s="783"/>
      <c r="C41" s="643">
        <f ca="1">huishoudens!B12</f>
        <v>6871.5282189984637</v>
      </c>
      <c r="D41" s="643">
        <f ca="1">huishoudens!C12</f>
        <v>0</v>
      </c>
      <c r="E41" s="643">
        <f>huishoudens!D12</f>
        <v>16670.745623015377</v>
      </c>
      <c r="F41" s="643">
        <f>huishoudens!E12</f>
        <v>408.9046641367238</v>
      </c>
      <c r="G41" s="643">
        <f>huishoudens!F12</f>
        <v>8712.625358649284</v>
      </c>
      <c r="H41" s="643">
        <f>huishoudens!G12</f>
        <v>0</v>
      </c>
      <c r="I41" s="643">
        <f>huishoudens!H12</f>
        <v>0</v>
      </c>
      <c r="J41" s="643">
        <f>huishoudens!I12</f>
        <v>0</v>
      </c>
      <c r="K41" s="643">
        <f>huishoudens!J12</f>
        <v>73.069448543761581</v>
      </c>
      <c r="L41" s="643">
        <f>huishoudens!K12</f>
        <v>0</v>
      </c>
      <c r="M41" s="643">
        <f>huishoudens!L12</f>
        <v>0</v>
      </c>
      <c r="N41" s="643">
        <f>huishoudens!M12</f>
        <v>0</v>
      </c>
      <c r="O41" s="643">
        <f>huishoudens!N12</f>
        <v>0</v>
      </c>
      <c r="P41" s="643">
        <f>huishoudens!O12</f>
        <v>0</v>
      </c>
      <c r="Q41" s="726">
        <f>huishoudens!P12</f>
        <v>0</v>
      </c>
      <c r="R41" s="804">
        <f t="shared" ca="1" si="4"/>
        <v>32736.873313343607</v>
      </c>
    </row>
    <row r="42" spans="1:18">
      <c r="A42" s="776" t="s">
        <v>479</v>
      </c>
      <c r="B42" s="783"/>
      <c r="C42" s="643">
        <f ca="1">'Eigen openbare verlichting'!B19</f>
        <v>0</v>
      </c>
      <c r="D42" s="643"/>
      <c r="E42" s="643"/>
      <c r="F42" s="643"/>
      <c r="G42" s="643"/>
      <c r="H42" s="643"/>
      <c r="I42" s="643"/>
      <c r="J42" s="643"/>
      <c r="K42" s="643"/>
      <c r="L42" s="643"/>
      <c r="M42" s="643"/>
      <c r="N42" s="643"/>
      <c r="O42" s="643"/>
      <c r="P42" s="643"/>
      <c r="Q42" s="726"/>
      <c r="R42" s="804">
        <f t="shared" ca="1" si="4"/>
        <v>0</v>
      </c>
    </row>
    <row r="43" spans="1:18">
      <c r="A43" s="776" t="s">
        <v>590</v>
      </c>
      <c r="B43" s="791" t="s">
        <v>587</v>
      </c>
      <c r="C43" s="643">
        <f ca="1">industrie!B22</f>
        <v>1502.3563065303531</v>
      </c>
      <c r="D43" s="643">
        <f ca="1">industrie!C22</f>
        <v>2.7327627627627624</v>
      </c>
      <c r="E43" s="643">
        <f>industrie!D22</f>
        <v>297.29865625495091</v>
      </c>
      <c r="F43" s="643">
        <f>industrie!E22</f>
        <v>67.025158136654042</v>
      </c>
      <c r="G43" s="643">
        <f>industrie!F22</f>
        <v>552.74319205799452</v>
      </c>
      <c r="H43" s="643">
        <f>industrie!G22</f>
        <v>0</v>
      </c>
      <c r="I43" s="643">
        <f>industrie!H22</f>
        <v>0</v>
      </c>
      <c r="J43" s="643">
        <f>industrie!I22</f>
        <v>0</v>
      </c>
      <c r="K43" s="643">
        <f>industrie!J22</f>
        <v>9.4458082797989142</v>
      </c>
      <c r="L43" s="643">
        <f>industrie!K22</f>
        <v>0</v>
      </c>
      <c r="M43" s="643">
        <f>industrie!L22</f>
        <v>0</v>
      </c>
      <c r="N43" s="643">
        <f>industrie!M22</f>
        <v>0</v>
      </c>
      <c r="O43" s="643">
        <f>industrie!N22</f>
        <v>0</v>
      </c>
      <c r="P43" s="643">
        <f>industrie!O22</f>
        <v>0</v>
      </c>
      <c r="Q43" s="726">
        <f>industrie!P22</f>
        <v>0</v>
      </c>
      <c r="R43" s="803">
        <f t="shared" ca="1" si="4"/>
        <v>2431.6018840225138</v>
      </c>
    </row>
    <row r="44" spans="1:18">
      <c r="A44" s="776"/>
      <c r="B44" s="783" t="s">
        <v>588</v>
      </c>
      <c r="C44" s="643"/>
      <c r="D44" s="643"/>
      <c r="E44" s="643"/>
      <c r="F44" s="643"/>
      <c r="G44" s="643"/>
      <c r="H44" s="643"/>
      <c r="I44" s="643"/>
      <c r="J44" s="643"/>
      <c r="K44" s="643"/>
      <c r="L44" s="643"/>
      <c r="M44" s="643"/>
      <c r="N44" s="643"/>
      <c r="O44" s="643"/>
      <c r="P44" s="643"/>
      <c r="Q44" s="726"/>
      <c r="R44" s="804">
        <f t="shared" si="4"/>
        <v>0</v>
      </c>
    </row>
    <row r="45" spans="1:18" ht="15" thickBot="1">
      <c r="A45" s="894" t="s">
        <v>664</v>
      </c>
      <c r="B45" s="898"/>
      <c r="C45" s="896"/>
      <c r="D45" s="896"/>
      <c r="E45" s="896"/>
      <c r="F45" s="896"/>
      <c r="G45" s="896"/>
      <c r="H45" s="896"/>
      <c r="I45" s="896"/>
      <c r="J45" s="896"/>
      <c r="K45" s="896"/>
      <c r="L45" s="896"/>
      <c r="M45" s="896"/>
      <c r="N45" s="896"/>
      <c r="O45" s="896"/>
      <c r="P45" s="896"/>
      <c r="Q45" s="897"/>
      <c r="R45" s="899"/>
    </row>
    <row r="46" spans="1:18" ht="15.75" thickBot="1">
      <c r="A46" s="777" t="s">
        <v>215</v>
      </c>
      <c r="B46" s="790"/>
      <c r="C46" s="679">
        <f ca="1">SUM(C39:C45)</f>
        <v>11802.654992230742</v>
      </c>
      <c r="D46" s="679">
        <f t="shared" ref="D46:Q46" ca="1" si="5">SUM(D39:D45)</f>
        <v>2.7327627627627624</v>
      </c>
      <c r="E46" s="679">
        <f t="shared" ca="1" si="5"/>
        <v>22881.689848398684</v>
      </c>
      <c r="F46" s="679">
        <f t="shared" si="5"/>
        <v>496.03840220680809</v>
      </c>
      <c r="G46" s="679">
        <f t="shared" ca="1" si="5"/>
        <v>10505.147872708969</v>
      </c>
      <c r="H46" s="679">
        <f t="shared" si="5"/>
        <v>0</v>
      </c>
      <c r="I46" s="679">
        <f t="shared" si="5"/>
        <v>0</v>
      </c>
      <c r="J46" s="679">
        <f t="shared" si="5"/>
        <v>0</v>
      </c>
      <c r="K46" s="679">
        <f t="shared" si="5"/>
        <v>82.529119628615931</v>
      </c>
      <c r="L46" s="679">
        <f t="shared" si="5"/>
        <v>0</v>
      </c>
      <c r="M46" s="679">
        <f t="shared" ca="1" si="5"/>
        <v>0</v>
      </c>
      <c r="N46" s="679">
        <f t="shared" si="5"/>
        <v>0</v>
      </c>
      <c r="O46" s="679">
        <f t="shared" ca="1" si="5"/>
        <v>0</v>
      </c>
      <c r="P46" s="679">
        <f t="shared" si="5"/>
        <v>0</v>
      </c>
      <c r="Q46" s="679">
        <f t="shared" si="5"/>
        <v>0</v>
      </c>
      <c r="R46" s="679">
        <f ca="1">SUM(R39:R45)</f>
        <v>45770.79299793658</v>
      </c>
    </row>
    <row r="47" spans="1:18" ht="15.75">
      <c r="A47" s="778" t="s">
        <v>216</v>
      </c>
      <c r="B47" s="788"/>
      <c r="C47" s="671"/>
      <c r="D47" s="672"/>
      <c r="E47" s="672"/>
      <c r="F47" s="672"/>
      <c r="G47" s="672"/>
      <c r="H47" s="672"/>
      <c r="I47" s="672"/>
      <c r="J47" s="672"/>
      <c r="K47" s="672"/>
      <c r="L47" s="672"/>
      <c r="M47" s="682"/>
      <c r="N47" s="682"/>
      <c r="O47" s="672"/>
      <c r="P47" s="682"/>
      <c r="Q47" s="682"/>
      <c r="R47" s="676"/>
    </row>
    <row r="48" spans="1:18">
      <c r="A48" s="776" t="s">
        <v>217</v>
      </c>
      <c r="B48" s="783"/>
      <c r="C48" s="643">
        <f ca="1">'Eigen vloot'!B31</f>
        <v>0</v>
      </c>
      <c r="D48" s="643">
        <f>'Eigen vloot'!C31</f>
        <v>0</v>
      </c>
      <c r="E48" s="643">
        <f>'Eigen vloot'!D31</f>
        <v>0</v>
      </c>
      <c r="F48" s="643">
        <f>'Eigen vloot'!E31</f>
        <v>0</v>
      </c>
      <c r="G48" s="643">
        <f>'Eigen vloot'!F31</f>
        <v>0</v>
      </c>
      <c r="H48" s="643">
        <f>'Eigen vloot'!G31</f>
        <v>0</v>
      </c>
      <c r="I48" s="643">
        <f>'Eigen vloot'!H31</f>
        <v>0</v>
      </c>
      <c r="J48" s="643">
        <f>'Eigen vloot'!I31</f>
        <v>0</v>
      </c>
      <c r="K48" s="643">
        <f>'Eigen vloot'!J31</f>
        <v>0</v>
      </c>
      <c r="L48" s="643">
        <f>'Eigen vloot'!K31</f>
        <v>0</v>
      </c>
      <c r="M48" s="643">
        <f>'Eigen vloot'!L31</f>
        <v>0</v>
      </c>
      <c r="N48" s="643">
        <f>'Eigen vloot'!M31</f>
        <v>0</v>
      </c>
      <c r="O48" s="643">
        <f>'Eigen vloot'!N31</f>
        <v>0</v>
      </c>
      <c r="P48" s="643">
        <f>'Eigen vloot'!O31</f>
        <v>0</v>
      </c>
      <c r="Q48" s="643">
        <f>'Eigen vloot'!P31</f>
        <v>0</v>
      </c>
      <c r="R48" s="677">
        <f ca="1">SUM(C48:Q48)</f>
        <v>0</v>
      </c>
    </row>
    <row r="49" spans="1:18">
      <c r="A49" s="776" t="s">
        <v>218</v>
      </c>
      <c r="B49" s="783"/>
      <c r="C49" s="643">
        <f ca="1">transport!B58</f>
        <v>13.272931901632697</v>
      </c>
      <c r="D49" s="643">
        <f ca="1">transport!C58</f>
        <v>0</v>
      </c>
      <c r="E49" s="643">
        <f>transport!D58</f>
        <v>0</v>
      </c>
      <c r="F49" s="643">
        <f>transport!E58</f>
        <v>0</v>
      </c>
      <c r="G49" s="643">
        <f>transport!F58</f>
        <v>0</v>
      </c>
      <c r="H49" s="643">
        <f>transport!G58</f>
        <v>1118.7613702506487</v>
      </c>
      <c r="I49" s="643">
        <f>transport!H58</f>
        <v>0</v>
      </c>
      <c r="J49" s="643">
        <f>transport!I58</f>
        <v>0</v>
      </c>
      <c r="K49" s="643">
        <f>transport!J58</f>
        <v>0</v>
      </c>
      <c r="L49" s="643">
        <f>transport!K58</f>
        <v>0</v>
      </c>
      <c r="M49" s="643">
        <f>transport!L58</f>
        <v>0</v>
      </c>
      <c r="N49" s="643">
        <f>transport!M58</f>
        <v>0</v>
      </c>
      <c r="O49" s="643">
        <f>transport!N58</f>
        <v>0</v>
      </c>
      <c r="P49" s="643">
        <f>transport!O58</f>
        <v>0</v>
      </c>
      <c r="Q49" s="644">
        <f>transport!P58</f>
        <v>0</v>
      </c>
      <c r="R49" s="677">
        <f ca="1">SUM(C49:Q49)</f>
        <v>1132.0343021522815</v>
      </c>
    </row>
    <row r="50" spans="1:18">
      <c r="A50" s="779" t="s">
        <v>296</v>
      </c>
      <c r="B50" s="789"/>
      <c r="C50" s="649">
        <f ca="1">transport!B18</f>
        <v>152.32916959141406</v>
      </c>
      <c r="D50" s="649">
        <f>transport!C18</f>
        <v>0</v>
      </c>
      <c r="E50" s="649">
        <f>transport!D18</f>
        <v>210.99164634493198</v>
      </c>
      <c r="F50" s="649">
        <f>transport!E18</f>
        <v>102.9945136086499</v>
      </c>
      <c r="G50" s="649">
        <f>transport!F18</f>
        <v>0</v>
      </c>
      <c r="H50" s="649">
        <f>transport!G18</f>
        <v>52371.289458176747</v>
      </c>
      <c r="I50" s="649">
        <f>transport!H18</f>
        <v>14180.289790364974</v>
      </c>
      <c r="J50" s="649">
        <f>transport!I18</f>
        <v>0</v>
      </c>
      <c r="K50" s="649">
        <f>transport!J18</f>
        <v>0</v>
      </c>
      <c r="L50" s="649">
        <f>transport!K18</f>
        <v>0</v>
      </c>
      <c r="M50" s="649">
        <f>transport!L18</f>
        <v>0</v>
      </c>
      <c r="N50" s="649">
        <f>transport!M18</f>
        <v>0</v>
      </c>
      <c r="O50" s="649">
        <f>transport!N18</f>
        <v>0</v>
      </c>
      <c r="P50" s="649">
        <f>transport!O18</f>
        <v>0</v>
      </c>
      <c r="Q50" s="650">
        <f>transport!P18</f>
        <v>0</v>
      </c>
      <c r="R50" s="678">
        <f ca="1">SUM(C50:Q50)</f>
        <v>67017.894578086722</v>
      </c>
    </row>
    <row r="51" spans="1:18" ht="15" thickBot="1">
      <c r="A51" s="776" t="s">
        <v>667</v>
      </c>
      <c r="B51" s="783"/>
      <c r="C51" s="643"/>
      <c r="D51" s="643"/>
      <c r="E51" s="643"/>
      <c r="F51" s="643"/>
      <c r="G51" s="643"/>
      <c r="H51" s="643"/>
      <c r="I51" s="643"/>
      <c r="J51" s="643"/>
      <c r="K51" s="643"/>
      <c r="L51" s="643"/>
      <c r="M51" s="643"/>
      <c r="N51" s="643"/>
      <c r="O51" s="643"/>
      <c r="P51" s="643"/>
      <c r="Q51" s="644"/>
      <c r="R51" s="677"/>
    </row>
    <row r="52" spans="1:18" ht="15.75" thickBot="1">
      <c r="A52" s="777" t="s">
        <v>219</v>
      </c>
      <c r="B52" s="790"/>
      <c r="C52" s="679">
        <f ca="1">SUM(C48:C51)</f>
        <v>165.60210149304675</v>
      </c>
      <c r="D52" s="679">
        <f t="shared" ref="D52:Q52" ca="1" si="6">SUM(D48:D51)</f>
        <v>0</v>
      </c>
      <c r="E52" s="679">
        <f t="shared" si="6"/>
        <v>210.99164634493198</v>
      </c>
      <c r="F52" s="679">
        <f t="shared" si="6"/>
        <v>102.9945136086499</v>
      </c>
      <c r="G52" s="679">
        <f t="shared" si="6"/>
        <v>0</v>
      </c>
      <c r="H52" s="679">
        <f t="shared" si="6"/>
        <v>53490.050828427396</v>
      </c>
      <c r="I52" s="679">
        <f t="shared" si="6"/>
        <v>14180.289790364974</v>
      </c>
      <c r="J52" s="679">
        <f t="shared" si="6"/>
        <v>0</v>
      </c>
      <c r="K52" s="679">
        <f t="shared" si="6"/>
        <v>0</v>
      </c>
      <c r="L52" s="679">
        <f t="shared" si="6"/>
        <v>0</v>
      </c>
      <c r="M52" s="679">
        <f t="shared" si="6"/>
        <v>0</v>
      </c>
      <c r="N52" s="679">
        <f t="shared" si="6"/>
        <v>0</v>
      </c>
      <c r="O52" s="679">
        <f t="shared" si="6"/>
        <v>0</v>
      </c>
      <c r="P52" s="679">
        <f t="shared" si="6"/>
        <v>0</v>
      </c>
      <c r="Q52" s="679">
        <f t="shared" si="6"/>
        <v>0</v>
      </c>
      <c r="R52" s="679">
        <f ca="1">SUM(R48:R51)</f>
        <v>68149.928880239007</v>
      </c>
    </row>
    <row r="53" spans="1:18" ht="15.75">
      <c r="A53" s="778" t="s">
        <v>226</v>
      </c>
      <c r="B53" s="757"/>
      <c r="C53" s="671"/>
      <c r="D53" s="672"/>
      <c r="E53" s="672"/>
      <c r="F53" s="672"/>
      <c r="G53" s="672"/>
      <c r="H53" s="672"/>
      <c r="I53" s="672"/>
      <c r="J53" s="672"/>
      <c r="K53" s="672"/>
      <c r="L53" s="672"/>
      <c r="M53" s="682"/>
      <c r="N53" s="682"/>
      <c r="O53" s="672"/>
      <c r="P53" s="682"/>
      <c r="Q53" s="682"/>
      <c r="R53" s="676"/>
    </row>
    <row r="54" spans="1:18">
      <c r="A54" s="779" t="s">
        <v>584</v>
      </c>
      <c r="B54" s="789"/>
      <c r="C54" s="649">
        <f ca="1">+landbouw!B12</f>
        <v>88.009243286344045</v>
      </c>
      <c r="D54" s="649">
        <f ca="1">+landbouw!C12</f>
        <v>0</v>
      </c>
      <c r="E54" s="649">
        <f>+landbouw!D12</f>
        <v>19.01424781008912</v>
      </c>
      <c r="F54" s="649">
        <f>+landbouw!E12</f>
        <v>3.5892981842505369</v>
      </c>
      <c r="G54" s="649">
        <f>+landbouw!F12</f>
        <v>403.81194462673261</v>
      </c>
      <c r="H54" s="649">
        <f>+landbouw!G12</f>
        <v>0</v>
      </c>
      <c r="I54" s="649">
        <f>+landbouw!H12</f>
        <v>0</v>
      </c>
      <c r="J54" s="649">
        <f>+landbouw!I12</f>
        <v>0</v>
      </c>
      <c r="K54" s="649">
        <f>+landbouw!J12</f>
        <v>39.947379730557891</v>
      </c>
      <c r="L54" s="649">
        <f>+landbouw!K12</f>
        <v>0</v>
      </c>
      <c r="M54" s="649">
        <f>+landbouw!L12</f>
        <v>0</v>
      </c>
      <c r="N54" s="649">
        <f>+landbouw!M12</f>
        <v>0</v>
      </c>
      <c r="O54" s="649">
        <f>+landbouw!N12</f>
        <v>0</v>
      </c>
      <c r="P54" s="649">
        <f>+landbouw!O12</f>
        <v>0</v>
      </c>
      <c r="Q54" s="650">
        <f>+landbouw!P12</f>
        <v>0</v>
      </c>
      <c r="R54" s="678">
        <f ca="1">SUM(C54:Q54)</f>
        <v>554.37211363797428</v>
      </c>
    </row>
    <row r="55" spans="1:18" ht="15" thickBot="1">
      <c r="A55" s="779" t="s">
        <v>665</v>
      </c>
      <c r="B55" s="789"/>
      <c r="C55" s="649">
        <f ca="1">C25*'EF ele_warmte'!B12</f>
        <v>180.77103608831499</v>
      </c>
      <c r="D55" s="649"/>
      <c r="E55" s="649">
        <f>E25*EF_CO2_aardgas</f>
        <v>579.37520733467045</v>
      </c>
      <c r="F55" s="649"/>
      <c r="G55" s="649"/>
      <c r="H55" s="649"/>
      <c r="I55" s="649"/>
      <c r="J55" s="649"/>
      <c r="K55" s="649"/>
      <c r="L55" s="649"/>
      <c r="M55" s="649"/>
      <c r="N55" s="649"/>
      <c r="O55" s="649"/>
      <c r="P55" s="649"/>
      <c r="Q55" s="650"/>
      <c r="R55" s="678">
        <f ca="1">SUM(C55:Q55)</f>
        <v>760.14624342298544</v>
      </c>
    </row>
    <row r="56" spans="1:18" ht="15.75" thickBot="1">
      <c r="A56" s="777" t="s">
        <v>666</v>
      </c>
      <c r="B56" s="790"/>
      <c r="C56" s="679">
        <f ca="1">SUM(C54:C55)</f>
        <v>268.78027937465902</v>
      </c>
      <c r="D56" s="679">
        <f t="shared" ref="D56:Q56" ca="1" si="7">SUM(D54:D55)</f>
        <v>0</v>
      </c>
      <c r="E56" s="679">
        <f t="shared" si="7"/>
        <v>598.38945514475961</v>
      </c>
      <c r="F56" s="679">
        <f t="shared" si="7"/>
        <v>3.5892981842505369</v>
      </c>
      <c r="G56" s="679">
        <f t="shared" si="7"/>
        <v>403.81194462673261</v>
      </c>
      <c r="H56" s="679">
        <f t="shared" si="7"/>
        <v>0</v>
      </c>
      <c r="I56" s="679">
        <f t="shared" si="7"/>
        <v>0</v>
      </c>
      <c r="J56" s="679">
        <f t="shared" si="7"/>
        <v>0</v>
      </c>
      <c r="K56" s="679">
        <f t="shared" si="7"/>
        <v>39.947379730557891</v>
      </c>
      <c r="L56" s="679">
        <f t="shared" si="7"/>
        <v>0</v>
      </c>
      <c r="M56" s="679">
        <f t="shared" si="7"/>
        <v>0</v>
      </c>
      <c r="N56" s="679">
        <f t="shared" si="7"/>
        <v>0</v>
      </c>
      <c r="O56" s="679">
        <f t="shared" si="7"/>
        <v>0</v>
      </c>
      <c r="P56" s="679">
        <f t="shared" si="7"/>
        <v>0</v>
      </c>
      <c r="Q56" s="680">
        <f t="shared" si="7"/>
        <v>0</v>
      </c>
      <c r="R56" s="681">
        <f ca="1">SUM(R54:R55)</f>
        <v>1314.5183570609597</v>
      </c>
    </row>
    <row r="57" spans="1:18" ht="15.75">
      <c r="A57" s="757" t="s">
        <v>585</v>
      </c>
      <c r="B57" s="757"/>
      <c r="C57" s="684"/>
      <c r="D57" s="672"/>
      <c r="E57" s="672"/>
      <c r="F57" s="672"/>
      <c r="G57" s="672"/>
      <c r="H57" s="672"/>
      <c r="I57" s="672"/>
      <c r="J57" s="672"/>
      <c r="K57" s="672"/>
      <c r="L57" s="672"/>
      <c r="M57" s="682"/>
      <c r="N57" s="682"/>
      <c r="O57" s="672"/>
      <c r="P57" s="682"/>
      <c r="Q57" s="682"/>
      <c r="R57" s="676"/>
    </row>
    <row r="58" spans="1:18" ht="15">
      <c r="A58" s="780" t="s">
        <v>227</v>
      </c>
      <c r="B58" s="794"/>
      <c r="C58" s="1106"/>
      <c r="D58" s="1107"/>
      <c r="E58" s="1107"/>
      <c r="F58" s="1107"/>
      <c r="G58" s="1107"/>
      <c r="H58" s="1107"/>
      <c r="I58" s="1107"/>
      <c r="J58" s="1107"/>
      <c r="K58" s="1107"/>
      <c r="L58" s="1107"/>
      <c r="M58" s="1107"/>
      <c r="N58" s="1107"/>
      <c r="O58" s="1107"/>
      <c r="P58" s="1107"/>
      <c r="Q58" s="1107"/>
      <c r="R58" s="685"/>
    </row>
    <row r="59" spans="1:18" ht="15">
      <c r="A59" s="781" t="s">
        <v>228</v>
      </c>
      <c r="B59" s="768"/>
      <c r="C59" s="1108"/>
      <c r="D59" s="1109"/>
      <c r="E59" s="1109"/>
      <c r="F59" s="1109"/>
      <c r="G59" s="1109"/>
      <c r="H59" s="1109"/>
      <c r="I59" s="1109"/>
      <c r="J59" s="1109"/>
      <c r="K59" s="1109"/>
      <c r="L59" s="1109"/>
      <c r="M59" s="1109"/>
      <c r="N59" s="1109"/>
      <c r="O59" s="1109"/>
      <c r="P59" s="1109"/>
      <c r="Q59" s="1109"/>
      <c r="R59" s="686"/>
    </row>
    <row r="60" spans="1:18" ht="15" thickBot="1">
      <c r="A60" s="792" t="s">
        <v>229</v>
      </c>
      <c r="B60" s="793"/>
      <c r="C60" s="1108"/>
      <c r="D60" s="1109"/>
      <c r="E60" s="1109"/>
      <c r="F60" s="1109"/>
      <c r="G60" s="1109"/>
      <c r="H60" s="1109"/>
      <c r="I60" s="1109"/>
      <c r="J60" s="1109"/>
      <c r="K60" s="1109"/>
      <c r="L60" s="1109"/>
      <c r="M60" s="1109"/>
      <c r="N60" s="1109"/>
      <c r="O60" s="1109"/>
      <c r="P60" s="1109"/>
      <c r="Q60" s="1109"/>
      <c r="R60" s="678"/>
    </row>
    <row r="61" spans="1:18" ht="16.5" thickBot="1">
      <c r="A61" s="795" t="s">
        <v>109</v>
      </c>
      <c r="B61" s="796"/>
      <c r="C61" s="687">
        <f ca="1">C46+C52+C56</f>
        <v>12237.037373098448</v>
      </c>
      <c r="D61" s="687">
        <f t="shared" ref="D61:Q61" ca="1" si="8">D46+D52+D56</f>
        <v>2.7327627627627624</v>
      </c>
      <c r="E61" s="687">
        <f t="shared" ca="1" si="8"/>
        <v>23691.070949888377</v>
      </c>
      <c r="F61" s="687">
        <f t="shared" si="8"/>
        <v>602.62221399970849</v>
      </c>
      <c r="G61" s="687">
        <f t="shared" ca="1" si="8"/>
        <v>10908.959817335701</v>
      </c>
      <c r="H61" s="687">
        <f t="shared" si="8"/>
        <v>53490.050828427396</v>
      </c>
      <c r="I61" s="687">
        <f t="shared" si="8"/>
        <v>14180.289790364974</v>
      </c>
      <c r="J61" s="687">
        <f t="shared" si="8"/>
        <v>0</v>
      </c>
      <c r="K61" s="687">
        <f t="shared" si="8"/>
        <v>122.47649935917383</v>
      </c>
      <c r="L61" s="687">
        <f t="shared" si="8"/>
        <v>0</v>
      </c>
      <c r="M61" s="687">
        <f t="shared" ca="1" si="8"/>
        <v>0</v>
      </c>
      <c r="N61" s="687">
        <f t="shared" si="8"/>
        <v>0</v>
      </c>
      <c r="O61" s="687">
        <f t="shared" ca="1" si="8"/>
        <v>0</v>
      </c>
      <c r="P61" s="687">
        <f t="shared" si="8"/>
        <v>0</v>
      </c>
      <c r="Q61" s="687">
        <f t="shared" si="8"/>
        <v>0</v>
      </c>
      <c r="R61" s="687">
        <f ca="1">R46+R52+R56</f>
        <v>115235.24023523656</v>
      </c>
    </row>
    <row r="62" spans="1:18" ht="15.75" thickTop="1" thickBot="1">
      <c r="A62" s="750"/>
      <c r="B62" s="750"/>
      <c r="C62" s="689"/>
      <c r="D62" s="689"/>
      <c r="E62" s="690"/>
      <c r="F62" s="690"/>
      <c r="G62" s="690"/>
      <c r="H62" s="690"/>
      <c r="I62" s="690"/>
      <c r="J62" s="690"/>
      <c r="K62" s="690"/>
      <c r="L62" s="690"/>
      <c r="M62" s="690"/>
      <c r="N62" s="690"/>
      <c r="O62" s="690"/>
      <c r="P62" s="690"/>
      <c r="Q62" s="690"/>
      <c r="R62" s="690"/>
    </row>
    <row r="63" spans="1:18" ht="20.25" thickTop="1" thickBot="1">
      <c r="A63" s="691" t="s">
        <v>335</v>
      </c>
      <c r="B63" s="775"/>
      <c r="C63" s="733">
        <f t="shared" ref="C63:Q63" ca="1" si="9">IF(ISERROR(C61/C27),0,C61/C27)</f>
        <v>0.19830605672602145</v>
      </c>
      <c r="D63" s="733">
        <f t="shared" ca="1" si="9"/>
        <v>0.22444444444444442</v>
      </c>
      <c r="E63" s="921">
        <f t="shared" ca="1" si="9"/>
        <v>0.20200000000000004</v>
      </c>
      <c r="F63" s="733">
        <f t="shared" si="9"/>
        <v>0.22700000000000001</v>
      </c>
      <c r="G63" s="733">
        <f t="shared" ca="1" si="9"/>
        <v>0.26700000000000002</v>
      </c>
      <c r="H63" s="733">
        <f t="shared" si="9"/>
        <v>0.26700000000000002</v>
      </c>
      <c r="I63" s="733">
        <f t="shared" si="9"/>
        <v>0.249</v>
      </c>
      <c r="J63" s="733">
        <f t="shared" si="9"/>
        <v>0</v>
      </c>
      <c r="K63" s="733">
        <f t="shared" si="9"/>
        <v>0.35400000000000004</v>
      </c>
      <c r="L63" s="733">
        <f t="shared" si="9"/>
        <v>0</v>
      </c>
      <c r="M63" s="733">
        <f t="shared" ca="1" si="9"/>
        <v>0</v>
      </c>
      <c r="N63" s="733">
        <f t="shared" si="9"/>
        <v>0</v>
      </c>
      <c r="O63" s="733">
        <f t="shared" ca="1" si="9"/>
        <v>0</v>
      </c>
      <c r="P63" s="733">
        <f t="shared" si="9"/>
        <v>0</v>
      </c>
      <c r="Q63" s="733">
        <f t="shared" si="9"/>
        <v>0</v>
      </c>
      <c r="R63" s="690"/>
    </row>
    <row r="64" spans="1:18" ht="33" thickTop="1" thickBot="1">
      <c r="A64" s="782" t="s">
        <v>336</v>
      </c>
      <c r="B64" s="760"/>
      <c r="C64" s="734">
        <f>'EF ele_warmte'!B6</f>
        <v>0.221</v>
      </c>
      <c r="D64" s="735"/>
      <c r="E64" s="736"/>
      <c r="F64" s="737"/>
      <c r="G64" s="737"/>
      <c r="H64" s="737"/>
      <c r="I64" s="737"/>
      <c r="J64" s="737"/>
      <c r="K64" s="737"/>
      <c r="L64" s="737"/>
      <c r="M64" s="737"/>
      <c r="N64" s="737"/>
      <c r="O64" s="737"/>
      <c r="P64" s="737"/>
      <c r="Q64" s="737"/>
      <c r="R64" s="690"/>
    </row>
    <row r="65" spans="1:18" ht="15" thickTop="1">
      <c r="A65" s="692"/>
      <c r="B65" s="692"/>
      <c r="C65" s="690"/>
      <c r="D65" s="690"/>
      <c r="E65" s="690"/>
      <c r="F65" s="690"/>
      <c r="G65" s="690"/>
      <c r="H65" s="690"/>
      <c r="I65" s="690"/>
      <c r="J65" s="690"/>
      <c r="K65" s="690"/>
      <c r="L65" s="690"/>
      <c r="M65" s="690"/>
      <c r="N65" s="690"/>
      <c r="O65" s="690"/>
      <c r="P65" s="690"/>
      <c r="Q65" s="690"/>
      <c r="R65" s="690"/>
    </row>
    <row r="66" spans="1:18" ht="18.75">
      <c r="A66" s="693" t="s">
        <v>337</v>
      </c>
      <c r="B66" s="693"/>
      <c r="C66" s="664"/>
      <c r="D66" s="694"/>
      <c r="E66" s="664"/>
      <c r="F66" s="664"/>
      <c r="G66" s="664"/>
      <c r="H66" s="664"/>
      <c r="I66" s="664"/>
      <c r="J66" s="664"/>
      <c r="K66" s="664"/>
      <c r="L66" s="664"/>
      <c r="M66" s="664"/>
      <c r="N66" s="664"/>
      <c r="O66" s="664"/>
      <c r="P66" s="695"/>
      <c r="Q66" s="695"/>
      <c r="R66" s="695"/>
    </row>
    <row r="67" spans="1:18">
      <c r="A67" s="1084"/>
      <c r="B67" s="1084"/>
      <c r="C67" s="1084"/>
      <c r="D67" s="1084"/>
      <c r="E67" s="1084"/>
      <c r="F67" s="1084"/>
      <c r="G67" s="1084"/>
      <c r="H67" s="1084"/>
      <c r="I67" s="1084"/>
      <c r="J67" s="1084"/>
      <c r="K67" s="1084"/>
      <c r="L67" s="1084"/>
      <c r="M67" s="1084"/>
      <c r="N67" s="1084"/>
      <c r="O67" s="1084"/>
      <c r="P67" s="1084"/>
      <c r="Q67" s="1084"/>
      <c r="R67" s="696"/>
    </row>
    <row r="68" spans="1:18" ht="16.5" customHeight="1" thickBot="1">
      <c r="A68" s="667"/>
      <c r="B68" s="667"/>
      <c r="C68" s="668"/>
      <c r="D68" s="668"/>
      <c r="E68" s="668"/>
      <c r="F68" s="668"/>
      <c r="G68" s="668"/>
      <c r="H68" s="668"/>
      <c r="I68" s="668"/>
      <c r="J68" s="668"/>
      <c r="K68" s="668"/>
      <c r="L68" s="668"/>
      <c r="M68" s="668"/>
      <c r="N68" s="668"/>
      <c r="O68" s="668"/>
      <c r="P68" s="668"/>
      <c r="Q68" s="668"/>
      <c r="R68" s="668"/>
    </row>
    <row r="69" spans="1:18" ht="48.75" customHeight="1" thickTop="1" thickBot="1">
      <c r="A69" s="1085" t="s">
        <v>230</v>
      </c>
      <c r="B69" s="1071" t="s">
        <v>338</v>
      </c>
      <c r="C69" s="1072"/>
      <c r="D69" s="1051" t="s">
        <v>339</v>
      </c>
      <c r="E69" s="1052"/>
      <c r="F69" s="1052"/>
      <c r="G69" s="1052"/>
      <c r="H69" s="1052"/>
      <c r="I69" s="1052"/>
      <c r="J69" s="1052"/>
      <c r="K69" s="1052"/>
      <c r="L69" s="1052"/>
      <c r="M69" s="1052"/>
      <c r="N69" s="1052"/>
      <c r="O69" s="1053"/>
      <c r="P69" s="909" t="s">
        <v>593</v>
      </c>
      <c r="Q69" s="1043" t="s">
        <v>592</v>
      </c>
      <c r="R69" s="1044"/>
    </row>
    <row r="70" spans="1:18" ht="61.5" thickTop="1" thickBot="1">
      <c r="A70" s="1086"/>
      <c r="B70" s="1073"/>
      <c r="C70" s="1074"/>
      <c r="D70" s="1068" t="s">
        <v>190</v>
      </c>
      <c r="E70" s="1069"/>
      <c r="F70" s="1069"/>
      <c r="G70" s="1069"/>
      <c r="H70" s="1070"/>
      <c r="I70" s="883" t="s">
        <v>235</v>
      </c>
      <c r="J70" s="883" t="s">
        <v>223</v>
      </c>
      <c r="K70" s="883" t="s">
        <v>202</v>
      </c>
      <c r="L70" s="883" t="s">
        <v>203</v>
      </c>
      <c r="M70" s="697" t="s">
        <v>234</v>
      </c>
      <c r="N70" s="883" t="s">
        <v>236</v>
      </c>
      <c r="O70" s="885" t="s">
        <v>120</v>
      </c>
      <c r="P70" s="910"/>
      <c r="Q70" s="810"/>
      <c r="R70" s="811"/>
    </row>
    <row r="71" spans="1:18" ht="95.25" customHeight="1" thickTop="1" thickBot="1">
      <c r="A71" s="1087"/>
      <c r="B71" s="888" t="s">
        <v>591</v>
      </c>
      <c r="C71" s="888" t="s">
        <v>669</v>
      </c>
      <c r="D71" s="901" t="s">
        <v>192</v>
      </c>
      <c r="E71" s="902" t="s">
        <v>193</v>
      </c>
      <c r="F71" s="883" t="s">
        <v>194</v>
      </c>
      <c r="G71" s="882" t="s">
        <v>196</v>
      </c>
      <c r="H71" s="903" t="s">
        <v>197</v>
      </c>
      <c r="I71" s="884"/>
      <c r="J71" s="884"/>
      <c r="K71" s="884"/>
      <c r="L71" s="884"/>
      <c r="M71" s="699"/>
      <c r="N71" s="884"/>
      <c r="O71" s="889"/>
      <c r="P71" s="911"/>
      <c r="Q71" s="890" t="s">
        <v>594</v>
      </c>
      <c r="R71" s="889" t="s">
        <v>595</v>
      </c>
    </row>
    <row r="72" spans="1:18" ht="15.75" thickTop="1">
      <c r="A72" s="700" t="s">
        <v>238</v>
      </c>
      <c r="B72" s="797">
        <f>'lokale energieproductie'!B4</f>
        <v>0</v>
      </c>
      <c r="C72" s="1047"/>
      <c r="D72" s="1047"/>
      <c r="E72" s="1060"/>
      <c r="F72" s="1060"/>
      <c r="G72" s="1061"/>
      <c r="H72" s="1064"/>
      <c r="I72" s="1050"/>
      <c r="J72" s="886"/>
      <c r="K72" s="1054"/>
      <c r="L72" s="1054"/>
      <c r="M72" s="1054"/>
      <c r="N72" s="1054"/>
      <c r="O72" s="1057"/>
      <c r="P72" s="805">
        <v>0</v>
      </c>
      <c r="Q72" s="912"/>
      <c r="R72" s="805">
        <v>0</v>
      </c>
    </row>
    <row r="73" spans="1:18" ht="15">
      <c r="A73" s="701" t="s">
        <v>239</v>
      </c>
      <c r="B73" s="700">
        <f>'lokale energieproductie'!B5</f>
        <v>0</v>
      </c>
      <c r="C73" s="1048"/>
      <c r="D73" s="1048"/>
      <c r="E73" s="1055"/>
      <c r="F73" s="1055"/>
      <c r="G73" s="1062"/>
      <c r="H73" s="1065"/>
      <c r="I73" s="1048"/>
      <c r="J73" s="887"/>
      <c r="K73" s="1055"/>
      <c r="L73" s="1055"/>
      <c r="M73" s="1055"/>
      <c r="N73" s="1055"/>
      <c r="O73" s="1058"/>
      <c r="P73" s="806">
        <v>0</v>
      </c>
      <c r="Q73" s="812"/>
      <c r="R73" s="806">
        <v>0</v>
      </c>
    </row>
    <row r="74" spans="1:18" ht="15">
      <c r="A74" s="701" t="s">
        <v>240</v>
      </c>
      <c r="B74" s="700">
        <f>'lokale energieproductie'!B6</f>
        <v>6336.7573690074896</v>
      </c>
      <c r="C74" s="1048"/>
      <c r="D74" s="1048"/>
      <c r="E74" s="1055"/>
      <c r="F74" s="1055"/>
      <c r="G74" s="1062"/>
      <c r="H74" s="1065"/>
      <c r="I74" s="1048"/>
      <c r="J74" s="887"/>
      <c r="K74" s="1055"/>
      <c r="L74" s="1055"/>
      <c r="M74" s="1055"/>
      <c r="N74" s="1055"/>
      <c r="O74" s="1058"/>
      <c r="P74" s="806">
        <v>0</v>
      </c>
      <c r="Q74" s="812"/>
      <c r="R74" s="806">
        <v>0</v>
      </c>
    </row>
    <row r="75" spans="1:18" ht="15.75" thickBot="1">
      <c r="A75" s="701" t="s">
        <v>668</v>
      </c>
      <c r="B75" s="700">
        <f>'lokale energieproductie'!B7</f>
        <v>0</v>
      </c>
      <c r="C75" s="1049"/>
      <c r="D75" s="1049"/>
      <c r="E75" s="1056"/>
      <c r="F75" s="1056"/>
      <c r="G75" s="1063"/>
      <c r="H75" s="1066"/>
      <c r="I75" s="1049"/>
      <c r="J75" s="906"/>
      <c r="K75" s="1056"/>
      <c r="L75" s="1056"/>
      <c r="M75" s="1056"/>
      <c r="N75" s="1056"/>
      <c r="O75" s="1059"/>
      <c r="P75" s="806">
        <v>0</v>
      </c>
      <c r="Q75" s="913"/>
      <c r="R75" s="806">
        <v>0</v>
      </c>
    </row>
    <row r="76" spans="1:18" ht="15">
      <c r="A76" s="702" t="s">
        <v>241</v>
      </c>
      <c r="B76" s="700">
        <f>'lokale energieproductie'!B8*IFERROR(SUM(I76:O76)/SUM(D76:O76),0)</f>
        <v>0</v>
      </c>
      <c r="C76" s="700">
        <f>'lokale energieproductie'!B8*IFERROR(SUM(D76:H76)/SUM(D76:O76),0)</f>
        <v>8.5</v>
      </c>
      <c r="D76" s="904">
        <f>'lokale energieproductie'!C8</f>
        <v>9.4444444444444429</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7">
        <f>D76*EF_CO2_aardgas+E76*EF_VLgas_CO2+'SEAP template'!F76*EF_stookolie_CO2+EF_bruinkool_CO2*'SEAP template'!G76+'SEAP template'!H76*EF_steenkool_CO2+'EF brandstof'!M4*'SEAP template'!M76+'SEAP template'!O76*EF_anderfossiel_CO2</f>
        <v>1.9077777777777776</v>
      </c>
      <c r="R76" s="806">
        <v>0</v>
      </c>
    </row>
    <row r="77" spans="1:18" ht="15.75" thickBot="1">
      <c r="A77" s="703" t="s">
        <v>710</v>
      </c>
      <c r="B77" s="700">
        <f>'lokale energieproductie'!B9*IFERROR(SUM(I77:O77)/SUM(D77:O77),0)</f>
        <v>0</v>
      </c>
      <c r="C77" s="700">
        <f>'lokale energieproductie'!B9*IFERROR(SUM(D77:H77)/SUM(D77:O77),0)</f>
        <v>0</v>
      </c>
      <c r="D77" s="727">
        <f>'lokale energieproductie'!C9</f>
        <v>0</v>
      </c>
      <c r="E77" s="728">
        <f>'lokale energieproductie'!D9</f>
        <v>0</v>
      </c>
      <c r="F77" s="728">
        <f>'lokale energieproductie'!E9</f>
        <v>0</v>
      </c>
      <c r="G77" s="728">
        <f>'lokale energieproductie'!F9</f>
        <v>0</v>
      </c>
      <c r="H77" s="728">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9"/>
      <c r="Q77" s="807">
        <f>D77*EF_CO2_aardgas+E77*EF_VLgas_CO2+'SEAP template'!F77*EF_stookolie_CO2+EF_bruinkool_CO2*'SEAP template'!G77+'SEAP template'!H77*EF_steenkool_CO2+'EF brandstof'!M4*'SEAP template'!M77+'SEAP template'!O77*EF_anderfossiel_CO2</f>
        <v>0</v>
      </c>
      <c r="R77" s="809">
        <v>0</v>
      </c>
    </row>
    <row r="78" spans="1:18" ht="16.5" thickTop="1" thickBot="1">
      <c r="A78" s="704" t="s">
        <v>109</v>
      </c>
      <c r="B78" s="705">
        <f>SUM(B72:B77)</f>
        <v>6336.7573690074896</v>
      </c>
      <c r="C78" s="705">
        <f>SUM(C72:C77)</f>
        <v>8.5</v>
      </c>
      <c r="D78" s="706">
        <f t="shared" ref="D78:H78" si="10">SUM(D76:D77)</f>
        <v>9.4444444444444429</v>
      </c>
      <c r="E78" s="706">
        <f t="shared" si="10"/>
        <v>0</v>
      </c>
      <c r="F78" s="706">
        <f t="shared" si="10"/>
        <v>0</v>
      </c>
      <c r="G78" s="706">
        <f t="shared" si="10"/>
        <v>0</v>
      </c>
      <c r="H78" s="706">
        <f t="shared" si="10"/>
        <v>0</v>
      </c>
      <c r="I78" s="706">
        <f>SUM(I76:I77)</f>
        <v>0</v>
      </c>
      <c r="J78" s="706">
        <f>SUM(J76:J77)</f>
        <v>0</v>
      </c>
      <c r="K78" s="706">
        <f t="shared" ref="K78:L78" si="11">SUM(K76:K77)</f>
        <v>0</v>
      </c>
      <c r="L78" s="706">
        <f t="shared" si="11"/>
        <v>0</v>
      </c>
      <c r="M78" s="706">
        <f>SUM(M76:M77)</f>
        <v>0</v>
      </c>
      <c r="N78" s="706">
        <f>SUM(N76:N77)</f>
        <v>0</v>
      </c>
      <c r="O78" s="814">
        <f>SUM(O76:O77)</f>
        <v>0</v>
      </c>
      <c r="P78" s="707">
        <v>0</v>
      </c>
      <c r="Q78" s="707">
        <f>SUM(Q76:Q77)</f>
        <v>1.9077777777777776</v>
      </c>
      <c r="R78" s="707">
        <f>SUM(R72:R77)</f>
        <v>0</v>
      </c>
    </row>
    <row r="79" spans="1:18" ht="15.75" thickTop="1">
      <c r="A79" s="708"/>
      <c r="B79" s="761"/>
      <c r="C79" s="709"/>
      <c r="D79" s="709"/>
      <c r="E79" s="665"/>
      <c r="F79" s="664"/>
      <c r="G79" s="664"/>
      <c r="H79" s="664"/>
      <c r="I79" s="710"/>
      <c r="J79" s="664"/>
      <c r="K79" s="664"/>
      <c r="L79" s="664"/>
      <c r="M79" s="664"/>
      <c r="N79" s="711"/>
      <c r="O79" s="664"/>
      <c r="P79" s="664"/>
      <c r="Q79" s="664"/>
      <c r="R79" s="664"/>
    </row>
    <row r="80" spans="1:18" ht="15">
      <c r="A80" s="688"/>
      <c r="B80" s="750"/>
      <c r="C80" s="709"/>
      <c r="D80" s="709"/>
      <c r="E80" s="664"/>
      <c r="F80" s="664"/>
      <c r="G80" s="664"/>
      <c r="H80" s="664"/>
      <c r="I80" s="664"/>
      <c r="J80" s="664"/>
      <c r="K80" s="664"/>
      <c r="L80" s="664"/>
      <c r="M80" s="664"/>
      <c r="N80" s="664"/>
      <c r="O80" s="664"/>
      <c r="P80" s="664"/>
      <c r="Q80" s="664"/>
      <c r="R80" s="664"/>
    </row>
    <row r="81" spans="1:19" ht="18.75">
      <c r="A81" s="712" t="s">
        <v>341</v>
      </c>
      <c r="B81" s="712"/>
      <c r="C81" s="713"/>
      <c r="D81" s="694"/>
      <c r="E81" s="664"/>
      <c r="F81" s="664"/>
      <c r="G81" s="664"/>
      <c r="H81" s="664"/>
      <c r="I81" s="664"/>
      <c r="J81" s="664"/>
      <c r="K81" s="664"/>
      <c r="L81" s="664"/>
      <c r="M81" s="664"/>
      <c r="N81" s="664"/>
      <c r="O81" s="664"/>
      <c r="P81" s="664"/>
      <c r="Q81" s="664"/>
      <c r="R81" s="664"/>
    </row>
    <row r="82" spans="1:19">
      <c r="A82" s="1084"/>
      <c r="B82" s="1084"/>
      <c r="C82" s="1084"/>
      <c r="D82" s="1084"/>
      <c r="E82" s="1084"/>
      <c r="F82" s="1084"/>
      <c r="G82" s="1084"/>
      <c r="H82" s="1084"/>
      <c r="I82" s="1084"/>
      <c r="J82" s="1084"/>
      <c r="K82" s="1084"/>
      <c r="L82" s="1084"/>
      <c r="M82" s="1084"/>
      <c r="N82" s="1084"/>
      <c r="O82" s="1084"/>
      <c r="P82" s="1084"/>
      <c r="Q82" s="696"/>
      <c r="R82" s="696"/>
    </row>
    <row r="83" spans="1:19" ht="15.75" thickBot="1">
      <c r="A83" s="667"/>
      <c r="B83" s="667"/>
      <c r="C83" s="668"/>
      <c r="D83" s="668"/>
      <c r="E83" s="668"/>
      <c r="F83" s="668"/>
      <c r="G83" s="668"/>
      <c r="H83" s="668"/>
      <c r="I83" s="668"/>
      <c r="J83" s="668"/>
      <c r="K83" s="668"/>
      <c r="L83" s="668"/>
      <c r="M83" s="668"/>
      <c r="N83" s="668"/>
      <c r="O83" s="668"/>
      <c r="P83" s="668"/>
      <c r="Q83" s="668"/>
      <c r="R83" s="668"/>
    </row>
    <row r="84" spans="1:19" ht="48.2" customHeight="1" thickTop="1" thickBot="1">
      <c r="A84" s="1085" t="s">
        <v>242</v>
      </c>
      <c r="B84" s="1071" t="s">
        <v>342</v>
      </c>
      <c r="C84" s="1093"/>
      <c r="D84" s="1081" t="s">
        <v>343</v>
      </c>
      <c r="E84" s="1082"/>
      <c r="F84" s="1082"/>
      <c r="G84" s="1082"/>
      <c r="H84" s="1082"/>
      <c r="I84" s="1082"/>
      <c r="J84" s="1082"/>
      <c r="K84" s="1082"/>
      <c r="L84" s="1082"/>
      <c r="M84" s="1082"/>
      <c r="N84" s="1082"/>
      <c r="O84" s="1083"/>
      <c r="P84" s="909" t="s">
        <v>593</v>
      </c>
      <c r="Q84" s="1071" t="s">
        <v>592</v>
      </c>
      <c r="R84" s="1072"/>
    </row>
    <row r="85" spans="1:19" ht="16.5" customHeight="1" thickTop="1" thickBot="1">
      <c r="A85" s="1086"/>
      <c r="B85" s="1094"/>
      <c r="C85" s="1095"/>
      <c r="D85" s="1088" t="s">
        <v>190</v>
      </c>
      <c r="E85" s="1089"/>
      <c r="F85" s="1089"/>
      <c r="G85" s="1089"/>
      <c r="H85" s="1090"/>
      <c r="I85" s="1079" t="s">
        <v>235</v>
      </c>
      <c r="J85" s="1075" t="s">
        <v>223</v>
      </c>
      <c r="K85" s="1045" t="s">
        <v>202</v>
      </c>
      <c r="L85" s="1045" t="s">
        <v>203</v>
      </c>
      <c r="M85" s="1091" t="s">
        <v>234</v>
      </c>
      <c r="N85" s="1045" t="s">
        <v>246</v>
      </c>
      <c r="O85" s="1077" t="s">
        <v>120</v>
      </c>
      <c r="P85" s="910"/>
      <c r="Q85" s="810"/>
      <c r="R85" s="811"/>
    </row>
    <row r="86" spans="1:19" ht="110.25" customHeight="1" thickTop="1" thickBot="1">
      <c r="A86" s="1087"/>
      <c r="B86" s="798" t="s">
        <v>591</v>
      </c>
      <c r="C86" s="798" t="s">
        <v>669</v>
      </c>
      <c r="D86" s="714" t="s">
        <v>192</v>
      </c>
      <c r="E86" s="698" t="s">
        <v>193</v>
      </c>
      <c r="F86" s="715" t="s">
        <v>194</v>
      </c>
      <c r="G86" s="698" t="s">
        <v>196</v>
      </c>
      <c r="H86" s="716" t="s">
        <v>197</v>
      </c>
      <c r="I86" s="1080"/>
      <c r="J86" s="1076"/>
      <c r="K86" s="1046"/>
      <c r="L86" s="1046"/>
      <c r="M86" s="1092"/>
      <c r="N86" s="1046"/>
      <c r="O86" s="1078"/>
      <c r="P86" s="911"/>
      <c r="Q86" s="751" t="s">
        <v>594</v>
      </c>
      <c r="R86" s="749" t="s">
        <v>595</v>
      </c>
    </row>
    <row r="87" spans="1:19" ht="15.75" thickTop="1">
      <c r="A87" s="717" t="s">
        <v>241</v>
      </c>
      <c r="B87" s="718">
        <f>'lokale energieproductie'!B17*IFERROR(SUM(I87:O87)/SUM(D87:O87),0)</f>
        <v>0</v>
      </c>
      <c r="C87" s="718">
        <f>'lokale energieproductie'!B17*IFERROR(SUM(D87:H87)/SUM(D87:O87),0)</f>
        <v>12.175675675675675</v>
      </c>
      <c r="D87" s="729">
        <f>'lokale energieproductie'!C17</f>
        <v>13.528528528528525</v>
      </c>
      <c r="E87" s="729">
        <f>'lokale energieproductie'!D17</f>
        <v>0</v>
      </c>
      <c r="F87" s="729">
        <f>'lokale energieproductie'!E17</f>
        <v>0</v>
      </c>
      <c r="G87" s="729">
        <f>'lokale energieproductie'!F17</f>
        <v>0</v>
      </c>
      <c r="H87" s="729">
        <f>'lokale energieproductie'!G17</f>
        <v>0</v>
      </c>
      <c r="I87" s="729">
        <f>'lokale energieproductie'!I17</f>
        <v>0</v>
      </c>
      <c r="J87" s="729">
        <f>'lokale energieproductie'!J17</f>
        <v>0</v>
      </c>
      <c r="K87" s="729">
        <f>'lokale energieproductie'!M17</f>
        <v>0</v>
      </c>
      <c r="L87" s="729">
        <f>'lokale energieproductie'!N17</f>
        <v>0</v>
      </c>
      <c r="M87" s="729">
        <f>'lokale energieproductie'!H17</f>
        <v>0</v>
      </c>
      <c r="N87" s="729">
        <f>'lokale energieproductie'!K17</f>
        <v>0</v>
      </c>
      <c r="O87" s="729">
        <f>'lokale energieproductie'!L17</f>
        <v>0</v>
      </c>
      <c r="P87" s="1040"/>
      <c r="Q87" s="813">
        <f>D87*EF_CO2_aardgas+E87*EF_VLgas_CO2+'SEAP template'!F87*EF_stookolie_CO2+EF_bruinkool_CO2*'SEAP template'!G87+'SEAP template'!H87*EF_steenkool_CO2+'EF brandstof'!M4*'SEAP template'!M87+'SEAP template'!O87*EF_anderfossiel_CO2</f>
        <v>2.7327627627627624</v>
      </c>
      <c r="R87" s="800">
        <v>0</v>
      </c>
    </row>
    <row r="88" spans="1:19" ht="15">
      <c r="A88" s="719" t="s">
        <v>247</v>
      </c>
      <c r="B88" s="718">
        <f>'lokale energieproductie'!B18*IFERROR(SUM(I88:O88)/SUM(D88:O88),0)</f>
        <v>0</v>
      </c>
      <c r="C88" s="718">
        <f>'lokale energieproductie'!B18*IFERROR(SUM(D88:H88)/SUM(D88:O88),0)</f>
        <v>0</v>
      </c>
      <c r="D88" s="729">
        <f>'lokale energieproductie'!C18</f>
        <v>0</v>
      </c>
      <c r="E88" s="729">
        <f>'lokale energieproductie'!D18</f>
        <v>0</v>
      </c>
      <c r="F88" s="729">
        <f>'lokale energieproductie'!E18</f>
        <v>0</v>
      </c>
      <c r="G88" s="729">
        <f>'lokale energieproductie'!F18</f>
        <v>0</v>
      </c>
      <c r="H88" s="729">
        <f>'lokale energieproductie'!G18</f>
        <v>0</v>
      </c>
      <c r="I88" s="729">
        <f>'lokale energieproductie'!I18</f>
        <v>0</v>
      </c>
      <c r="J88" s="729">
        <f>'lokale energieproductie'!J18</f>
        <v>0</v>
      </c>
      <c r="K88" s="729">
        <f>'lokale energieproductie'!M18</f>
        <v>0</v>
      </c>
      <c r="L88" s="729">
        <f>'lokale energieproductie'!N18</f>
        <v>0</v>
      </c>
      <c r="M88" s="729">
        <f>'lokale energieproductie'!H18</f>
        <v>0</v>
      </c>
      <c r="N88" s="729">
        <f>'lokale energieproductie'!K18</f>
        <v>0</v>
      </c>
      <c r="O88" s="729">
        <f>'lokale energieproductie'!L18</f>
        <v>0</v>
      </c>
      <c r="P88" s="1041"/>
      <c r="Q88" s="807">
        <f>D88*EF_CO2_aardgas+E88*EF_VLgas_CO2+'SEAP template'!F88*EF_stookolie_CO2+EF_bruinkool_CO2*'SEAP template'!G88+'SEAP template'!H88*EF_steenkool_CO2+'EF brandstof'!M4*'SEAP template'!M88+'SEAP template'!O88*EF_anderfossiel_CO2</f>
        <v>0</v>
      </c>
      <c r="R88" s="801">
        <v>0</v>
      </c>
    </row>
    <row r="89" spans="1:19" ht="30" thickBot="1">
      <c r="A89" s="703" t="s">
        <v>340</v>
      </c>
      <c r="B89" s="718">
        <f>'lokale energieproductie'!B19*IFERROR(SUM(I89:O89)/SUM(D89:O89),0)</f>
        <v>0</v>
      </c>
      <c r="C89" s="718">
        <f>'lokale energieproductie'!B19*IFERROR(SUM(D89:H89)/SUM(D89:O89),0)</f>
        <v>0</v>
      </c>
      <c r="D89" s="729">
        <f>'lokale energieproductie'!C19</f>
        <v>0</v>
      </c>
      <c r="E89" s="729">
        <f>'lokale energieproductie'!D19</f>
        <v>0</v>
      </c>
      <c r="F89" s="729">
        <f>'lokale energieproductie'!E19</f>
        <v>0</v>
      </c>
      <c r="G89" s="729">
        <f>'lokale energieproductie'!F19</f>
        <v>0</v>
      </c>
      <c r="H89" s="729">
        <f>'lokale energieproductie'!G19</f>
        <v>0</v>
      </c>
      <c r="I89" s="729">
        <f>'lokale energieproductie'!I19</f>
        <v>0</v>
      </c>
      <c r="J89" s="729">
        <f>'lokale energieproductie'!J19</f>
        <v>0</v>
      </c>
      <c r="K89" s="729">
        <f>'lokale energieproductie'!M19</f>
        <v>0</v>
      </c>
      <c r="L89" s="729">
        <f>'lokale energieproductie'!N19</f>
        <v>0</v>
      </c>
      <c r="M89" s="729">
        <f>'lokale energieproductie'!H19</f>
        <v>0</v>
      </c>
      <c r="N89" s="729">
        <f>'lokale energieproductie'!K19</f>
        <v>0</v>
      </c>
      <c r="O89" s="729">
        <f>'lokale energieproductie'!L19</f>
        <v>0</v>
      </c>
      <c r="P89" s="1042"/>
      <c r="Q89" s="808">
        <f>D89*EF_CO2_aardgas+E89*EF_VLgas_CO2+'SEAP template'!F89*EF_stookolie_CO2+EF_bruinkool_CO2*'SEAP template'!G89+'SEAP template'!H89*EF_steenkool_CO2+'EF brandstof'!M4*'SEAP template'!M89+'SEAP template'!O89*EF_anderfossiel_CO2</f>
        <v>0</v>
      </c>
      <c r="R89" s="802">
        <v>0</v>
      </c>
    </row>
    <row r="90" spans="1:19" ht="16.5" thickTop="1" thickBot="1">
      <c r="A90" s="720" t="s">
        <v>109</v>
      </c>
      <c r="B90" s="705">
        <f>SUM(B87:B89)</f>
        <v>0</v>
      </c>
      <c r="C90" s="705">
        <f>SUM(C87:C89)</f>
        <v>12.175675675675675</v>
      </c>
      <c r="D90" s="705">
        <f t="shared" ref="D90:H90" si="12">SUM(D87:D89)</f>
        <v>13.528528528528525</v>
      </c>
      <c r="E90" s="705">
        <f t="shared" si="12"/>
        <v>0</v>
      </c>
      <c r="F90" s="705">
        <f t="shared" si="12"/>
        <v>0</v>
      </c>
      <c r="G90" s="705">
        <f t="shared" si="12"/>
        <v>0</v>
      </c>
      <c r="H90" s="705">
        <f t="shared" si="12"/>
        <v>0</v>
      </c>
      <c r="I90" s="705">
        <f>SUM(I87:I89)</f>
        <v>0</v>
      </c>
      <c r="J90" s="705">
        <f>SUM(J87:J89)</f>
        <v>0</v>
      </c>
      <c r="K90" s="705">
        <f t="shared" ref="K90:L90" si="13">SUM(K87:K89)</f>
        <v>0</v>
      </c>
      <c r="L90" s="705">
        <f t="shared" si="13"/>
        <v>0</v>
      </c>
      <c r="M90" s="705">
        <f>SUM(M87:M89)</f>
        <v>0</v>
      </c>
      <c r="N90" s="705">
        <f>SUM(N87:N89)</f>
        <v>0</v>
      </c>
      <c r="O90" s="705">
        <f>SUM(O87:O89)</f>
        <v>0</v>
      </c>
      <c r="P90" s="705">
        <v>0</v>
      </c>
      <c r="Q90" s="705">
        <f>SUM(Q87:Q89)</f>
        <v>2.7327627627627624</v>
      </c>
      <c r="R90" s="814">
        <f>SUM(R87:R89)</f>
        <v>0</v>
      </c>
    </row>
    <row r="91" spans="1:19" ht="15.75" thickTop="1">
      <c r="A91" s="721"/>
      <c r="B91" s="721"/>
      <c r="C91" s="722"/>
      <c r="D91" s="723"/>
      <c r="E91" s="724"/>
      <c r="F91" s="710"/>
      <c r="G91" s="710"/>
      <c r="H91" s="710"/>
      <c r="I91" s="710"/>
      <c r="J91" s="710"/>
      <c r="K91" s="710"/>
      <c r="L91" s="710"/>
      <c r="M91" s="664"/>
      <c r="Q91" s="710"/>
      <c r="R91" s="664"/>
      <c r="S91" s="695"/>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02" t="s">
        <v>740</v>
      </c>
      <c r="B2" s="1022" t="s">
        <v>786</v>
      </c>
      <c r="C2" s="1002" t="s">
        <v>601</v>
      </c>
      <c r="D2" s="1002" t="s">
        <v>741</v>
      </c>
      <c r="E2" s="341"/>
      <c r="F2" s="850" t="s">
        <v>636</v>
      </c>
      <c r="G2" s="850" t="s">
        <v>635</v>
      </c>
      <c r="H2" s="850" t="s">
        <v>637</v>
      </c>
    </row>
    <row r="3" spans="1:8" s="11" customFormat="1">
      <c r="A3" s="1017" t="s">
        <v>782</v>
      </c>
      <c r="B3" s="1022" t="s">
        <v>784</v>
      </c>
      <c r="C3" s="1017" t="s">
        <v>186</v>
      </c>
      <c r="D3" s="1018" t="s">
        <v>785</v>
      </c>
      <c r="E3" s="341"/>
      <c r="F3" s="850" t="s">
        <v>636</v>
      </c>
      <c r="G3" s="850" t="s">
        <v>635</v>
      </c>
      <c r="H3" s="850" t="s">
        <v>637</v>
      </c>
    </row>
    <row r="4" spans="1:8" s="11" customFormat="1">
      <c r="A4" s="340" t="s">
        <v>383</v>
      </c>
      <c r="B4" s="753">
        <v>2021</v>
      </c>
      <c r="C4" s="340" t="s">
        <v>383</v>
      </c>
      <c r="D4" s="340" t="s">
        <v>643</v>
      </c>
      <c r="E4" s="341"/>
      <c r="F4" s="850" t="s">
        <v>632</v>
      </c>
      <c r="G4" s="850" t="s">
        <v>633</v>
      </c>
      <c r="H4" s="850" t="s">
        <v>634</v>
      </c>
    </row>
    <row r="5" spans="1:8">
      <c r="A5" s="335" t="s">
        <v>730</v>
      </c>
      <c r="B5" s="848" t="s">
        <v>742</v>
      </c>
      <c r="C5" s="335" t="s">
        <v>730</v>
      </c>
      <c r="D5" s="335" t="s">
        <v>644</v>
      </c>
      <c r="E5" s="337"/>
      <c r="F5" s="338"/>
      <c r="G5" s="338"/>
      <c r="H5" s="339"/>
    </row>
    <row r="6" spans="1:8">
      <c r="A6" s="340" t="s">
        <v>407</v>
      </c>
      <c r="B6" s="343" t="s">
        <v>408</v>
      </c>
      <c r="C6" s="340" t="s">
        <v>410</v>
      </c>
      <c r="D6" s="340" t="s">
        <v>406</v>
      </c>
      <c r="E6" s="337" t="s">
        <v>409</v>
      </c>
      <c r="F6" s="338"/>
      <c r="G6" s="338"/>
      <c r="H6" s="339"/>
    </row>
    <row r="7" spans="1:8" s="11" customFormat="1">
      <c r="A7" s="340" t="s">
        <v>638</v>
      </c>
      <c r="B7" s="753">
        <v>2020</v>
      </c>
      <c r="C7" s="340" t="s">
        <v>383</v>
      </c>
      <c r="D7" s="340" t="s">
        <v>787</v>
      </c>
      <c r="E7" s="341" t="s">
        <v>639</v>
      </c>
      <c r="F7" s="850"/>
      <c r="G7" s="850"/>
      <c r="H7" s="1006"/>
    </row>
    <row r="8" spans="1:8" s="842" customFormat="1">
      <c r="A8" s="340" t="s">
        <v>649</v>
      </c>
      <c r="B8" s="753">
        <v>2017</v>
      </c>
      <c r="C8" s="340" t="s">
        <v>651</v>
      </c>
      <c r="D8" s="340" t="s">
        <v>650</v>
      </c>
      <c r="E8" s="342" t="s">
        <v>648</v>
      </c>
      <c r="F8" s="338"/>
      <c r="G8" s="338"/>
      <c r="H8" s="339"/>
    </row>
    <row r="9" spans="1:8" s="11" customFormat="1">
      <c r="A9" s="340" t="s">
        <v>578</v>
      </c>
      <c r="B9" s="753" t="s">
        <v>775</v>
      </c>
      <c r="C9" s="340" t="s">
        <v>579</v>
      </c>
      <c r="D9" s="340" t="s">
        <v>580</v>
      </c>
      <c r="E9" s="341"/>
      <c r="F9" s="850" t="s">
        <v>744</v>
      </c>
      <c r="G9" s="850"/>
      <c r="H9" s="1001" t="s">
        <v>745</v>
      </c>
    </row>
    <row r="10" spans="1:8">
      <c r="A10" s="335" t="s">
        <v>627</v>
      </c>
      <c r="B10" s="848" t="s">
        <v>655</v>
      </c>
      <c r="C10" s="335" t="s">
        <v>628</v>
      </c>
      <c r="D10" s="335" t="s">
        <v>707</v>
      </c>
      <c r="E10" s="642"/>
      <c r="F10" s="338" t="s">
        <v>631</v>
      </c>
      <c r="G10" s="338" t="s">
        <v>629</v>
      </c>
      <c r="H10" s="339" t="s">
        <v>630</v>
      </c>
    </row>
    <row r="11" spans="1:8" s="842" customFormat="1">
      <c r="A11" s="340" t="s">
        <v>642</v>
      </c>
      <c r="B11" s="753">
        <v>2017</v>
      </c>
      <c r="C11" s="340" t="s">
        <v>401</v>
      </c>
      <c r="D11" s="340" t="s">
        <v>641</v>
      </c>
      <c r="E11" s="337"/>
      <c r="F11" s="338" t="s">
        <v>640</v>
      </c>
      <c r="G11" s="338" t="s">
        <v>645</v>
      </c>
      <c r="H11" s="339" t="s">
        <v>646</v>
      </c>
    </row>
    <row r="12" spans="1:8" s="10" customFormat="1">
      <c r="A12" s="340" t="s">
        <v>385</v>
      </c>
      <c r="B12" s="336" t="s">
        <v>400</v>
      </c>
      <c r="C12" s="335"/>
      <c r="D12" s="344" t="s">
        <v>399</v>
      </c>
      <c r="E12" s="337"/>
      <c r="F12" s="338"/>
      <c r="G12" s="338"/>
      <c r="H12" s="339"/>
    </row>
    <row r="13" spans="1:8">
      <c r="A13" s="335" t="s">
        <v>379</v>
      </c>
      <c r="B13" s="336" t="s">
        <v>746</v>
      </c>
      <c r="C13" s="335" t="s">
        <v>625</v>
      </c>
      <c r="D13" s="335" t="s">
        <v>743</v>
      </c>
      <c r="E13" s="342" t="s">
        <v>380</v>
      </c>
      <c r="F13" s="338" t="s">
        <v>381</v>
      </c>
      <c r="G13" s="338" t="s">
        <v>733</v>
      </c>
      <c r="H13" s="338" t="s">
        <v>382</v>
      </c>
    </row>
    <row r="14" spans="1:8" s="849" customFormat="1">
      <c r="A14" s="1024" t="s">
        <v>798</v>
      </c>
      <c r="B14" s="1025" t="s">
        <v>805</v>
      </c>
      <c r="C14" s="1024" t="s">
        <v>384</v>
      </c>
      <c r="D14" s="1024" t="s">
        <v>398</v>
      </c>
      <c r="E14" s="1026"/>
      <c r="F14" s="1027" t="s">
        <v>659</v>
      </c>
      <c r="G14" s="1027" t="s">
        <v>734</v>
      </c>
      <c r="H14" s="1027" t="s">
        <v>663</v>
      </c>
    </row>
    <row r="15" spans="1:8" s="849" customFormat="1">
      <c r="A15" s="1024" t="s">
        <v>483</v>
      </c>
      <c r="B15" s="1028" t="s">
        <v>757</v>
      </c>
      <c r="C15" s="1024" t="s">
        <v>656</v>
      </c>
      <c r="D15" s="1029" t="s">
        <v>756</v>
      </c>
      <c r="E15" s="1026" t="s">
        <v>365</v>
      </c>
      <c r="F15" s="1027" t="s">
        <v>626</v>
      </c>
      <c r="G15" s="1027" t="s">
        <v>806</v>
      </c>
      <c r="H15" s="1030" t="s">
        <v>807</v>
      </c>
    </row>
    <row r="16" spans="1:8" s="849" customFormat="1">
      <c r="A16" s="1024" t="s">
        <v>798</v>
      </c>
      <c r="B16" s="1028" t="s">
        <v>799</v>
      </c>
      <c r="C16" s="1024" t="s">
        <v>656</v>
      </c>
      <c r="D16" s="1029" t="s">
        <v>758</v>
      </c>
      <c r="E16" s="1026"/>
      <c r="F16" s="1027" t="s">
        <v>626</v>
      </c>
      <c r="G16" s="1027" t="s">
        <v>806</v>
      </c>
      <c r="H16" s="1030" t="s">
        <v>807</v>
      </c>
    </row>
    <row r="17" spans="1:8" s="849" customFormat="1">
      <c r="A17" s="1024" t="s">
        <v>803</v>
      </c>
      <c r="B17" s="1028" t="s">
        <v>773</v>
      </c>
      <c r="C17" s="1024" t="s">
        <v>798</v>
      </c>
      <c r="D17" s="1024" t="s">
        <v>804</v>
      </c>
      <c r="E17" s="1031" t="s">
        <v>808</v>
      </c>
      <c r="F17" s="1027" t="s">
        <v>626</v>
      </c>
      <c r="G17" s="1027" t="s">
        <v>806</v>
      </c>
      <c r="H17" s="1030" t="s">
        <v>807</v>
      </c>
    </row>
    <row r="18" spans="1:8" s="849" customFormat="1">
      <c r="A18" s="1024" t="s">
        <v>803</v>
      </c>
      <c r="B18" s="1028" t="s">
        <v>840</v>
      </c>
      <c r="C18" s="1024" t="s">
        <v>798</v>
      </c>
      <c r="D18" s="1024"/>
      <c r="E18" s="342" t="s">
        <v>841</v>
      </c>
      <c r="F18" s="1027"/>
      <c r="G18" s="1027"/>
      <c r="H18" s="1030"/>
    </row>
    <row r="19" spans="1:8" s="849" customFormat="1">
      <c r="A19" s="1024" t="s">
        <v>186</v>
      </c>
      <c r="B19" s="1032" t="s">
        <v>834</v>
      </c>
      <c r="C19" s="1024" t="s">
        <v>402</v>
      </c>
      <c r="D19" s="1024" t="s">
        <v>770</v>
      </c>
      <c r="E19" s="1026"/>
      <c r="F19" s="1027" t="s">
        <v>403</v>
      </c>
      <c r="G19" s="1027" t="s">
        <v>404</v>
      </c>
      <c r="H19" s="1030" t="s">
        <v>405</v>
      </c>
    </row>
    <row r="20" spans="1:8" s="849" customFormat="1">
      <c r="A20" s="1017" t="s">
        <v>843</v>
      </c>
      <c r="B20" s="1034" t="s">
        <v>844</v>
      </c>
      <c r="C20" s="1017" t="s">
        <v>186</v>
      </c>
      <c r="D20" s="1017" t="s">
        <v>845</v>
      </c>
      <c r="E20" s="337"/>
      <c r="F20" s="850" t="s">
        <v>636</v>
      </c>
      <c r="G20" s="850" t="s">
        <v>635</v>
      </c>
      <c r="H20" s="850" t="s">
        <v>637</v>
      </c>
    </row>
    <row r="21" spans="1:8" s="849" customFormat="1">
      <c r="A21" s="1024" t="s">
        <v>798</v>
      </c>
      <c r="B21" s="1032" t="s">
        <v>797</v>
      </c>
      <c r="C21" s="1024" t="s">
        <v>798</v>
      </c>
      <c r="D21" s="1024" t="s">
        <v>755</v>
      </c>
      <c r="E21" s="1026"/>
      <c r="F21" s="1027" t="s">
        <v>658</v>
      </c>
      <c r="G21" s="1027" t="s">
        <v>735</v>
      </c>
      <c r="H21" s="1030" t="s">
        <v>662</v>
      </c>
    </row>
    <row r="22" spans="1:8" s="849" customFormat="1">
      <c r="A22" s="1024" t="s">
        <v>798</v>
      </c>
      <c r="B22" s="1033" t="s">
        <v>800</v>
      </c>
      <c r="C22" s="1024" t="s">
        <v>798</v>
      </c>
      <c r="D22" s="1024" t="s">
        <v>754</v>
      </c>
      <c r="E22" s="1026"/>
      <c r="F22" s="1027" t="s">
        <v>658</v>
      </c>
      <c r="G22" s="1027" t="s">
        <v>735</v>
      </c>
      <c r="H22" s="1030" t="s">
        <v>662</v>
      </c>
    </row>
    <row r="23" spans="1:8" s="849" customFormat="1">
      <c r="A23" s="1024" t="s">
        <v>798</v>
      </c>
      <c r="B23" s="1032" t="s">
        <v>805</v>
      </c>
      <c r="C23" s="1024" t="s">
        <v>798</v>
      </c>
      <c r="D23" s="1024" t="s">
        <v>657</v>
      </c>
      <c r="E23" s="1026"/>
      <c r="F23" s="1027" t="s">
        <v>731</v>
      </c>
      <c r="G23" s="1027" t="s">
        <v>736</v>
      </c>
      <c r="H23" s="1030" t="s">
        <v>732</v>
      </c>
    </row>
    <row r="24" spans="1:8" s="849" customFormat="1">
      <c r="A24" s="1024" t="s">
        <v>798</v>
      </c>
      <c r="B24" s="1025" t="s">
        <v>801</v>
      </c>
      <c r="C24" s="1024" t="s">
        <v>798</v>
      </c>
      <c r="D24" s="1024" t="s">
        <v>603</v>
      </c>
      <c r="E24" s="1026"/>
      <c r="F24" s="1027" t="s">
        <v>661</v>
      </c>
      <c r="G24" s="1027" t="s">
        <v>737</v>
      </c>
      <c r="H24" s="1027" t="s">
        <v>660</v>
      </c>
    </row>
    <row r="25" spans="1:8" s="849" customFormat="1">
      <c r="A25" s="1024" t="s">
        <v>798</v>
      </c>
      <c r="B25" s="1025" t="s">
        <v>801</v>
      </c>
      <c r="C25" s="1024" t="s">
        <v>798</v>
      </c>
      <c r="D25" s="1029" t="s">
        <v>583</v>
      </c>
      <c r="E25" s="1026"/>
      <c r="F25" s="1027" t="s">
        <v>661</v>
      </c>
      <c r="G25" s="1027" t="s">
        <v>737</v>
      </c>
      <c r="H25" s="1030" t="s">
        <v>660</v>
      </c>
    </row>
    <row r="28" spans="1:8">
      <c r="F28" s="842"/>
    </row>
    <row r="29" spans="1:8">
      <c r="G29" s="842"/>
    </row>
  </sheetData>
  <hyperlinks>
    <hyperlink ref="E13" r:id="rId1" xr:uid="{00000000-0004-0000-1F00-000001000000}"/>
    <hyperlink ref="H11" r:id="rId2" xr:uid="{00000000-0004-0000-1F00-000005000000}"/>
    <hyperlink ref="E8" r:id="rId3" xr:uid="{00000000-0004-0000-1F00-000007000000}"/>
    <hyperlink ref="H14" r:id="rId4" display="mailto:ellen.moons@vea.be" xr:uid="{00000000-0004-0000-1F00-000008000000}"/>
    <hyperlink ref="H23" r:id="rId5" xr:uid="{A9055A9B-BCE6-4D69-8C41-AA9360476766}"/>
    <hyperlink ref="H9" r:id="rId6" xr:uid="{B6B245E2-5237-4B18-80D4-B23FF83155D0}"/>
    <hyperlink ref="H15" r:id="rId7" xr:uid="{7EF80677-1805-4227-B9C3-9984A85DF6DE}"/>
    <hyperlink ref="H16:H17" r:id="rId8" display="kaat.jespers@vlaanderen.be" xr:uid="{4F7662B0-176D-4997-945F-1D8DC7244E59}"/>
    <hyperlink ref="E18" r:id="rId9" xr:uid="{74877421-5C89-4D9B-A266-19A86E79A358}"/>
  </hyperlinks>
  <pageMargins left="0.7" right="0.7" top="0.75" bottom="0.75" header="0.3" footer="0.3"/>
  <pageSetup paperSize="9" orientation="portrait" r:id="rId10"/>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7"/>
  <sheetViews>
    <sheetView workbookViewId="0">
      <selection activeCell="D17" sqref="D17"/>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568</v>
      </c>
      <c r="B1" s="851" t="s">
        <v>569</v>
      </c>
      <c r="C1" s="851" t="s">
        <v>571</v>
      </c>
      <c r="D1" s="851" t="s">
        <v>570</v>
      </c>
    </row>
    <row r="2" spans="1:4" s="843" customFormat="1">
      <c r="A2" s="970" t="s">
        <v>768</v>
      </c>
      <c r="B2" s="875"/>
      <c r="C2" s="1004" t="s">
        <v>749</v>
      </c>
      <c r="D2" s="1005" t="s">
        <v>750</v>
      </c>
    </row>
    <row r="3" spans="1:4" s="843" customFormat="1">
      <c r="A3" s="970" t="s">
        <v>768</v>
      </c>
      <c r="B3" s="875"/>
      <c r="C3" s="1004" t="s">
        <v>752</v>
      </c>
      <c r="D3" s="879" t="s">
        <v>751</v>
      </c>
    </row>
    <row r="4" spans="1:4" s="7" customFormat="1">
      <c r="A4" s="970" t="s">
        <v>768</v>
      </c>
      <c r="B4" s="875"/>
      <c r="C4" s="1007" t="s">
        <v>791</v>
      </c>
      <c r="D4" s="1021" t="s">
        <v>788</v>
      </c>
    </row>
    <row r="5" spans="1:4" s="7" customFormat="1">
      <c r="A5" s="970" t="s">
        <v>768</v>
      </c>
      <c r="B5" s="860"/>
      <c r="C5" s="1007" t="s">
        <v>790</v>
      </c>
      <c r="D5" s="1021" t="s">
        <v>789</v>
      </c>
    </row>
    <row r="6" spans="1:4" s="1019" customFormat="1">
      <c r="A6" s="970" t="s">
        <v>768</v>
      </c>
      <c r="B6" s="1020"/>
      <c r="C6" s="1007" t="s">
        <v>793</v>
      </c>
      <c r="D6" s="1021" t="s">
        <v>794</v>
      </c>
    </row>
    <row r="7" spans="1:4" s="7" customFormat="1">
      <c r="A7" s="970" t="s">
        <v>768</v>
      </c>
      <c r="B7" s="860"/>
      <c r="C7" s="1007" t="s">
        <v>811</v>
      </c>
      <c r="D7" s="1021" t="s">
        <v>795</v>
      </c>
    </row>
    <row r="8" spans="1:4" s="7" customFormat="1">
      <c r="A8" s="970" t="s">
        <v>768</v>
      </c>
      <c r="B8" s="860"/>
      <c r="C8" s="1007" t="s">
        <v>812</v>
      </c>
      <c r="D8" s="1021" t="s">
        <v>796</v>
      </c>
    </row>
    <row r="9" spans="1:4" s="7" customFormat="1">
      <c r="A9" s="970" t="s">
        <v>768</v>
      </c>
      <c r="B9" s="860"/>
      <c r="C9" s="1007" t="s">
        <v>813</v>
      </c>
      <c r="D9" s="1021" t="s">
        <v>792</v>
      </c>
    </row>
    <row r="10" spans="1:4" s="7" customFormat="1">
      <c r="A10" s="970" t="s">
        <v>768</v>
      </c>
      <c r="B10" s="860"/>
      <c r="C10" s="1007" t="s">
        <v>809</v>
      </c>
      <c r="D10" s="1021" t="s">
        <v>810</v>
      </c>
    </row>
    <row r="11" spans="1:4" s="7" customFormat="1">
      <c r="A11" s="970" t="s">
        <v>831</v>
      </c>
      <c r="B11" s="860">
        <v>44698</v>
      </c>
      <c r="C11" s="1004" t="s">
        <v>832</v>
      </c>
      <c r="D11" s="1005" t="s">
        <v>750</v>
      </c>
    </row>
    <row r="12" spans="1:4" s="7" customFormat="1">
      <c r="A12" s="970" t="s">
        <v>831</v>
      </c>
      <c r="B12" s="999">
        <v>44698</v>
      </c>
      <c r="C12" s="999" t="s">
        <v>836</v>
      </c>
      <c r="D12" s="998"/>
    </row>
    <row r="13" spans="1:4" s="7" customFormat="1">
      <c r="A13" s="970" t="s">
        <v>831</v>
      </c>
      <c r="B13" s="1020">
        <v>44699</v>
      </c>
      <c r="C13" s="999" t="s">
        <v>837</v>
      </c>
      <c r="D13" s="998"/>
    </row>
    <row r="14" spans="1:4" s="7" customFormat="1">
      <c r="A14" s="970" t="s">
        <v>831</v>
      </c>
      <c r="B14" s="1020">
        <v>44699</v>
      </c>
      <c r="C14" s="860" t="s">
        <v>839</v>
      </c>
      <c r="D14" s="876"/>
    </row>
    <row r="15" spans="1:4" s="7" customFormat="1">
      <c r="A15" s="970" t="s">
        <v>831</v>
      </c>
      <c r="B15" s="1020">
        <v>44768</v>
      </c>
      <c r="C15" s="1007" t="s">
        <v>846</v>
      </c>
      <c r="D15" s="1021" t="s">
        <v>795</v>
      </c>
    </row>
    <row r="16" spans="1:4">
      <c r="A16" s="970" t="s">
        <v>831</v>
      </c>
      <c r="B16" s="1020">
        <v>44768</v>
      </c>
      <c r="C16" s="1007" t="s">
        <v>847</v>
      </c>
      <c r="D16" s="1021" t="s">
        <v>792</v>
      </c>
    </row>
    <row r="17" spans="1:4">
      <c r="A17" s="970" t="s">
        <v>831</v>
      </c>
      <c r="B17" s="875">
        <v>44768</v>
      </c>
      <c r="C17" s="875" t="s">
        <v>850</v>
      </c>
      <c r="D17" s="1021" t="s">
        <v>851</v>
      </c>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 ref="D11" location="'EF N2O_CH4 landbouw'!A1" display="'EF N2O_CH4 landbouw'!A1" xr:uid="{CDC23C5B-C3B1-498C-AE7A-6A8A8E531597}"/>
    <hyperlink ref="D15" location="transport!A21" display="transport!A21" xr:uid="{8121EDEA-F50F-4E6D-BFFD-57EEFCB6DBB6}"/>
    <hyperlink ref="D16" location="'ECF transport '!A1" display="'ECF transport '!A1" xr:uid="{90BC2E34-BC6A-48C6-89C6-CC53FAC4BF21}"/>
    <hyperlink ref="D17" location="'lokale energieproductie'!X27" display="lokale energieproductie'!X27" xr:uid="{67909451-12FA-4C2B-8E42-3AE204AE718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9" t="s">
        <v>524</v>
      </c>
      <c r="B1" s="1130" t="s">
        <v>521</v>
      </c>
      <c r="C1" s="1130"/>
      <c r="D1" s="1130"/>
      <c r="E1" s="1130"/>
      <c r="F1" s="1130"/>
      <c r="G1" s="1130"/>
      <c r="H1" s="1130"/>
      <c r="I1" s="1130"/>
      <c r="J1" s="1130"/>
      <c r="K1" s="1130"/>
      <c r="L1" s="1130"/>
      <c r="M1" s="1130"/>
      <c r="N1" s="1130"/>
      <c r="O1" s="1130"/>
      <c r="P1" s="1131"/>
      <c r="Q1" s="442"/>
    </row>
    <row r="2" spans="1:17">
      <c r="A2" s="1129"/>
      <c r="B2" s="1132" t="s">
        <v>20</v>
      </c>
      <c r="C2" s="1134" t="s">
        <v>189</v>
      </c>
      <c r="D2" s="1136" t="s">
        <v>190</v>
      </c>
      <c r="E2" s="1137"/>
      <c r="F2" s="1137"/>
      <c r="G2" s="1137"/>
      <c r="H2" s="1137"/>
      <c r="I2" s="1137"/>
      <c r="J2" s="1137"/>
      <c r="K2" s="1133"/>
      <c r="L2" s="1136" t="s">
        <v>191</v>
      </c>
      <c r="M2" s="1137"/>
      <c r="N2" s="1137"/>
      <c r="O2" s="1137"/>
      <c r="P2" s="1133"/>
      <c r="Q2" s="442"/>
    </row>
    <row r="3" spans="1:17" ht="45">
      <c r="A3" s="1129"/>
      <c r="B3" s="1133"/>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34651.126306707461</v>
      </c>
      <c r="C4" s="445">
        <f>huishoudens!C8</f>
        <v>0</v>
      </c>
      <c r="D4" s="445">
        <f>huishoudens!D8</f>
        <v>82528.443678293945</v>
      </c>
      <c r="E4" s="445">
        <f>huishoudens!E8</f>
        <v>1801.3421327608978</v>
      </c>
      <c r="F4" s="445">
        <f>huishoudens!F8</f>
        <v>32631.555650371851</v>
      </c>
      <c r="G4" s="445">
        <f>huishoudens!G8</f>
        <v>0</v>
      </c>
      <c r="H4" s="445">
        <f>huishoudens!H8</f>
        <v>0</v>
      </c>
      <c r="I4" s="445">
        <f>huishoudens!I8</f>
        <v>0</v>
      </c>
      <c r="J4" s="445">
        <f>huishoudens!J8</f>
        <v>206.41087159254684</v>
      </c>
      <c r="K4" s="445">
        <f>huishoudens!K8</f>
        <v>0</v>
      </c>
      <c r="L4" s="445">
        <f>huishoudens!L8</f>
        <v>0</v>
      </c>
      <c r="M4" s="445">
        <f>huishoudens!M8</f>
        <v>0</v>
      </c>
      <c r="N4" s="445">
        <f>huishoudens!N8</f>
        <v>9845.6327685135875</v>
      </c>
      <c r="O4" s="445">
        <f>huishoudens!O8</f>
        <v>361.08039592843977</v>
      </c>
      <c r="P4" s="446">
        <f>huishoudens!P8</f>
        <v>1506.3561809989585</v>
      </c>
      <c r="Q4" s="447">
        <f>SUM(B4:P4)</f>
        <v>163531.94798516767</v>
      </c>
    </row>
    <row r="5" spans="1:17">
      <c r="A5" s="444" t="s">
        <v>149</v>
      </c>
      <c r="B5" s="445">
        <f ca="1">tertiair!B16</f>
        <v>15365.964238602008</v>
      </c>
      <c r="C5" s="445">
        <f ca="1">tertiair!C16</f>
        <v>0</v>
      </c>
      <c r="D5" s="445">
        <f ca="1">tertiair!D16</f>
        <v>29275.473114496814</v>
      </c>
      <c r="E5" s="445">
        <f>tertiair!E16</f>
        <v>88.584052570177164</v>
      </c>
      <c r="F5" s="445">
        <f ca="1">tertiair!F16</f>
        <v>4643.3682471973389</v>
      </c>
      <c r="G5" s="445">
        <f>tertiair!G16</f>
        <v>0</v>
      </c>
      <c r="H5" s="445">
        <f>tertiair!H16</f>
        <v>0</v>
      </c>
      <c r="I5" s="445">
        <f>tertiair!I16</f>
        <v>0</v>
      </c>
      <c r="J5" s="445">
        <f>tertiair!J16</f>
        <v>3.9160466258302551E-2</v>
      </c>
      <c r="K5" s="445">
        <f>tertiair!K16</f>
        <v>0</v>
      </c>
      <c r="L5" s="445">
        <f ca="1">tertiair!L16</f>
        <v>0</v>
      </c>
      <c r="M5" s="445">
        <f>tertiair!M16</f>
        <v>0</v>
      </c>
      <c r="N5" s="445">
        <f ca="1">tertiair!N16</f>
        <v>1507.1798259193745</v>
      </c>
      <c r="O5" s="445">
        <f>tertiair!O16</f>
        <v>0</v>
      </c>
      <c r="P5" s="446">
        <f>tertiair!P16</f>
        <v>52.539138306495019</v>
      </c>
      <c r="Q5" s="444">
        <f t="shared" ref="Q5:Q14" ca="1" si="0">SUM(B5:P5)</f>
        <v>50933.147777558464</v>
      </c>
    </row>
    <row r="6" spans="1:17">
      <c r="A6" s="444" t="s">
        <v>187</v>
      </c>
      <c r="B6" s="445">
        <f>'openbare verlichting'!B8</f>
        <v>1924.3320000000001</v>
      </c>
      <c r="C6" s="445"/>
      <c r="D6" s="445"/>
      <c r="E6" s="445"/>
      <c r="F6" s="445"/>
      <c r="G6" s="445"/>
      <c r="H6" s="445"/>
      <c r="I6" s="445"/>
      <c r="J6" s="445"/>
      <c r="K6" s="445"/>
      <c r="L6" s="445"/>
      <c r="M6" s="445"/>
      <c r="N6" s="445"/>
      <c r="O6" s="445"/>
      <c r="P6" s="446"/>
      <c r="Q6" s="444">
        <f t="shared" si="0"/>
        <v>1924.3320000000001</v>
      </c>
    </row>
    <row r="7" spans="1:17">
      <c r="A7" s="444" t="s">
        <v>105</v>
      </c>
      <c r="B7" s="445">
        <f>landbouw!B8</f>
        <v>443.805119920957</v>
      </c>
      <c r="C7" s="445">
        <f>landbouw!C8</f>
        <v>0</v>
      </c>
      <c r="D7" s="445">
        <f>landbouw!D8</f>
        <v>94.129939653906533</v>
      </c>
      <c r="E7" s="445">
        <f>landbouw!E8</f>
        <v>15.811886274231441</v>
      </c>
      <c r="F7" s="445">
        <f>landbouw!F8</f>
        <v>1512.4042869915079</v>
      </c>
      <c r="G7" s="445">
        <f>landbouw!G8</f>
        <v>0</v>
      </c>
      <c r="H7" s="445">
        <f>landbouw!H8</f>
        <v>0</v>
      </c>
      <c r="I7" s="445">
        <f>landbouw!I8</f>
        <v>0</v>
      </c>
      <c r="J7" s="445">
        <f>landbouw!J8</f>
        <v>112.84570545355338</v>
      </c>
      <c r="K7" s="445">
        <f>landbouw!K8</f>
        <v>0</v>
      </c>
      <c r="L7" s="445">
        <f>landbouw!L8</f>
        <v>0</v>
      </c>
      <c r="M7" s="445">
        <f>landbouw!M8</f>
        <v>0</v>
      </c>
      <c r="N7" s="445">
        <f>landbouw!N8</f>
        <v>0</v>
      </c>
      <c r="O7" s="445">
        <f>landbouw!O8</f>
        <v>0</v>
      </c>
      <c r="P7" s="446">
        <f>landbouw!P8</f>
        <v>0</v>
      </c>
      <c r="Q7" s="444">
        <f t="shared" si="0"/>
        <v>2178.9969382941563</v>
      </c>
    </row>
    <row r="8" spans="1:17">
      <c r="A8" s="444" t="s">
        <v>586</v>
      </c>
      <c r="B8" s="445">
        <f>industrie!B18</f>
        <v>7575.9476605699456</v>
      </c>
      <c r="C8" s="445">
        <f>industrie!C18</f>
        <v>12.175675675675675</v>
      </c>
      <c r="D8" s="445">
        <f>industrie!D18</f>
        <v>1471.7755260146084</v>
      </c>
      <c r="E8" s="445">
        <f>industrie!E18</f>
        <v>295.2650138178592</v>
      </c>
      <c r="F8" s="445">
        <f>industrie!F18</f>
        <v>2070.1992211909906</v>
      </c>
      <c r="G8" s="445">
        <f>industrie!G18</f>
        <v>0</v>
      </c>
      <c r="H8" s="445">
        <f>industrie!H18</f>
        <v>0</v>
      </c>
      <c r="I8" s="445">
        <f>industrie!I18</f>
        <v>0</v>
      </c>
      <c r="J8" s="445">
        <f>industrie!J18</f>
        <v>26.683074236720099</v>
      </c>
      <c r="K8" s="445">
        <f>industrie!K18</f>
        <v>0</v>
      </c>
      <c r="L8" s="445">
        <f>industrie!L18</f>
        <v>0</v>
      </c>
      <c r="M8" s="445">
        <f>industrie!M18</f>
        <v>0</v>
      </c>
      <c r="N8" s="445">
        <f>industrie!N18</f>
        <v>251.7121423127486</v>
      </c>
      <c r="O8" s="445">
        <f>industrie!O18</f>
        <v>0</v>
      </c>
      <c r="P8" s="446">
        <f>industrie!P18</f>
        <v>0</v>
      </c>
      <c r="Q8" s="444">
        <f t="shared" si="0"/>
        <v>11703.758313818549</v>
      </c>
    </row>
    <row r="9" spans="1:17" s="450" customFormat="1">
      <c r="A9" s="448" t="s">
        <v>535</v>
      </c>
      <c r="B9" s="449">
        <f>transport!B14</f>
        <v>768.15187647985556</v>
      </c>
      <c r="C9" s="449">
        <f>transport!C14</f>
        <v>0</v>
      </c>
      <c r="D9" s="449">
        <f>transport!D14</f>
        <v>1044.513100717485</v>
      </c>
      <c r="E9" s="449">
        <f>transport!E14</f>
        <v>453.72032426718016</v>
      </c>
      <c r="F9" s="449">
        <f>transport!F14</f>
        <v>0</v>
      </c>
      <c r="G9" s="449">
        <f>transport!G14</f>
        <v>196147.15152875186</v>
      </c>
      <c r="H9" s="449">
        <f>transport!H14</f>
        <v>56948.954981385439</v>
      </c>
      <c r="I9" s="449">
        <f>transport!I14</f>
        <v>0</v>
      </c>
      <c r="J9" s="449">
        <f>transport!J14</f>
        <v>0</v>
      </c>
      <c r="K9" s="449">
        <f>transport!K14</f>
        <v>0</v>
      </c>
      <c r="L9" s="449">
        <f>transport!L14</f>
        <v>0</v>
      </c>
      <c r="M9" s="449">
        <f>transport!M14</f>
        <v>15299.62450180733</v>
      </c>
      <c r="N9" s="449">
        <f>transport!N14</f>
        <v>0</v>
      </c>
      <c r="O9" s="449">
        <f>transport!O14</f>
        <v>0</v>
      </c>
      <c r="P9" s="449">
        <f>transport!P14</f>
        <v>0</v>
      </c>
      <c r="Q9" s="448">
        <f>SUM(B9:P9)</f>
        <v>270662.11631340918</v>
      </c>
    </row>
    <row r="10" spans="1:17">
      <c r="A10" s="444" t="s">
        <v>525</v>
      </c>
      <c r="B10" s="445">
        <f>transport!B54</f>
        <v>66.931550759291767</v>
      </c>
      <c r="C10" s="445">
        <f>transport!C54</f>
        <v>0</v>
      </c>
      <c r="D10" s="445">
        <f>transport!D54</f>
        <v>0</v>
      </c>
      <c r="E10" s="445">
        <f>transport!E54</f>
        <v>0</v>
      </c>
      <c r="F10" s="445">
        <f>transport!F54</f>
        <v>0</v>
      </c>
      <c r="G10" s="445">
        <f>transport!G54</f>
        <v>4190.1174915754627</v>
      </c>
      <c r="H10" s="445">
        <f>transport!H54</f>
        <v>0</v>
      </c>
      <c r="I10" s="445">
        <f>transport!I54</f>
        <v>0</v>
      </c>
      <c r="J10" s="445">
        <f>transport!J54</f>
        <v>0</v>
      </c>
      <c r="K10" s="445">
        <f>transport!K54</f>
        <v>0</v>
      </c>
      <c r="L10" s="445">
        <f>transport!L54</f>
        <v>0</v>
      </c>
      <c r="M10" s="445">
        <f>transport!M54</f>
        <v>240.5872684704955</v>
      </c>
      <c r="N10" s="445">
        <f>transport!N54</f>
        <v>0</v>
      </c>
      <c r="O10" s="445">
        <f>transport!O54</f>
        <v>0</v>
      </c>
      <c r="P10" s="446">
        <f>transport!P54</f>
        <v>0</v>
      </c>
      <c r="Q10" s="444">
        <f t="shared" si="0"/>
        <v>4497.6363108052501</v>
      </c>
    </row>
    <row r="11" spans="1:17">
      <c r="A11" s="444" t="s">
        <v>526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702</v>
      </c>
      <c r="B14" s="452">
        <f>'SEAP template'!C25</f>
        <v>911.57597036013499</v>
      </c>
      <c r="C14" s="452"/>
      <c r="D14" s="452">
        <f>'SEAP template'!E25</f>
        <v>2868.1940957161901</v>
      </c>
      <c r="E14" s="452"/>
      <c r="F14" s="452"/>
      <c r="G14" s="452"/>
      <c r="H14" s="452"/>
      <c r="I14" s="452"/>
      <c r="J14" s="452"/>
      <c r="K14" s="452"/>
      <c r="L14" s="452"/>
      <c r="M14" s="452"/>
      <c r="N14" s="452"/>
      <c r="O14" s="452"/>
      <c r="P14" s="453"/>
      <c r="Q14" s="444">
        <f t="shared" si="0"/>
        <v>3779.7700660763248</v>
      </c>
    </row>
    <row r="15" spans="1:17" s="456" customFormat="1">
      <c r="A15" s="454" t="s">
        <v>529</v>
      </c>
      <c r="B15" s="455">
        <f ca="1">SUM(B4:B14)</f>
        <v>61707.834723399654</v>
      </c>
      <c r="C15" s="455">
        <f t="shared" ref="C15:Q15" ca="1" si="1">SUM(C4:C14)</f>
        <v>12.175675675675675</v>
      </c>
      <c r="D15" s="455">
        <f t="shared" ca="1" si="1"/>
        <v>117282.52945489294</v>
      </c>
      <c r="E15" s="455">
        <f t="shared" si="1"/>
        <v>2654.7234096903458</v>
      </c>
      <c r="F15" s="455">
        <f t="shared" ca="1" si="1"/>
        <v>40857.527405751687</v>
      </c>
      <c r="G15" s="455">
        <f t="shared" si="1"/>
        <v>200337.26902032731</v>
      </c>
      <c r="H15" s="455">
        <f t="shared" si="1"/>
        <v>56948.954981385439</v>
      </c>
      <c r="I15" s="455">
        <f t="shared" si="1"/>
        <v>0</v>
      </c>
      <c r="J15" s="455">
        <f t="shared" si="1"/>
        <v>345.9788117490786</v>
      </c>
      <c r="K15" s="455">
        <f t="shared" si="1"/>
        <v>0</v>
      </c>
      <c r="L15" s="455">
        <f t="shared" ca="1" si="1"/>
        <v>0</v>
      </c>
      <c r="M15" s="455">
        <f t="shared" si="1"/>
        <v>15540.211770277825</v>
      </c>
      <c r="N15" s="455">
        <f t="shared" ca="1" si="1"/>
        <v>11604.52473674571</v>
      </c>
      <c r="O15" s="455">
        <f t="shared" si="1"/>
        <v>361.08039592843977</v>
      </c>
      <c r="P15" s="455">
        <f t="shared" si="1"/>
        <v>1558.8953193054535</v>
      </c>
      <c r="Q15" s="455">
        <f t="shared" ca="1" si="1"/>
        <v>509211.7057051296</v>
      </c>
    </row>
    <row r="17" spans="1:17">
      <c r="A17" s="457" t="s">
        <v>530</v>
      </c>
      <c r="B17" s="738">
        <f ca="1">huishoudens!B10</f>
        <v>0.19830605672602145</v>
      </c>
      <c r="C17" s="738">
        <f ca="1">huishoudens!C10</f>
        <v>0.22444444444444442</v>
      </c>
      <c r="D17" s="738">
        <f>huishoudens!D10</f>
        <v>0.20200000000000001</v>
      </c>
      <c r="E17" s="738">
        <f>huishoudens!E10</f>
        <v>0.22700000000000001</v>
      </c>
      <c r="F17" s="738">
        <f>huishoudens!F10</f>
        <v>0.26700000000000002</v>
      </c>
      <c r="G17" s="738">
        <f>huishoudens!G10</f>
        <v>0.26700000000000002</v>
      </c>
      <c r="H17" s="738">
        <f>huishoudens!H10</f>
        <v>0.249</v>
      </c>
      <c r="I17" s="738">
        <f>huishoudens!I10</f>
        <v>0.35099999999999998</v>
      </c>
      <c r="J17" s="738">
        <f>huishoudens!J10</f>
        <v>0.35399999999999998</v>
      </c>
      <c r="K17" s="738">
        <f>huishoudens!K10</f>
        <v>0.26400000000000001</v>
      </c>
      <c r="L17" s="738">
        <f>huishoudens!L10</f>
        <v>0</v>
      </c>
      <c r="M17" s="738">
        <f>huishoudens!M10</f>
        <v>0</v>
      </c>
      <c r="N17" s="738">
        <f>huishoudens!N10</f>
        <v>0</v>
      </c>
      <c r="O17" s="738">
        <f>huishoudens!O10</f>
        <v>0</v>
      </c>
      <c r="P17" s="738">
        <f>huishoudens!P10</f>
        <v>0</v>
      </c>
    </row>
    <row r="19" spans="1:17" ht="15.75">
      <c r="A19" s="1129" t="s">
        <v>532</v>
      </c>
      <c r="B19" s="1130" t="s">
        <v>531</v>
      </c>
      <c r="C19" s="1130"/>
      <c r="D19" s="1130"/>
      <c r="E19" s="1130"/>
      <c r="F19" s="1130"/>
      <c r="G19" s="1130"/>
      <c r="H19" s="1130"/>
      <c r="I19" s="1130"/>
      <c r="J19" s="1130"/>
      <c r="K19" s="1130"/>
      <c r="L19" s="1130"/>
      <c r="M19" s="1130"/>
      <c r="N19" s="1130"/>
      <c r="O19" s="1130"/>
      <c r="P19" s="1131"/>
      <c r="Q19" s="442"/>
    </row>
    <row r="20" spans="1:17" ht="15" customHeight="1">
      <c r="A20" s="1129"/>
      <c r="B20" s="1132" t="s">
        <v>20</v>
      </c>
      <c r="C20" s="1134" t="s">
        <v>189</v>
      </c>
      <c r="D20" s="1136" t="s">
        <v>190</v>
      </c>
      <c r="E20" s="1137"/>
      <c r="F20" s="1137"/>
      <c r="G20" s="1137"/>
      <c r="H20" s="1137"/>
      <c r="I20" s="1137"/>
      <c r="J20" s="1137"/>
      <c r="K20" s="1133"/>
      <c r="L20" s="1136" t="s">
        <v>191</v>
      </c>
      <c r="M20" s="1137"/>
      <c r="N20" s="1137"/>
      <c r="O20" s="1137"/>
      <c r="P20" s="1133"/>
      <c r="Q20" s="442"/>
    </row>
    <row r="21" spans="1:17" ht="45">
      <c r="A21" s="1129"/>
      <c r="B21" s="1133"/>
      <c r="C21" s="1135"/>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6871.5282189984637</v>
      </c>
      <c r="C22" s="445">
        <f t="shared" ref="C22:C32" ca="1" si="3">C4*$C$17</f>
        <v>0</v>
      </c>
      <c r="D22" s="445">
        <f t="shared" ref="D22:D32" si="4">D4*$D$17</f>
        <v>16670.745623015377</v>
      </c>
      <c r="E22" s="445">
        <f t="shared" ref="E22:E32" si="5">E4*$E$17</f>
        <v>408.9046641367238</v>
      </c>
      <c r="F22" s="445">
        <f t="shared" ref="F22:F32" si="6">F4*$F$17</f>
        <v>8712.625358649284</v>
      </c>
      <c r="G22" s="445">
        <f t="shared" ref="G22:G32" si="7">G4*$G$17</f>
        <v>0</v>
      </c>
      <c r="H22" s="445">
        <f t="shared" ref="H22:H32" si="8">H4*$H$17</f>
        <v>0</v>
      </c>
      <c r="I22" s="445">
        <f t="shared" ref="I22:I32" si="9">I4*$I$17</f>
        <v>0</v>
      </c>
      <c r="J22" s="445">
        <f t="shared" ref="J22:J32" si="10">J4*$J$17</f>
        <v>73.069448543761581</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32736.873313343607</v>
      </c>
    </row>
    <row r="23" spans="1:17">
      <c r="A23" s="444" t="s">
        <v>149</v>
      </c>
      <c r="B23" s="445">
        <f t="shared" ca="1" si="2"/>
        <v>3047.1637759502269</v>
      </c>
      <c r="C23" s="445">
        <f t="shared" ca="1" si="3"/>
        <v>0</v>
      </c>
      <c r="D23" s="445">
        <f t="shared" ca="1" si="4"/>
        <v>5913.6455691283563</v>
      </c>
      <c r="E23" s="445">
        <f t="shared" si="5"/>
        <v>20.108579933430217</v>
      </c>
      <c r="F23" s="445">
        <f t="shared" ca="1" si="6"/>
        <v>1239.7793220016895</v>
      </c>
      <c r="G23" s="445">
        <f t="shared" si="7"/>
        <v>0</v>
      </c>
      <c r="H23" s="445">
        <f t="shared" si="8"/>
        <v>0</v>
      </c>
      <c r="I23" s="445">
        <f t="shared" si="9"/>
        <v>0</v>
      </c>
      <c r="J23" s="445">
        <f t="shared" si="10"/>
        <v>1.3862805055439102E-2</v>
      </c>
      <c r="K23" s="445">
        <f t="shared" si="11"/>
        <v>0</v>
      </c>
      <c r="L23" s="445">
        <f t="shared" ca="1" si="12"/>
        <v>0</v>
      </c>
      <c r="M23" s="445">
        <f t="shared" si="13"/>
        <v>0</v>
      </c>
      <c r="N23" s="445">
        <f t="shared" ca="1" si="14"/>
        <v>0</v>
      </c>
      <c r="O23" s="445">
        <f t="shared" si="15"/>
        <v>0</v>
      </c>
      <c r="P23" s="446">
        <f t="shared" si="16"/>
        <v>0</v>
      </c>
      <c r="Q23" s="444">
        <f t="shared" ref="Q23:Q31" ca="1" si="17">SUM(B23:P23)</f>
        <v>10220.71110981876</v>
      </c>
    </row>
    <row r="24" spans="1:17">
      <c r="A24" s="444" t="s">
        <v>187</v>
      </c>
      <c r="B24" s="445">
        <f t="shared" ca="1" si="2"/>
        <v>381.6066907516983</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381.6066907516983</v>
      </c>
    </row>
    <row r="25" spans="1:17">
      <c r="A25" s="444" t="s">
        <v>105</v>
      </c>
      <c r="B25" s="445">
        <f t="shared" ca="1" si="2"/>
        <v>88.009243286344045</v>
      </c>
      <c r="C25" s="445">
        <f t="shared" ca="1" si="3"/>
        <v>0</v>
      </c>
      <c r="D25" s="445">
        <f t="shared" si="4"/>
        <v>19.01424781008912</v>
      </c>
      <c r="E25" s="445">
        <f t="shared" si="5"/>
        <v>3.5892981842505369</v>
      </c>
      <c r="F25" s="445">
        <f t="shared" si="6"/>
        <v>403.81194462673261</v>
      </c>
      <c r="G25" s="445">
        <f t="shared" si="7"/>
        <v>0</v>
      </c>
      <c r="H25" s="445">
        <f t="shared" si="8"/>
        <v>0</v>
      </c>
      <c r="I25" s="445">
        <f t="shared" si="9"/>
        <v>0</v>
      </c>
      <c r="J25" s="445">
        <f t="shared" si="10"/>
        <v>39.947379730557891</v>
      </c>
      <c r="K25" s="445">
        <f t="shared" si="11"/>
        <v>0</v>
      </c>
      <c r="L25" s="445">
        <f t="shared" si="12"/>
        <v>0</v>
      </c>
      <c r="M25" s="445">
        <f t="shared" si="13"/>
        <v>0</v>
      </c>
      <c r="N25" s="445">
        <f t="shared" si="14"/>
        <v>0</v>
      </c>
      <c r="O25" s="445">
        <f t="shared" si="15"/>
        <v>0</v>
      </c>
      <c r="P25" s="446">
        <f t="shared" si="16"/>
        <v>0</v>
      </c>
      <c r="Q25" s="444">
        <f t="shared" ca="1" si="17"/>
        <v>554.37211363797428</v>
      </c>
    </row>
    <row r="26" spans="1:17">
      <c r="A26" s="444" t="s">
        <v>586</v>
      </c>
      <c r="B26" s="445">
        <f t="shared" ca="1" si="2"/>
        <v>1502.3563065303531</v>
      </c>
      <c r="C26" s="445">
        <f t="shared" ca="1" si="3"/>
        <v>2.7327627627627624</v>
      </c>
      <c r="D26" s="445">
        <f t="shared" si="4"/>
        <v>297.29865625495091</v>
      </c>
      <c r="E26" s="445">
        <f t="shared" si="5"/>
        <v>67.025158136654042</v>
      </c>
      <c r="F26" s="445">
        <f t="shared" si="6"/>
        <v>552.74319205799452</v>
      </c>
      <c r="G26" s="445">
        <f t="shared" si="7"/>
        <v>0</v>
      </c>
      <c r="H26" s="445">
        <f t="shared" si="8"/>
        <v>0</v>
      </c>
      <c r="I26" s="445">
        <f t="shared" si="9"/>
        <v>0</v>
      </c>
      <c r="J26" s="445">
        <f t="shared" si="10"/>
        <v>9.4458082797989142</v>
      </c>
      <c r="K26" s="445">
        <f t="shared" si="11"/>
        <v>0</v>
      </c>
      <c r="L26" s="445">
        <f t="shared" si="12"/>
        <v>0</v>
      </c>
      <c r="M26" s="445">
        <f t="shared" si="13"/>
        <v>0</v>
      </c>
      <c r="N26" s="445">
        <f t="shared" si="14"/>
        <v>0</v>
      </c>
      <c r="O26" s="445">
        <f t="shared" si="15"/>
        <v>0</v>
      </c>
      <c r="P26" s="446">
        <f t="shared" si="16"/>
        <v>0</v>
      </c>
      <c r="Q26" s="444">
        <f t="shared" ca="1" si="17"/>
        <v>2431.6018840225138</v>
      </c>
    </row>
    <row r="27" spans="1:17" s="450" customFormat="1">
      <c r="A27" s="448" t="s">
        <v>535</v>
      </c>
      <c r="B27" s="732">
        <f t="shared" ca="1" si="2"/>
        <v>152.32916959141406</v>
      </c>
      <c r="C27" s="449">
        <f t="shared" ca="1" si="3"/>
        <v>0</v>
      </c>
      <c r="D27" s="449">
        <f t="shared" si="4"/>
        <v>210.99164634493198</v>
      </c>
      <c r="E27" s="449">
        <f t="shared" si="5"/>
        <v>102.9945136086499</v>
      </c>
      <c r="F27" s="449">
        <f t="shared" si="6"/>
        <v>0</v>
      </c>
      <c r="G27" s="449">
        <f t="shared" si="7"/>
        <v>52371.289458176747</v>
      </c>
      <c r="H27" s="449">
        <f t="shared" si="8"/>
        <v>14180.289790364974</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67017.894578086722</v>
      </c>
    </row>
    <row r="28" spans="1:17" ht="16.5" customHeight="1">
      <c r="A28" s="444" t="s">
        <v>525</v>
      </c>
      <c r="B28" s="445">
        <f t="shared" ca="1" si="2"/>
        <v>13.272931901632697</v>
      </c>
      <c r="C28" s="445">
        <f t="shared" ca="1" si="3"/>
        <v>0</v>
      </c>
      <c r="D28" s="445">
        <f t="shared" si="4"/>
        <v>0</v>
      </c>
      <c r="E28" s="445">
        <f t="shared" si="5"/>
        <v>0</v>
      </c>
      <c r="F28" s="445">
        <f t="shared" si="6"/>
        <v>0</v>
      </c>
      <c r="G28" s="445">
        <f t="shared" si="7"/>
        <v>1118.7613702506487</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1132.0343021522815</v>
      </c>
    </row>
    <row r="29" spans="1:17">
      <c r="A29" s="444" t="s">
        <v>526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702</v>
      </c>
      <c r="B32" s="445">
        <f t="shared" ca="1" si="2"/>
        <v>180.77103608831499</v>
      </c>
      <c r="C32" s="445">
        <f t="shared" ca="1" si="3"/>
        <v>0</v>
      </c>
      <c r="D32" s="445">
        <f t="shared" si="4"/>
        <v>579.37520733467045</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760.14624342298544</v>
      </c>
    </row>
    <row r="33" spans="1:17" s="456" customFormat="1">
      <c r="A33" s="454" t="s">
        <v>529</v>
      </c>
      <c r="B33" s="455">
        <f ca="1">SUM(B22:B32)</f>
        <v>12237.037373098448</v>
      </c>
      <c r="C33" s="455">
        <f t="shared" ref="C33:Q33" ca="1" si="19">SUM(C22:C32)</f>
        <v>2.7327627627627624</v>
      </c>
      <c r="D33" s="455">
        <f t="shared" ca="1" si="19"/>
        <v>23691.070949888377</v>
      </c>
      <c r="E33" s="455">
        <f t="shared" si="19"/>
        <v>602.62221399970849</v>
      </c>
      <c r="F33" s="455">
        <f t="shared" ca="1" si="19"/>
        <v>10908.959817335701</v>
      </c>
      <c r="G33" s="455">
        <f t="shared" si="19"/>
        <v>53490.050828427396</v>
      </c>
      <c r="H33" s="455">
        <f t="shared" si="19"/>
        <v>14180.289790364974</v>
      </c>
      <c r="I33" s="455">
        <f t="shared" si="19"/>
        <v>0</v>
      </c>
      <c r="J33" s="455">
        <f t="shared" si="19"/>
        <v>122.47649935917383</v>
      </c>
      <c r="K33" s="455">
        <f t="shared" si="19"/>
        <v>0</v>
      </c>
      <c r="L33" s="455">
        <f t="shared" ca="1" si="19"/>
        <v>0</v>
      </c>
      <c r="M33" s="455">
        <f t="shared" si="19"/>
        <v>0</v>
      </c>
      <c r="N33" s="455">
        <f t="shared" ca="1" si="19"/>
        <v>0</v>
      </c>
      <c r="O33" s="455">
        <f t="shared" si="19"/>
        <v>0</v>
      </c>
      <c r="P33" s="455">
        <f t="shared" si="19"/>
        <v>0</v>
      </c>
      <c r="Q33" s="455">
        <f t="shared" ca="1" si="19"/>
        <v>115235.24023523656</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8" t="s">
        <v>524</v>
      </c>
      <c r="B1" s="1139" t="s">
        <v>672</v>
      </c>
      <c r="C1" s="1139"/>
      <c r="D1" s="1139"/>
      <c r="E1" s="1139"/>
      <c r="F1" s="1139"/>
      <c r="G1" s="1139"/>
      <c r="H1" s="1139"/>
      <c r="I1" s="1139"/>
      <c r="J1" s="1139"/>
      <c r="K1" s="1139"/>
      <c r="L1" s="1139"/>
      <c r="M1" s="1139"/>
      <c r="N1" s="1139"/>
      <c r="O1" s="1139"/>
      <c r="P1" s="1140"/>
      <c r="Q1" s="922"/>
    </row>
    <row r="2" spans="1:17" s="923" customFormat="1" ht="21">
      <c r="A2" s="1138"/>
      <c r="B2" s="1141" t="s">
        <v>20</v>
      </c>
      <c r="C2" s="1143" t="s">
        <v>189</v>
      </c>
      <c r="D2" s="1145" t="s">
        <v>190</v>
      </c>
      <c r="E2" s="1146"/>
      <c r="F2" s="1146"/>
      <c r="G2" s="1146"/>
      <c r="H2" s="1146"/>
      <c r="I2" s="1146"/>
      <c r="J2" s="1146"/>
      <c r="K2" s="1142"/>
      <c r="L2" s="1145" t="s">
        <v>191</v>
      </c>
      <c r="M2" s="1146"/>
      <c r="N2" s="1146"/>
      <c r="O2" s="1146"/>
      <c r="P2" s="1142"/>
      <c r="Q2" s="922"/>
    </row>
    <row r="3" spans="1:17" s="923" customFormat="1" ht="42">
      <c r="A3" s="1138"/>
      <c r="B3" s="1142"/>
      <c r="C3" s="1144"/>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673</v>
      </c>
      <c r="C4" s="927" t="s">
        <v>674</v>
      </c>
      <c r="D4" s="928" t="s">
        <v>675</v>
      </c>
      <c r="E4" s="929" t="s">
        <v>676</v>
      </c>
      <c r="F4" s="929" t="s">
        <v>677</v>
      </c>
      <c r="G4" s="930" t="s">
        <v>678</v>
      </c>
      <c r="H4" s="930" t="s">
        <v>678</v>
      </c>
      <c r="I4" s="930" t="s">
        <v>678</v>
      </c>
      <c r="J4" s="929" t="s">
        <v>679</v>
      </c>
      <c r="K4" s="930" t="s">
        <v>678</v>
      </c>
      <c r="L4" s="930" t="s">
        <v>678</v>
      </c>
      <c r="M4" s="930" t="s">
        <v>678</v>
      </c>
      <c r="N4" s="929" t="s">
        <v>680</v>
      </c>
      <c r="O4" s="931" t="s">
        <v>681</v>
      </c>
      <c r="P4" s="932" t="s">
        <v>682</v>
      </c>
      <c r="Q4" s="933"/>
    </row>
    <row r="5" spans="1:17" ht="150">
      <c r="A5" s="934" t="s">
        <v>149</v>
      </c>
      <c r="B5" s="935" t="s">
        <v>683</v>
      </c>
      <c r="C5" s="936" t="s">
        <v>684</v>
      </c>
      <c r="D5" s="936" t="s">
        <v>685</v>
      </c>
      <c r="E5" s="937" t="s">
        <v>686</v>
      </c>
      <c r="F5" s="937" t="s">
        <v>687</v>
      </c>
      <c r="G5" s="938" t="s">
        <v>678</v>
      </c>
      <c r="H5" s="938" t="s">
        <v>678</v>
      </c>
      <c r="I5" s="938" t="s">
        <v>678</v>
      </c>
      <c r="J5" s="937" t="s">
        <v>688</v>
      </c>
      <c r="K5" s="930" t="s">
        <v>678</v>
      </c>
      <c r="L5" s="938" t="s">
        <v>678</v>
      </c>
      <c r="M5" s="938" t="s">
        <v>678</v>
      </c>
      <c r="N5" s="937" t="s">
        <v>689</v>
      </c>
      <c r="O5" s="939" t="s">
        <v>681</v>
      </c>
      <c r="P5" s="940" t="s">
        <v>682</v>
      </c>
      <c r="Q5" s="941"/>
    </row>
    <row r="6" spans="1:17" ht="30">
      <c r="A6" s="934" t="s">
        <v>187</v>
      </c>
      <c r="B6" s="942" t="s">
        <v>690</v>
      </c>
      <c r="C6" s="943" t="s">
        <v>691</v>
      </c>
      <c r="D6" s="938" t="s">
        <v>691</v>
      </c>
      <c r="E6" s="938" t="s">
        <v>691</v>
      </c>
      <c r="F6" s="938" t="s">
        <v>691</v>
      </c>
      <c r="G6" s="938" t="s">
        <v>691</v>
      </c>
      <c r="H6" s="938" t="s">
        <v>691</v>
      </c>
      <c r="I6" s="938" t="s">
        <v>691</v>
      </c>
      <c r="J6" s="938" t="s">
        <v>691</v>
      </c>
      <c r="K6" s="938" t="s">
        <v>691</v>
      </c>
      <c r="L6" s="938" t="s">
        <v>691</v>
      </c>
      <c r="M6" s="938" t="s">
        <v>691</v>
      </c>
      <c r="N6" s="938" t="s">
        <v>691</v>
      </c>
      <c r="O6" s="944" t="s">
        <v>691</v>
      </c>
      <c r="P6" s="945" t="s">
        <v>691</v>
      </c>
      <c r="Q6" s="946"/>
    </row>
    <row r="7" spans="1:17" ht="150">
      <c r="A7" s="934" t="s">
        <v>105</v>
      </c>
      <c r="B7" s="942" t="s">
        <v>690</v>
      </c>
      <c r="C7" s="936" t="s">
        <v>684</v>
      </c>
      <c r="D7" s="936" t="s">
        <v>685</v>
      </c>
      <c r="E7" s="937" t="s">
        <v>686</v>
      </c>
      <c r="F7" s="937" t="s">
        <v>687</v>
      </c>
      <c r="G7" s="938" t="s">
        <v>678</v>
      </c>
      <c r="H7" s="938" t="s">
        <v>678</v>
      </c>
      <c r="I7" s="938" t="s">
        <v>678</v>
      </c>
      <c r="J7" s="937" t="s">
        <v>688</v>
      </c>
      <c r="K7" s="938" t="s">
        <v>678</v>
      </c>
      <c r="L7" s="938" t="s">
        <v>678</v>
      </c>
      <c r="M7" s="938" t="s">
        <v>678</v>
      </c>
      <c r="N7" s="947" t="s">
        <v>678</v>
      </c>
      <c r="O7" s="943" t="s">
        <v>678</v>
      </c>
      <c r="P7" s="948" t="s">
        <v>678</v>
      </c>
      <c r="Q7" s="941"/>
    </row>
    <row r="8" spans="1:17" ht="270">
      <c r="A8" s="934" t="s">
        <v>586</v>
      </c>
      <c r="B8" s="935" t="s">
        <v>692</v>
      </c>
      <c r="C8" s="936" t="s">
        <v>684</v>
      </c>
      <c r="D8" s="936" t="s">
        <v>685</v>
      </c>
      <c r="E8" s="937" t="s">
        <v>686</v>
      </c>
      <c r="F8" s="937" t="s">
        <v>687</v>
      </c>
      <c r="G8" s="938" t="s">
        <v>678</v>
      </c>
      <c r="H8" s="938" t="s">
        <v>678</v>
      </c>
      <c r="I8" s="938" t="s">
        <v>678</v>
      </c>
      <c r="J8" s="937" t="s">
        <v>688</v>
      </c>
      <c r="K8" s="930" t="s">
        <v>678</v>
      </c>
      <c r="L8" s="938" t="s">
        <v>678</v>
      </c>
      <c r="M8" s="938" t="s">
        <v>678</v>
      </c>
      <c r="N8" s="937" t="s">
        <v>689</v>
      </c>
      <c r="O8" s="939" t="s">
        <v>681</v>
      </c>
      <c r="P8" s="940" t="s">
        <v>682</v>
      </c>
      <c r="Q8" s="941"/>
    </row>
    <row r="9" spans="1:17" s="450" customFormat="1" ht="390">
      <c r="A9" s="949" t="s">
        <v>535</v>
      </c>
      <c r="B9" s="937" t="s">
        <v>693</v>
      </c>
      <c r="C9" s="944" t="s">
        <v>691</v>
      </c>
      <c r="D9" s="937" t="s">
        <v>694</v>
      </c>
      <c r="E9" s="937" t="s">
        <v>695</v>
      </c>
      <c r="F9" s="938" t="s">
        <v>691</v>
      </c>
      <c r="G9" s="937" t="s">
        <v>696</v>
      </c>
      <c r="H9" s="937" t="s">
        <v>697</v>
      </c>
      <c r="I9" s="938" t="s">
        <v>691</v>
      </c>
      <c r="J9" s="938" t="s">
        <v>691</v>
      </c>
      <c r="K9" s="938" t="s">
        <v>691</v>
      </c>
      <c r="L9" s="938" t="s">
        <v>691</v>
      </c>
      <c r="M9" s="937" t="s">
        <v>693</v>
      </c>
      <c r="N9" s="938" t="s">
        <v>691</v>
      </c>
      <c r="O9" s="938" t="s">
        <v>691</v>
      </c>
      <c r="P9" s="950" t="s">
        <v>691</v>
      </c>
      <c r="Q9" s="951"/>
    </row>
    <row r="10" spans="1:17" ht="360">
      <c r="A10" s="934" t="s">
        <v>525</v>
      </c>
      <c r="B10" s="935" t="s">
        <v>698</v>
      </c>
      <c r="C10" s="944" t="s">
        <v>691</v>
      </c>
      <c r="D10" s="944" t="s">
        <v>691</v>
      </c>
      <c r="E10" s="944" t="s">
        <v>691</v>
      </c>
      <c r="F10" s="938" t="s">
        <v>691</v>
      </c>
      <c r="G10" s="935" t="s">
        <v>699</v>
      </c>
      <c r="H10" s="938" t="s">
        <v>691</v>
      </c>
      <c r="I10" s="938" t="s">
        <v>691</v>
      </c>
      <c r="J10" s="938" t="s">
        <v>691</v>
      </c>
      <c r="K10" s="938" t="s">
        <v>691</v>
      </c>
      <c r="L10" s="938" t="s">
        <v>691</v>
      </c>
      <c r="M10" s="935" t="s">
        <v>700</v>
      </c>
      <c r="N10" s="938" t="s">
        <v>691</v>
      </c>
      <c r="O10" s="938" t="s">
        <v>691</v>
      </c>
      <c r="P10" s="950" t="s">
        <v>691</v>
      </c>
      <c r="Q10" s="941"/>
    </row>
    <row r="11" spans="1:17" ht="21">
      <c r="A11" s="934" t="s">
        <v>526</v>
      </c>
      <c r="B11" s="952" t="s">
        <v>701</v>
      </c>
      <c r="C11" s="952" t="s">
        <v>701</v>
      </c>
      <c r="D11" s="952" t="s">
        <v>701</v>
      </c>
      <c r="E11" s="952" t="s">
        <v>701</v>
      </c>
      <c r="F11" s="952" t="s">
        <v>701</v>
      </c>
      <c r="G11" s="952" t="s">
        <v>701</v>
      </c>
      <c r="H11" s="952" t="s">
        <v>701</v>
      </c>
      <c r="I11" s="952" t="s">
        <v>701</v>
      </c>
      <c r="J11" s="952" t="s">
        <v>701</v>
      </c>
      <c r="K11" s="952" t="s">
        <v>701</v>
      </c>
      <c r="L11" s="952" t="s">
        <v>701</v>
      </c>
      <c r="M11" s="952" t="s">
        <v>701</v>
      </c>
      <c r="N11" s="952" t="s">
        <v>701</v>
      </c>
      <c r="O11" s="952" t="s">
        <v>701</v>
      </c>
      <c r="P11" s="953" t="s">
        <v>701</v>
      </c>
      <c r="Q11" s="954"/>
    </row>
    <row r="12" spans="1:17" ht="21">
      <c r="A12" s="934" t="s">
        <v>527</v>
      </c>
      <c r="B12" s="952" t="s">
        <v>701</v>
      </c>
      <c r="C12" s="952" t="s">
        <v>691</v>
      </c>
      <c r="D12" s="952" t="s">
        <v>691</v>
      </c>
      <c r="E12" s="952" t="s">
        <v>691</v>
      </c>
      <c r="F12" s="952" t="s">
        <v>691</v>
      </c>
      <c r="G12" s="952" t="s">
        <v>691</v>
      </c>
      <c r="H12" s="952" t="s">
        <v>691</v>
      </c>
      <c r="I12" s="952" t="s">
        <v>691</v>
      </c>
      <c r="J12" s="952" t="s">
        <v>691</v>
      </c>
      <c r="K12" s="952" t="s">
        <v>691</v>
      </c>
      <c r="L12" s="952" t="s">
        <v>691</v>
      </c>
      <c r="M12" s="952" t="s">
        <v>691</v>
      </c>
      <c r="N12" s="952" t="s">
        <v>691</v>
      </c>
      <c r="O12" s="952" t="s">
        <v>691</v>
      </c>
      <c r="P12" s="955" t="s">
        <v>691</v>
      </c>
      <c r="Q12" s="446"/>
    </row>
    <row r="13" spans="1:17" ht="21">
      <c r="A13" s="934" t="s">
        <v>528</v>
      </c>
      <c r="B13" s="952" t="s">
        <v>701</v>
      </c>
      <c r="C13" s="952" t="s">
        <v>691</v>
      </c>
      <c r="D13" s="952" t="s">
        <v>701</v>
      </c>
      <c r="E13" s="952" t="s">
        <v>701</v>
      </c>
      <c r="F13" s="952" t="s">
        <v>691</v>
      </c>
      <c r="G13" s="952" t="s">
        <v>701</v>
      </c>
      <c r="H13" s="952" t="s">
        <v>701</v>
      </c>
      <c r="I13" s="952" t="s">
        <v>691</v>
      </c>
      <c r="J13" s="952" t="s">
        <v>691</v>
      </c>
      <c r="K13" s="952" t="s">
        <v>691</v>
      </c>
      <c r="L13" s="952" t="s">
        <v>691</v>
      </c>
      <c r="M13" s="952" t="s">
        <v>701</v>
      </c>
      <c r="N13" s="952" t="s">
        <v>691</v>
      </c>
      <c r="O13" s="952" t="s">
        <v>691</v>
      </c>
      <c r="P13" s="955" t="s">
        <v>691</v>
      </c>
      <c r="Q13" s="446"/>
    </row>
    <row r="14" spans="1:17" ht="30">
      <c r="A14" s="956" t="s">
        <v>702</v>
      </c>
      <c r="B14" s="942" t="s">
        <v>690</v>
      </c>
      <c r="C14" s="952" t="s">
        <v>691</v>
      </c>
      <c r="D14" s="942" t="s">
        <v>690</v>
      </c>
      <c r="E14" s="952" t="s">
        <v>691</v>
      </c>
      <c r="F14" s="952" t="s">
        <v>691</v>
      </c>
      <c r="G14" s="952" t="s">
        <v>691</v>
      </c>
      <c r="H14" s="952" t="s">
        <v>691</v>
      </c>
      <c r="I14" s="952" t="s">
        <v>691</v>
      </c>
      <c r="J14" s="952" t="s">
        <v>691</v>
      </c>
      <c r="K14" s="952" t="s">
        <v>691</v>
      </c>
      <c r="L14" s="952" t="s">
        <v>691</v>
      </c>
      <c r="M14" s="952" t="s">
        <v>691</v>
      </c>
      <c r="N14" s="952" t="s">
        <v>691</v>
      </c>
      <c r="O14" s="952" t="s">
        <v>691</v>
      </c>
      <c r="P14" s="953" t="s">
        <v>691</v>
      </c>
      <c r="Q14" s="957"/>
    </row>
    <row r="15" spans="1:17" s="456" customFormat="1" ht="21">
      <c r="A15" s="958" t="s">
        <v>529</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703</v>
      </c>
      <c r="B18" s="967" t="s">
        <v>704</v>
      </c>
      <c r="C18" s="968" t="s">
        <v>705</v>
      </c>
      <c r="D18" s="969" t="s">
        <v>706</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9" t="s">
        <v>230</v>
      </c>
      <c r="B1" s="1147" t="s">
        <v>338</v>
      </c>
      <c r="C1" s="1147"/>
      <c r="D1" s="1150" t="s">
        <v>339</v>
      </c>
      <c r="E1" s="1150"/>
      <c r="F1" s="1150"/>
      <c r="G1" s="1150"/>
      <c r="H1" s="1150"/>
      <c r="I1" s="1150"/>
      <c r="J1" s="1150"/>
      <c r="K1" s="1150"/>
      <c r="L1" s="1150"/>
      <c r="M1" s="1150"/>
      <c r="N1" s="1150"/>
      <c r="O1" s="1150"/>
      <c r="P1" s="1147" t="s">
        <v>708</v>
      </c>
    </row>
    <row r="2" spans="1:16" ht="60">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6336.7573690074896</v>
      </c>
      <c r="C6" s="972"/>
      <c r="D6" s="972"/>
      <c r="E6" s="972"/>
      <c r="F6" s="972"/>
      <c r="G6" s="972"/>
      <c r="H6" s="972"/>
      <c r="I6" s="972"/>
      <c r="J6" s="972"/>
      <c r="K6" s="972"/>
      <c r="L6" s="972"/>
      <c r="M6" s="972"/>
      <c r="N6" s="972"/>
      <c r="O6" s="972"/>
      <c r="P6" s="973">
        <f>'SEAP template'!Q74</f>
        <v>0</v>
      </c>
    </row>
    <row r="7" spans="1:16">
      <c r="A7" s="977" t="s">
        <v>668</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8.5</v>
      </c>
      <c r="D8" s="972">
        <f>'SEAP template'!D76</f>
        <v>9.4444444444444429</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1.9077777777777776</v>
      </c>
    </row>
    <row r="9" spans="1:16">
      <c r="A9" s="978" t="s">
        <v>711</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6336.7573690074896</v>
      </c>
      <c r="C10" s="974">
        <f>SUM(C4:C9)</f>
        <v>8.5</v>
      </c>
      <c r="D10" s="974">
        <f t="shared" ref="D10:H10" si="0">SUM(D8:D9)</f>
        <v>9.4444444444444429</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1.9077777777777776</v>
      </c>
    </row>
    <row r="11" spans="1:16">
      <c r="A11" s="849"/>
      <c r="B11" s="849"/>
      <c r="C11" s="849"/>
      <c r="D11" s="849"/>
      <c r="E11" s="849"/>
      <c r="F11" s="849"/>
      <c r="G11" s="849"/>
      <c r="H11" s="849"/>
      <c r="I11" s="849"/>
      <c r="J11" s="849"/>
      <c r="K11" s="849"/>
      <c r="L11" s="849"/>
      <c r="M11" s="849"/>
      <c r="N11" s="849"/>
      <c r="O11" s="849"/>
      <c r="P11" s="849"/>
    </row>
    <row r="12" spans="1:16">
      <c r="A12" s="457" t="s">
        <v>722</v>
      </c>
      <c r="B12" s="738" t="s">
        <v>721</v>
      </c>
      <c r="C12" s="738">
        <f ca="1">'EF ele_warmte'!B12</f>
        <v>0.19830605672602145</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7.25" customHeight="1">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c r="A17" s="979" t="s">
        <v>241</v>
      </c>
      <c r="B17" s="975">
        <f>'SEAP template'!B87</f>
        <v>0</v>
      </c>
      <c r="C17" s="975">
        <f>'SEAP template'!C87</f>
        <v>12.175675675675675</v>
      </c>
      <c r="D17" s="973">
        <f>'SEAP template'!D87</f>
        <v>13.528528528528525</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2.7327627627627624</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712</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12.175675675675675</v>
      </c>
      <c r="D20" s="974">
        <f t="shared" ref="D20:H20" si="2">SUM(D17:D19)</f>
        <v>13.528528528528525</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2.7327627627627624</v>
      </c>
    </row>
    <row r="21" spans="1:16">
      <c r="B21" s="842"/>
    </row>
    <row r="22" spans="1:16">
      <c r="A22" s="457" t="s">
        <v>723</v>
      </c>
      <c r="B22" s="738" t="s">
        <v>721</v>
      </c>
      <c r="C22" s="738">
        <f ca="1">'EF ele_warmte'!B22</f>
        <v>0.22444444444444442</v>
      </c>
    </row>
  </sheetData>
  <mergeCells count="17">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16" workbookViewId="0">
      <selection activeCell="B19" sqref="B19"/>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9" t="s">
        <v>230</v>
      </c>
      <c r="B1" s="1147" t="s">
        <v>338</v>
      </c>
      <c r="C1" s="1147"/>
      <c r="D1" s="1150" t="s">
        <v>339</v>
      </c>
      <c r="E1" s="1150"/>
      <c r="F1" s="1150"/>
      <c r="G1" s="1150"/>
      <c r="H1" s="1150"/>
      <c r="I1" s="1150"/>
      <c r="J1" s="1150"/>
      <c r="K1" s="1150"/>
      <c r="L1" s="1150"/>
      <c r="M1" s="1150"/>
      <c r="N1" s="1150"/>
      <c r="O1" s="1150"/>
      <c r="P1" s="1147" t="s">
        <v>708</v>
      </c>
    </row>
    <row r="2" spans="1:16" ht="15.75">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ht="110.25" customHeight="1">
      <c r="A4" s="985" t="s">
        <v>238</v>
      </c>
      <c r="B4" s="983" t="s">
        <v>842</v>
      </c>
      <c r="C4" s="988" t="s">
        <v>691</v>
      </c>
      <c r="D4" s="988" t="s">
        <v>691</v>
      </c>
      <c r="E4" s="988" t="s">
        <v>691</v>
      </c>
      <c r="F4" s="988" t="s">
        <v>691</v>
      </c>
      <c r="G4" s="988" t="s">
        <v>691</v>
      </c>
      <c r="H4" s="988" t="s">
        <v>691</v>
      </c>
      <c r="I4" s="988" t="s">
        <v>691</v>
      </c>
      <c r="J4" s="988" t="s">
        <v>691</v>
      </c>
      <c r="K4" s="988" t="s">
        <v>691</v>
      </c>
      <c r="L4" s="988" t="s">
        <v>691</v>
      </c>
      <c r="M4" s="988" t="s">
        <v>691</v>
      </c>
      <c r="N4" s="988" t="s">
        <v>691</v>
      </c>
      <c r="O4" s="988" t="s">
        <v>691</v>
      </c>
      <c r="P4" s="984" t="s">
        <v>724</v>
      </c>
    </row>
    <row r="5" spans="1:16" ht="135">
      <c r="A5" s="986" t="s">
        <v>239</v>
      </c>
      <c r="B5" s="983" t="s">
        <v>842</v>
      </c>
      <c r="C5" s="988" t="s">
        <v>691</v>
      </c>
      <c r="D5" s="988" t="s">
        <v>691</v>
      </c>
      <c r="E5" s="988" t="s">
        <v>691</v>
      </c>
      <c r="F5" s="988" t="s">
        <v>691</v>
      </c>
      <c r="G5" s="988" t="s">
        <v>691</v>
      </c>
      <c r="H5" s="988" t="s">
        <v>691</v>
      </c>
      <c r="I5" s="988" t="s">
        <v>691</v>
      </c>
      <c r="J5" s="988" t="s">
        <v>691</v>
      </c>
      <c r="K5" s="988" t="s">
        <v>691</v>
      </c>
      <c r="L5" s="988" t="s">
        <v>691</v>
      </c>
      <c r="M5" s="988" t="s">
        <v>691</v>
      </c>
      <c r="N5" s="988" t="s">
        <v>691</v>
      </c>
      <c r="O5" s="988" t="s">
        <v>691</v>
      </c>
      <c r="P5" s="984" t="s">
        <v>724</v>
      </c>
    </row>
    <row r="6" spans="1:16" ht="135">
      <c r="A6" s="986" t="s">
        <v>240</v>
      </c>
      <c r="B6" s="983" t="s">
        <v>842</v>
      </c>
      <c r="C6" s="988" t="s">
        <v>691</v>
      </c>
      <c r="D6" s="988" t="s">
        <v>691</v>
      </c>
      <c r="E6" s="988" t="s">
        <v>691</v>
      </c>
      <c r="F6" s="988" t="s">
        <v>691</v>
      </c>
      <c r="G6" s="988" t="s">
        <v>691</v>
      </c>
      <c r="H6" s="988" t="s">
        <v>691</v>
      </c>
      <c r="I6" s="988" t="s">
        <v>691</v>
      </c>
      <c r="J6" s="988" t="s">
        <v>691</v>
      </c>
      <c r="K6" s="988" t="s">
        <v>691</v>
      </c>
      <c r="L6" s="988" t="s">
        <v>691</v>
      </c>
      <c r="M6" s="988" t="s">
        <v>691</v>
      </c>
      <c r="N6" s="988" t="s">
        <v>691</v>
      </c>
      <c r="O6" s="988" t="s">
        <v>691</v>
      </c>
      <c r="P6" s="984" t="s">
        <v>724</v>
      </c>
    </row>
    <row r="7" spans="1:16" ht="135">
      <c r="A7" s="986" t="s">
        <v>668</v>
      </c>
      <c r="B7" s="988" t="s">
        <v>691</v>
      </c>
      <c r="C7" s="988" t="s">
        <v>691</v>
      </c>
      <c r="D7" s="988" t="s">
        <v>691</v>
      </c>
      <c r="E7" s="988" t="s">
        <v>691</v>
      </c>
      <c r="F7" s="988" t="s">
        <v>691</v>
      </c>
      <c r="G7" s="988" t="s">
        <v>691</v>
      </c>
      <c r="H7" s="988" t="s">
        <v>691</v>
      </c>
      <c r="I7" s="988" t="s">
        <v>691</v>
      </c>
      <c r="J7" s="988" t="s">
        <v>691</v>
      </c>
      <c r="K7" s="988" t="s">
        <v>691</v>
      </c>
      <c r="L7" s="988" t="s">
        <v>691</v>
      </c>
      <c r="M7" s="988" t="s">
        <v>691</v>
      </c>
      <c r="N7" s="988" t="s">
        <v>691</v>
      </c>
      <c r="O7" s="988" t="s">
        <v>691</v>
      </c>
      <c r="P7" s="984" t="s">
        <v>724</v>
      </c>
    </row>
    <row r="8" spans="1:16" ht="210">
      <c r="A8" s="985" t="s">
        <v>241</v>
      </c>
      <c r="B8" s="983" t="s">
        <v>725</v>
      </c>
      <c r="C8" s="983" t="s">
        <v>725</v>
      </c>
      <c r="D8" s="983" t="s">
        <v>725</v>
      </c>
      <c r="E8" s="983" t="s">
        <v>725</v>
      </c>
      <c r="F8" s="983" t="s">
        <v>725</v>
      </c>
      <c r="G8" s="983" t="s">
        <v>725</v>
      </c>
      <c r="H8" s="983" t="s">
        <v>725</v>
      </c>
      <c r="I8" s="983" t="s">
        <v>725</v>
      </c>
      <c r="J8" s="983" t="s">
        <v>725</v>
      </c>
      <c r="K8" s="988" t="s">
        <v>691</v>
      </c>
      <c r="L8" s="988" t="s">
        <v>691</v>
      </c>
      <c r="M8" s="988" t="s">
        <v>691</v>
      </c>
      <c r="N8" s="983" t="s">
        <v>726</v>
      </c>
      <c r="O8" s="983" t="s">
        <v>726</v>
      </c>
      <c r="P8" s="989"/>
    </row>
    <row r="9" spans="1:16" ht="210">
      <c r="A9" s="987" t="s">
        <v>711</v>
      </c>
      <c r="B9" s="983" t="s">
        <v>726</v>
      </c>
      <c r="C9" s="983" t="s">
        <v>726</v>
      </c>
      <c r="D9" s="983" t="s">
        <v>726</v>
      </c>
      <c r="E9" s="983" t="s">
        <v>726</v>
      </c>
      <c r="F9" s="983" t="s">
        <v>726</v>
      </c>
      <c r="G9" s="983" t="s">
        <v>726</v>
      </c>
      <c r="H9" s="983" t="s">
        <v>726</v>
      </c>
      <c r="I9" s="983" t="s">
        <v>726</v>
      </c>
      <c r="J9" s="983" t="s">
        <v>726</v>
      </c>
      <c r="K9" s="988" t="s">
        <v>691</v>
      </c>
      <c r="L9" s="983" t="s">
        <v>726</v>
      </c>
      <c r="M9" s="983" t="s">
        <v>726</v>
      </c>
      <c r="N9" s="983" t="s">
        <v>726</v>
      </c>
      <c r="O9" s="983" t="s">
        <v>726</v>
      </c>
      <c r="P9" s="989"/>
    </row>
    <row r="10" spans="1:16">
      <c r="A10" s="986" t="s">
        <v>109</v>
      </c>
      <c r="B10" s="990"/>
      <c r="C10" s="990"/>
      <c r="D10" s="990"/>
      <c r="E10" s="990"/>
      <c r="F10" s="990"/>
      <c r="G10" s="990"/>
      <c r="H10" s="990"/>
      <c r="I10" s="990"/>
      <c r="J10" s="990"/>
      <c r="K10" s="990"/>
      <c r="L10" s="990"/>
      <c r="M10" s="990"/>
      <c r="N10" s="990"/>
      <c r="O10" s="990"/>
      <c r="P10" s="990"/>
    </row>
    <row r="11" spans="1:16">
      <c r="A11" s="849"/>
      <c r="B11" s="849"/>
      <c r="C11" s="849"/>
      <c r="D11" s="849"/>
      <c r="E11" s="849"/>
      <c r="F11" s="849"/>
      <c r="G11" s="849"/>
      <c r="H11" s="849"/>
      <c r="I11" s="849"/>
      <c r="J11" s="849"/>
      <c r="K11" s="849"/>
      <c r="L11" s="849"/>
      <c r="M11" s="849"/>
      <c r="N11" s="849"/>
      <c r="O11" s="849"/>
      <c r="P11" s="849"/>
    </row>
    <row r="12" spans="1:16" ht="150">
      <c r="A12" s="457" t="s">
        <v>722</v>
      </c>
      <c r="B12" s="738" t="s">
        <v>721</v>
      </c>
      <c r="C12" s="991" t="s">
        <v>727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5.75">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ht="210">
      <c r="A17" s="979" t="s">
        <v>241</v>
      </c>
      <c r="B17" s="983" t="s">
        <v>726</v>
      </c>
      <c r="C17" s="983" t="s">
        <v>726</v>
      </c>
      <c r="D17" s="983" t="s">
        <v>726</v>
      </c>
      <c r="E17" s="983" t="s">
        <v>726</v>
      </c>
      <c r="F17" s="983" t="s">
        <v>726</v>
      </c>
      <c r="G17" s="983" t="s">
        <v>726</v>
      </c>
      <c r="H17" s="983" t="s">
        <v>726</v>
      </c>
      <c r="I17" s="983" t="s">
        <v>726</v>
      </c>
      <c r="J17" s="983" t="s">
        <v>726</v>
      </c>
      <c r="K17" s="988" t="s">
        <v>691</v>
      </c>
      <c r="L17" s="988" t="s">
        <v>691</v>
      </c>
      <c r="M17" s="988" t="s">
        <v>691</v>
      </c>
      <c r="N17" s="983" t="s">
        <v>726</v>
      </c>
      <c r="O17" s="983" t="s">
        <v>726</v>
      </c>
      <c r="P17" s="982"/>
    </row>
    <row r="18" spans="1:16" ht="45">
      <c r="A18" s="980" t="s">
        <v>247</v>
      </c>
      <c r="B18" s="984" t="s">
        <v>701</v>
      </c>
      <c r="C18" s="984" t="s">
        <v>701</v>
      </c>
      <c r="D18" s="984" t="s">
        <v>701</v>
      </c>
      <c r="E18" s="984" t="s">
        <v>701</v>
      </c>
      <c r="F18" s="984" t="s">
        <v>701</v>
      </c>
      <c r="G18" s="984" t="s">
        <v>701</v>
      </c>
      <c r="H18" s="984" t="s">
        <v>701</v>
      </c>
      <c r="I18" s="984" t="s">
        <v>701</v>
      </c>
      <c r="J18" s="984" t="s">
        <v>701</v>
      </c>
      <c r="K18" s="984" t="s">
        <v>701</v>
      </c>
      <c r="L18" s="984" t="s">
        <v>701</v>
      </c>
      <c r="M18" s="984" t="s">
        <v>701</v>
      </c>
      <c r="N18" s="984" t="s">
        <v>701</v>
      </c>
      <c r="O18" s="984" t="s">
        <v>701</v>
      </c>
      <c r="P18" s="984" t="s">
        <v>701</v>
      </c>
    </row>
    <row r="19" spans="1:16" ht="45">
      <c r="A19" s="978" t="s">
        <v>712</v>
      </c>
      <c r="B19" s="984" t="s">
        <v>701</v>
      </c>
      <c r="C19" s="984" t="s">
        <v>701</v>
      </c>
      <c r="D19" s="984" t="s">
        <v>701</v>
      </c>
      <c r="E19" s="984" t="s">
        <v>701</v>
      </c>
      <c r="F19" s="984" t="s">
        <v>701</v>
      </c>
      <c r="G19" s="984" t="s">
        <v>701</v>
      </c>
      <c r="H19" s="984" t="s">
        <v>701</v>
      </c>
      <c r="I19" s="984" t="s">
        <v>701</v>
      </c>
      <c r="J19" s="984" t="s">
        <v>701</v>
      </c>
      <c r="K19" s="984" t="s">
        <v>701</v>
      </c>
      <c r="L19" s="984" t="s">
        <v>701</v>
      </c>
      <c r="M19" s="984" t="s">
        <v>701</v>
      </c>
      <c r="N19" s="984" t="s">
        <v>701</v>
      </c>
      <c r="O19" s="984" t="s">
        <v>701</v>
      </c>
      <c r="P19" s="984" t="s">
        <v>701</v>
      </c>
    </row>
    <row r="20" spans="1:16">
      <c r="A20" s="981" t="s">
        <v>109</v>
      </c>
      <c r="B20" s="974"/>
      <c r="C20" s="974"/>
      <c r="D20" s="974"/>
      <c r="E20" s="974"/>
      <c r="F20" s="974"/>
      <c r="G20" s="974"/>
      <c r="H20" s="974"/>
      <c r="I20" s="974"/>
      <c r="J20" s="974"/>
      <c r="K20" s="974"/>
      <c r="L20" s="974"/>
      <c r="M20" s="974"/>
      <c r="N20" s="974"/>
      <c r="O20" s="974"/>
      <c r="P20" s="974"/>
    </row>
    <row r="21" spans="1:16">
      <c r="A21" s="842"/>
      <c r="B21" s="842"/>
      <c r="C21" s="842"/>
      <c r="D21" s="842"/>
      <c r="E21" s="842"/>
      <c r="F21" s="842"/>
      <c r="G21" s="842"/>
      <c r="H21" s="842"/>
      <c r="I21" s="842"/>
      <c r="J21" s="842"/>
      <c r="K21" s="842"/>
      <c r="L21" s="842"/>
      <c r="M21" s="842"/>
      <c r="N21" s="842"/>
      <c r="O21" s="842"/>
      <c r="P21" s="842"/>
    </row>
    <row r="22" spans="1:16" ht="90">
      <c r="A22" s="457" t="s">
        <v>723</v>
      </c>
      <c r="B22" s="738" t="s">
        <v>721</v>
      </c>
      <c r="C22" s="991" t="s">
        <v>728</v>
      </c>
      <c r="D22" s="842"/>
      <c r="E22" s="842"/>
      <c r="F22" s="842"/>
      <c r="G22" s="842"/>
      <c r="H22" s="842"/>
      <c r="I22" s="842"/>
      <c r="J22" s="842"/>
      <c r="K22" s="842"/>
      <c r="L22" s="842"/>
      <c r="M22" s="842"/>
      <c r="N22" s="842"/>
      <c r="O22" s="842"/>
      <c r="P22" s="842"/>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552</v>
      </c>
      <c r="B6" s="75" t="s">
        <v>553</v>
      </c>
      <c r="C6" s="427" t="s">
        <v>536</v>
      </c>
    </row>
    <row r="7" spans="1:3">
      <c r="A7" s="124"/>
      <c r="B7" s="128"/>
      <c r="C7" s="122"/>
    </row>
    <row r="8" spans="1:3">
      <c r="A8" s="113" t="s">
        <v>555</v>
      </c>
      <c r="B8" s="75" t="s">
        <v>554</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496</v>
      </c>
      <c r="C12" s="306" t="s">
        <v>566</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55.1406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8" t="s">
        <v>561</v>
      </c>
      <c r="B4" s="460"/>
      <c r="C4" s="460"/>
      <c r="D4" s="460"/>
      <c r="E4" s="460"/>
      <c r="F4" s="460"/>
      <c r="G4" s="492"/>
      <c r="H4" s="492"/>
      <c r="I4" s="460"/>
      <c r="J4" s="460"/>
      <c r="K4" s="460"/>
      <c r="L4" s="460"/>
      <c r="M4" s="460"/>
      <c r="N4" s="460"/>
      <c r="O4" s="460"/>
      <c r="P4" s="460"/>
    </row>
    <row r="5" spans="1:16" outlineLevel="1">
      <c r="A5" s="638" t="s">
        <v>562</v>
      </c>
      <c r="B5" s="460"/>
      <c r="C5" s="460"/>
      <c r="D5" s="460"/>
      <c r="E5" s="460"/>
      <c r="F5" s="460"/>
      <c r="G5" s="492"/>
      <c r="H5" s="492"/>
      <c r="I5" s="460"/>
      <c r="J5" s="460"/>
      <c r="K5" s="460"/>
      <c r="L5" s="460"/>
      <c r="M5" s="460"/>
      <c r="N5" s="460"/>
      <c r="O5" s="460"/>
      <c r="P5" s="460"/>
    </row>
    <row r="6" spans="1:16" outlineLevel="1">
      <c r="A6" s="638" t="s">
        <v>563</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9" t="s">
        <v>564</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565</v>
      </c>
      <c r="B10" s="460"/>
      <c r="C10" s="460"/>
      <c r="D10" s="460"/>
      <c r="E10" s="460"/>
      <c r="F10" s="460"/>
      <c r="G10" s="492"/>
      <c r="H10" s="492"/>
      <c r="I10" s="460"/>
      <c r="J10" s="460"/>
      <c r="K10" s="460"/>
      <c r="L10" s="460"/>
      <c r="M10" s="460"/>
      <c r="N10" s="460"/>
      <c r="O10" s="460"/>
      <c r="P10" s="460"/>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550</v>
      </c>
      <c r="B13" s="445"/>
      <c r="C13" s="464"/>
      <c r="D13" s="464"/>
      <c r="E13" s="464"/>
      <c r="F13" s="464"/>
      <c r="G13" s="464"/>
      <c r="H13" s="464"/>
      <c r="I13" s="464"/>
      <c r="J13" s="464"/>
      <c r="K13" s="464"/>
      <c r="L13" s="464"/>
      <c r="M13" s="464"/>
      <c r="N13" s="464"/>
      <c r="O13" s="739" t="s">
        <v>582</v>
      </c>
      <c r="P13" s="739" t="s">
        <v>581</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0.19830605672602145</v>
      </c>
      <c r="C17" s="494">
        <f ca="1">'EF ele_warmte'!B22</f>
        <v>0.22444444444444442</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1</v>
      </c>
      <c r="C24" s="482"/>
      <c r="D24" s="847" t="s">
        <v>602</v>
      </c>
      <c r="E24" s="446"/>
    </row>
    <row r="25" spans="1:16" s="445" customFormat="1" outlineLevel="1">
      <c r="A25" s="481" t="s">
        <v>428</v>
      </c>
      <c r="B25" s="307">
        <v>13.15681996793146</v>
      </c>
      <c r="C25" s="43"/>
      <c r="D25" s="301" t="s">
        <v>738</v>
      </c>
      <c r="E25" s="459"/>
    </row>
    <row r="26" spans="1:16" s="445" customFormat="1" outlineLevel="1">
      <c r="A26" s="743" t="s">
        <v>429</v>
      </c>
      <c r="B26" s="312">
        <f>1.34/3.6</f>
        <v>0.37222222222222223</v>
      </c>
      <c r="C26" s="43" t="s">
        <v>208</v>
      </c>
      <c r="D26" s="301" t="s">
        <v>739</v>
      </c>
      <c r="E26" s="459"/>
    </row>
    <row r="27" spans="1:16" s="445" customFormat="1" outlineLevel="1">
      <c r="A27" s="484" t="s">
        <v>573</v>
      </c>
      <c r="B27" s="745">
        <f>B24*B25*B26</f>
        <v>4.8972607658411542</v>
      </c>
      <c r="C27" s="485" t="s">
        <v>574</v>
      </c>
      <c r="D27" s="486"/>
      <c r="E27" s="487"/>
    </row>
    <row r="28" spans="1:16" s="445" customFormat="1" outlineLevel="1">
      <c r="A28" s="48"/>
      <c r="B28" s="48"/>
      <c r="C28" s="488"/>
      <c r="D28" s="482"/>
    </row>
    <row r="29" spans="1:16" s="445" customFormat="1" outlineLevel="1">
      <c r="A29" s="489" t="s">
        <v>462</v>
      </c>
      <c r="B29" s="473"/>
      <c r="C29" s="474"/>
      <c r="D29" s="475"/>
      <c r="E29" s="476"/>
    </row>
    <row r="30" spans="1:16" s="48" customFormat="1" outlineLevel="1">
      <c r="A30" s="490"/>
      <c r="B30" s="478"/>
      <c r="C30" s="479" t="s">
        <v>364</v>
      </c>
      <c r="D30" s="479" t="s">
        <v>175</v>
      </c>
      <c r="E30" s="480"/>
    </row>
    <row r="31" spans="1:16" s="445" customFormat="1" outlineLevel="1">
      <c r="A31" s="481" t="s">
        <v>427</v>
      </c>
      <c r="B31" s="47">
        <f>EigenWP</f>
        <v>0</v>
      </c>
      <c r="C31" s="482"/>
      <c r="D31" s="847" t="s">
        <v>602</v>
      </c>
      <c r="E31" s="446"/>
    </row>
    <row r="32" spans="1:16" s="445" customFormat="1" outlineLevel="1">
      <c r="A32" s="481" t="s">
        <v>425</v>
      </c>
      <c r="B32" s="48">
        <v>37.963784638354454</v>
      </c>
      <c r="C32" s="488" t="s">
        <v>252</v>
      </c>
      <c r="D32" s="483" t="s">
        <v>738</v>
      </c>
      <c r="E32" s="446"/>
    </row>
    <row r="33" spans="1:5" s="445" customFormat="1" outlineLevel="1">
      <c r="A33" s="481" t="s">
        <v>426</v>
      </c>
      <c r="B33" s="48">
        <v>1887.1743212997605</v>
      </c>
      <c r="C33" s="488" t="s">
        <v>254</v>
      </c>
      <c r="D33" s="483" t="s">
        <v>738</v>
      </c>
      <c r="E33" s="446"/>
    </row>
    <row r="34" spans="1:5" s="445" customFormat="1" outlineLevel="1">
      <c r="A34" s="743" t="s">
        <v>366</v>
      </c>
      <c r="B34" s="48">
        <v>3.75</v>
      </c>
      <c r="C34" s="488"/>
      <c r="D34" s="483" t="s">
        <v>739</v>
      </c>
      <c r="E34" s="446"/>
    </row>
    <row r="35" spans="1:5" s="445" customFormat="1" outlineLevel="1">
      <c r="A35" s="484" t="s">
        <v>573</v>
      </c>
      <c r="B35" s="744">
        <f>B31*B32*B33/1000-B31*B32*B33/1000/B34</f>
        <v>0</v>
      </c>
      <c r="C35" s="491" t="s">
        <v>574</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2019</vt:lpstr>
      <vt:lpstr>betrouwbaarheid inventaris</vt:lpstr>
      <vt:lpstr>Lokale energieproductie 2019</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2022-08-09T08:09:04Z</dcterms:modified>
</cp:coreProperties>
</file>