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8E74D041-8E56-4054-BA8A-061C54DAE8BF}"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6" i="16"/>
  <c r="D12" i="15"/>
  <c r="D11" i="15"/>
  <c r="D10" i="15"/>
  <c r="D9" i="15"/>
  <c r="D8" i="15"/>
  <c r="D7" i="15"/>
  <c r="D6" i="15"/>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4" i="18"/>
  <c r="E25" i="14"/>
  <c r="E55" i="14" s="1"/>
  <c r="C25" i="14"/>
  <c r="B14" i="48"/>
  <c r="R25" i="14"/>
  <c r="D14" i="48"/>
  <c r="B5" i="17"/>
  <c r="Q14" i="48"/>
  <c r="N18" i="18"/>
  <c r="L88" i="14" s="1"/>
  <c r="M18" i="18"/>
  <c r="K88" i="14" s="1"/>
  <c r="K89" i="14"/>
  <c r="K19" i="59"/>
  <c r="L89" i="14"/>
  <c r="L19" i="59" s="1"/>
  <c r="L87" i="14"/>
  <c r="L17" i="59"/>
  <c r="K87" i="14"/>
  <c r="K17" i="59" s="1"/>
  <c r="K77" i="14"/>
  <c r="K9" i="59"/>
  <c r="L77" i="14"/>
  <c r="L9" i="59" s="1"/>
  <c r="L10" i="59" s="1"/>
  <c r="L76" i="14"/>
  <c r="K76" i="14"/>
  <c r="K8" i="59" s="1"/>
  <c r="K10" i="59" s="1"/>
  <c r="B75" i="14"/>
  <c r="B7" i="59"/>
  <c r="L78" i="14"/>
  <c r="L8" i="59"/>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s="1"/>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27" i="19"/>
  <c r="B6" i="13"/>
  <c r="B17" i="17"/>
  <c r="B34" i="17"/>
  <c r="B6" i="16"/>
  <c r="W43" i="18"/>
  <c r="V43" i="18"/>
  <c r="U43" i="18"/>
  <c r="T43" i="18"/>
  <c r="S43" i="18"/>
  <c r="F6" i="17" s="1"/>
  <c r="F8" i="17" s="1"/>
  <c r="R43" i="18"/>
  <c r="Q43" i="18"/>
  <c r="P43" i="18"/>
  <c r="O43" i="18"/>
  <c r="N43" i="18"/>
  <c r="M43" i="18"/>
  <c r="W42" i="18"/>
  <c r="V42" i="18"/>
  <c r="U42" i="18"/>
  <c r="T42" i="18"/>
  <c r="S42" i="18"/>
  <c r="R42" i="18"/>
  <c r="Q42" i="18"/>
  <c r="P42" i="18"/>
  <c r="O42" i="18"/>
  <c r="C13" i="15" s="1"/>
  <c r="C16" i="15" s="1"/>
  <c r="C5" i="48" s="1"/>
  <c r="N42" i="18"/>
  <c r="M42" i="18"/>
  <c r="W41" i="18"/>
  <c r="V41" i="18"/>
  <c r="U41" i="18"/>
  <c r="T41" i="18"/>
  <c r="S41" i="18"/>
  <c r="R41" i="18"/>
  <c r="Q41" i="18"/>
  <c r="P41" i="18"/>
  <c r="O41" i="18"/>
  <c r="N41" i="18"/>
  <c r="M41" i="18"/>
  <c r="W40" i="18"/>
  <c r="H9" i="18"/>
  <c r="M77" i="14"/>
  <c r="M9" i="59"/>
  <c r="V40" i="18"/>
  <c r="U40" i="18"/>
  <c r="T40" i="18"/>
  <c r="S40" i="18"/>
  <c r="E9" i="18" s="1"/>
  <c r="F77" i="14" s="1"/>
  <c r="R40" i="18"/>
  <c r="Q40" i="18"/>
  <c r="P40" i="18"/>
  <c r="O40" i="18"/>
  <c r="N40" i="18"/>
  <c r="B9" i="18" s="1"/>
  <c r="M40" i="18"/>
  <c r="W36" i="18"/>
  <c r="V36" i="18"/>
  <c r="U36" i="18"/>
  <c r="T36" i="18"/>
  <c r="L6" i="17"/>
  <c r="L5" i="17"/>
  <c r="S36" i="18"/>
  <c r="R36" i="18"/>
  <c r="Q36" i="18"/>
  <c r="P36" i="18"/>
  <c r="O36" i="18"/>
  <c r="N36" i="18"/>
  <c r="M36" i="18"/>
  <c r="W35" i="18"/>
  <c r="V35" i="18"/>
  <c r="U35" i="18"/>
  <c r="T35" i="18"/>
  <c r="S35" i="18"/>
  <c r="R35" i="18"/>
  <c r="Q35" i="18"/>
  <c r="P35" i="18"/>
  <c r="O35" i="18"/>
  <c r="N35" i="18"/>
  <c r="B13" i="15"/>
  <c r="M35" i="18"/>
  <c r="W34" i="18"/>
  <c r="V34" i="18"/>
  <c r="U34" i="18"/>
  <c r="T34" i="18"/>
  <c r="S34" i="18"/>
  <c r="F16" i="16"/>
  <c r="R34" i="18"/>
  <c r="Q34" i="18"/>
  <c r="P34" i="18"/>
  <c r="D16" i="16"/>
  <c r="O34" i="18"/>
  <c r="N34" i="18"/>
  <c r="W33" i="18"/>
  <c r="V33" i="18"/>
  <c r="U33" i="18"/>
  <c r="T33" i="18"/>
  <c r="S33" i="18"/>
  <c r="R33" i="18"/>
  <c r="Q33" i="18"/>
  <c r="P33" i="18"/>
  <c r="O33" i="18"/>
  <c r="B17" i="18"/>
  <c r="N33" i="18"/>
  <c r="B8" i="18" s="1"/>
  <c r="M33" i="18"/>
  <c r="K22" i="18"/>
  <c r="J22" i="18"/>
  <c r="I22" i="18"/>
  <c r="H22" i="18"/>
  <c r="G22" i="18"/>
  <c r="F22" i="18"/>
  <c r="E22" i="18"/>
  <c r="D22" i="18"/>
  <c r="C22" i="18"/>
  <c r="L19" i="18"/>
  <c r="O89" i="14" s="1"/>
  <c r="K19" i="18"/>
  <c r="N89" i="14"/>
  <c r="N19" i="59" s="1"/>
  <c r="J19" i="18"/>
  <c r="J89" i="14"/>
  <c r="J19" i="59"/>
  <c r="I19" i="18"/>
  <c r="I89" i="14"/>
  <c r="I19" i="59"/>
  <c r="H19" i="18"/>
  <c r="M89" i="14" s="1"/>
  <c r="G19" i="18"/>
  <c r="H89" i="14"/>
  <c r="H19" i="59" s="1"/>
  <c r="F19" i="18"/>
  <c r="G89" i="14"/>
  <c r="G19" i="59"/>
  <c r="E19" i="18"/>
  <c r="F89" i="14"/>
  <c r="F19" i="59"/>
  <c r="D19" i="18"/>
  <c r="E89" i="14" s="1"/>
  <c r="C19" i="18"/>
  <c r="B19" i="18"/>
  <c r="L18" i="18"/>
  <c r="O88" i="14"/>
  <c r="O18" i="59"/>
  <c r="K18" i="18"/>
  <c r="N88" i="14" s="1"/>
  <c r="J18" i="18"/>
  <c r="J88" i="14"/>
  <c r="J18" i="59" s="1"/>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s="1"/>
  <c r="C9" i="18"/>
  <c r="D77" i="14"/>
  <c r="D9" i="59" s="1"/>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s="1"/>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s="1"/>
  <c r="B35" i="16"/>
  <c r="B34" i="16"/>
  <c r="B12" i="16" s="1"/>
  <c r="B33" i="16"/>
  <c r="C33" i="16"/>
  <c r="F11" i="16"/>
  <c r="B32" i="16"/>
  <c r="C32" i="16"/>
  <c r="J10" i="16"/>
  <c r="B31" i="16"/>
  <c r="C31" i="16" s="1"/>
  <c r="B30" i="16"/>
  <c r="C30" i="16"/>
  <c r="N8" i="16" s="1"/>
  <c r="B29" i="16"/>
  <c r="C29" i="16"/>
  <c r="N20" i="16"/>
  <c r="M20" i="16"/>
  <c r="M22" i="16"/>
  <c r="N43" i="14"/>
  <c r="L20" i="16"/>
  <c r="K20" i="16"/>
  <c r="J20" i="16"/>
  <c r="I20" i="16"/>
  <c r="H20" i="16"/>
  <c r="G20" i="16"/>
  <c r="F20" i="16"/>
  <c r="E20" i="16"/>
  <c r="D20" i="16"/>
  <c r="C5" i="16"/>
  <c r="B40" i="15"/>
  <c r="B32" i="15"/>
  <c r="C32" i="15"/>
  <c r="N12" i="15" s="1"/>
  <c r="B31" i="15"/>
  <c r="C31" i="15"/>
  <c r="E11" i="15"/>
  <c r="B30" i="15"/>
  <c r="C30" i="15"/>
  <c r="E10" i="15"/>
  <c r="B29" i="15"/>
  <c r="C29" i="15" s="1"/>
  <c r="B28" i="15"/>
  <c r="C28" i="15"/>
  <c r="N8" i="15" s="1"/>
  <c r="B27" i="15"/>
  <c r="C27" i="15"/>
  <c r="F7" i="15"/>
  <c r="B26" i="15"/>
  <c r="C26" i="15"/>
  <c r="E6" i="15"/>
  <c r="N18" i="15"/>
  <c r="M18" i="15"/>
  <c r="L18" i="15"/>
  <c r="K18" i="15"/>
  <c r="J18" i="15"/>
  <c r="I18" i="15"/>
  <c r="H18" i="15"/>
  <c r="G18" i="15"/>
  <c r="F18" i="15"/>
  <c r="E18" i="15"/>
  <c r="D18" i="15"/>
  <c r="H10" i="14"/>
  <c r="P5" i="15"/>
  <c r="P16" i="15" s="1"/>
  <c r="P5" i="48" s="1"/>
  <c r="P23" i="48" s="1"/>
  <c r="C5" i="15"/>
  <c r="B60" i="13"/>
  <c r="P5" i="13" s="1"/>
  <c r="P8" i="13" s="1"/>
  <c r="B37" i="13"/>
  <c r="B54" i="13"/>
  <c r="O5" i="13"/>
  <c r="O8" i="13"/>
  <c r="O4" i="48"/>
  <c r="B27" i="13"/>
  <c r="B31" i="13"/>
  <c r="B26" i="13"/>
  <c r="B34"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8" i="9" s="1"/>
  <c r="B6" i="48" s="1"/>
  <c r="Q6" i="48" s="1"/>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N87" i="14"/>
  <c r="N17" i="59"/>
  <c r="H87" i="14"/>
  <c r="H17" i="59" s="1"/>
  <c r="G87" i="14"/>
  <c r="G17" i="59"/>
  <c r="G20" i="59" s="1"/>
  <c r="E87" i="14"/>
  <c r="E17" i="59" s="1"/>
  <c r="O76" i="14"/>
  <c r="O8" i="59"/>
  <c r="N76" i="14"/>
  <c r="N8" i="59" s="1"/>
  <c r="H76" i="14"/>
  <c r="H8" i="59"/>
  <c r="G76" i="14"/>
  <c r="G8" i="59" s="1"/>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B32" i="13"/>
  <c r="D6" i="17"/>
  <c r="D8" i="17" s="1"/>
  <c r="C34" i="13"/>
  <c r="J15" i="16"/>
  <c r="J30" i="48"/>
  <c r="J32" i="48"/>
  <c r="I9" i="18"/>
  <c r="I77" i="14"/>
  <c r="I9" i="59"/>
  <c r="F30" i="48"/>
  <c r="F32" i="48"/>
  <c r="N30" i="48"/>
  <c r="N32" i="48"/>
  <c r="D89" i="14"/>
  <c r="D19" i="59"/>
  <c r="O19" i="18"/>
  <c r="K10" i="18"/>
  <c r="N77" i="14"/>
  <c r="L10" i="18"/>
  <c r="O77" i="14"/>
  <c r="H16" i="14"/>
  <c r="L16" i="16"/>
  <c r="L18" i="16"/>
  <c r="M13" i="14" s="1"/>
  <c r="I14" i="15"/>
  <c r="I16" i="15"/>
  <c r="J10" i="14"/>
  <c r="B13" i="16"/>
  <c r="C35" i="16"/>
  <c r="E9" i="14"/>
  <c r="D14" i="15"/>
  <c r="P18" i="16"/>
  <c r="P22" i="16"/>
  <c r="Q43" i="14"/>
  <c r="N6" i="17"/>
  <c r="N5" i="17" s="1"/>
  <c r="N8" i="17" s="1"/>
  <c r="J8" i="17"/>
  <c r="J12" i="17"/>
  <c r="K54" i="14"/>
  <c r="K56" i="14" s="1"/>
  <c r="N16" i="16"/>
  <c r="N13" i="15"/>
  <c r="L13" i="15"/>
  <c r="L16" i="15"/>
  <c r="F13" i="15"/>
  <c r="D13" i="15"/>
  <c r="B67" i="22"/>
  <c r="M11" i="22"/>
  <c r="G10" i="22"/>
  <c r="M9" i="22"/>
  <c r="G8" i="22"/>
  <c r="M7" i="22"/>
  <c r="G6" i="22"/>
  <c r="G11" i="22"/>
  <c r="M8" i="22"/>
  <c r="G7" i="22"/>
  <c r="M10" i="22"/>
  <c r="G9" i="22"/>
  <c r="M6" i="22"/>
  <c r="B12" i="48"/>
  <c r="Q12" i="48"/>
  <c r="O9" i="14"/>
  <c r="B7" i="15"/>
  <c r="O5" i="16"/>
  <c r="C35" i="13"/>
  <c r="B11" i="15"/>
  <c r="B11" i="16"/>
  <c r="J9" i="14"/>
  <c r="J16" i="14"/>
  <c r="B49" i="18"/>
  <c r="B53" i="18"/>
  <c r="C17" i="18" s="1"/>
  <c r="C20" i="18" s="1"/>
  <c r="B16" i="16"/>
  <c r="K9" i="14"/>
  <c r="H77" i="14"/>
  <c r="J11" i="48"/>
  <c r="J29" i="48"/>
  <c r="M9" i="14"/>
  <c r="L11" i="48"/>
  <c r="O19" i="14"/>
  <c r="O22" i="14"/>
  <c r="N10" i="48"/>
  <c r="N28" i="48"/>
  <c r="J19" i="14"/>
  <c r="J22" i="14"/>
  <c r="I10" i="48"/>
  <c r="I28" i="48"/>
  <c r="J19" i="19"/>
  <c r="K39" i="14"/>
  <c r="N19" i="19"/>
  <c r="O39" i="14"/>
  <c r="C49" i="18"/>
  <c r="I52" i="18" s="1"/>
  <c r="H8" i="18" s="1"/>
  <c r="J9" i="18"/>
  <c r="J77" i="14" s="1"/>
  <c r="J9" i="59" s="1"/>
  <c r="C16" i="16"/>
  <c r="C18" i="16" s="1"/>
  <c r="C8" i="48" s="1"/>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L12" i="13"/>
  <c r="M41" i="14"/>
  <c r="E8" i="16"/>
  <c r="F18" i="14"/>
  <c r="E13" i="48"/>
  <c r="E31" i="48"/>
  <c r="K20" i="15"/>
  <c r="L40" i="14"/>
  <c r="L9" i="14"/>
  <c r="K11" i="48"/>
  <c r="K29" i="48"/>
  <c r="D11" i="48"/>
  <c r="D29" i="48"/>
  <c r="F19" i="19"/>
  <c r="G39" i="14"/>
  <c r="L19" i="19"/>
  <c r="M39" i="14"/>
  <c r="M12" i="13"/>
  <c r="N41" i="14"/>
  <c r="C78"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s="1"/>
  <c r="O20" i="15" s="1"/>
  <c r="P40" i="14" s="1"/>
  <c r="M20" i="15"/>
  <c r="N40" i="14"/>
  <c r="N10" i="14"/>
  <c r="N16" i="14"/>
  <c r="G20" i="15"/>
  <c r="H40" i="14"/>
  <c r="H46" i="14"/>
  <c r="H20" i="15"/>
  <c r="I40" i="14"/>
  <c r="I46" i="14"/>
  <c r="I10" i="14"/>
  <c r="I16" i="14"/>
  <c r="B74" i="14"/>
  <c r="B6" i="59" s="1"/>
  <c r="F8" i="16"/>
  <c r="B7" i="48"/>
  <c r="C24" i="14"/>
  <c r="C26" i="14" s="1"/>
  <c r="B73" i="14"/>
  <c r="B5" i="59"/>
  <c r="F6" i="15"/>
  <c r="F8" i="15"/>
  <c r="N10" i="16"/>
  <c r="D5" i="15"/>
  <c r="D16" i="15" s="1"/>
  <c r="D20" i="15" s="1"/>
  <c r="B8" i="15"/>
  <c r="J8" i="15"/>
  <c r="F12" i="15"/>
  <c r="I20" i="15"/>
  <c r="J40" i="14"/>
  <c r="B9" i="16"/>
  <c r="E8" i="15"/>
  <c r="B10" i="15"/>
  <c r="B6" i="15"/>
  <c r="J10" i="15"/>
  <c r="D5" i="16"/>
  <c r="F10" i="16"/>
  <c r="J11" i="16"/>
  <c r="B15" i="16"/>
  <c r="J6" i="15"/>
  <c r="F10" i="15"/>
  <c r="B12" i="15"/>
  <c r="J12" i="15"/>
  <c r="B7" i="16"/>
  <c r="B5" i="16" s="1"/>
  <c r="E10" i="16"/>
  <c r="N11" i="16"/>
  <c r="N6" i="15"/>
  <c r="N10" i="15"/>
  <c r="B8" i="16"/>
  <c r="J8" i="16"/>
  <c r="B10" i="16"/>
  <c r="E11" i="16"/>
  <c r="B14" i="16"/>
  <c r="E15" i="16"/>
  <c r="E7" i="16"/>
  <c r="J7" i="16"/>
  <c r="F7" i="16"/>
  <c r="N7" i="16"/>
  <c r="N15" i="16"/>
  <c r="C34" i="16"/>
  <c r="Q13" i="14"/>
  <c r="B9" i="15"/>
  <c r="E11" i="48"/>
  <c r="E29" i="48"/>
  <c r="F9" i="14"/>
  <c r="D9" i="14"/>
  <c r="E19" i="19"/>
  <c r="F39" i="14"/>
  <c r="C11" i="48"/>
  <c r="D19" i="19"/>
  <c r="E39" i="14"/>
  <c r="C9" i="14"/>
  <c r="B11" i="48"/>
  <c r="E5" i="22"/>
  <c r="E14" i="22" s="1"/>
  <c r="D5" i="22"/>
  <c r="D14" i="22"/>
  <c r="D9" i="48" s="1"/>
  <c r="D27" i="48" s="1"/>
  <c r="B5" i="22"/>
  <c r="B14" i="22" s="1"/>
  <c r="C20" i="14" s="1"/>
  <c r="P11" i="48"/>
  <c r="P29" i="48"/>
  <c r="H5" i="48"/>
  <c r="O11" i="48"/>
  <c r="P9" i="14"/>
  <c r="M5" i="48"/>
  <c r="G29" i="48"/>
  <c r="C11" i="14"/>
  <c r="B4" i="48"/>
  <c r="E30" i="48"/>
  <c r="I31" i="48"/>
  <c r="I27" i="48"/>
  <c r="I30" i="48"/>
  <c r="K27" i="48"/>
  <c r="O30" i="48"/>
  <c r="K22" i="48"/>
  <c r="G22" i="48"/>
  <c r="M17" i="48"/>
  <c r="K30" i="48"/>
  <c r="F5" i="13"/>
  <c r="F8" i="13" s="1"/>
  <c r="G11" i="14"/>
  <c r="I22" i="48"/>
  <c r="G30" i="48"/>
  <c r="O22" i="48"/>
  <c r="H25" i="48"/>
  <c r="L17" i="48"/>
  <c r="L32" i="48"/>
  <c r="H22" i="48"/>
  <c r="K25" i="48"/>
  <c r="K26" i="48"/>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s="1"/>
  <c r="B10" i="48"/>
  <c r="P25" i="48"/>
  <c r="E5" i="17"/>
  <c r="C8" i="17"/>
  <c r="C7" i="48" s="1"/>
  <c r="G25" i="48"/>
  <c r="I25" i="48"/>
  <c r="G90" i="14"/>
  <c r="D88" i="14"/>
  <c r="H88" i="14"/>
  <c r="F88" i="14"/>
  <c r="F18" i="59" s="1"/>
  <c r="E77" i="14"/>
  <c r="E78" i="14" s="1"/>
  <c r="D20" i="18"/>
  <c r="L20" i="18"/>
  <c r="G77" i="14"/>
  <c r="G9" i="59" s="1"/>
  <c r="F20" i="18"/>
  <c r="D11" i="14"/>
  <c r="C4" i="48"/>
  <c r="O18" i="18"/>
  <c r="N46" i="14"/>
  <c r="G51" i="22"/>
  <c r="G50" i="22" s="1"/>
  <c r="G54" i="22" s="1"/>
  <c r="H19" i="14" s="1"/>
  <c r="M51" i="22"/>
  <c r="M50" i="22" s="1"/>
  <c r="M54" i="22" s="1"/>
  <c r="N19" i="14" s="1"/>
  <c r="I5" i="48"/>
  <c r="J7" i="48"/>
  <c r="J25" i="48" s="1"/>
  <c r="K33" i="48"/>
  <c r="J27" i="14"/>
  <c r="M24" i="48"/>
  <c r="M32" i="48"/>
  <c r="K15" i="48"/>
  <c r="Q89" i="14"/>
  <c r="P19" i="59" s="1"/>
  <c r="H78" i="14"/>
  <c r="H9" i="59"/>
  <c r="H10" i="59"/>
  <c r="N78" i="14"/>
  <c r="N9" i="59"/>
  <c r="G78" i="14"/>
  <c r="H90" i="14"/>
  <c r="H18" i="59"/>
  <c r="E9" i="59"/>
  <c r="E10" i="59"/>
  <c r="O78" i="14"/>
  <c r="O9" i="59"/>
  <c r="O10" i="59"/>
  <c r="L8" i="48"/>
  <c r="L26" i="48" s="1"/>
  <c r="L22" i="16"/>
  <c r="M43" i="14" s="1"/>
  <c r="D10" i="14"/>
  <c r="B77" i="14"/>
  <c r="B9" i="59" s="1"/>
  <c r="J46" i="14"/>
  <c r="J61" i="14"/>
  <c r="C77" i="14"/>
  <c r="C9" i="59" s="1"/>
  <c r="L46" i="14"/>
  <c r="L61" i="14"/>
  <c r="L16" i="14"/>
  <c r="L27" i="14"/>
  <c r="P8" i="48"/>
  <c r="P26" i="48"/>
  <c r="D18" i="16"/>
  <c r="D22" i="16" s="1"/>
  <c r="E43" i="14" s="1"/>
  <c r="G31" i="20"/>
  <c r="H48" i="14"/>
  <c r="G12" i="22"/>
  <c r="K24" i="14"/>
  <c r="K26" i="14"/>
  <c r="E8" i="17"/>
  <c r="F24" i="14" s="1"/>
  <c r="F26" i="14"/>
  <c r="O18" i="16"/>
  <c r="N5" i="13"/>
  <c r="N8" i="13" s="1"/>
  <c r="H13" i="48"/>
  <c r="H31" i="48"/>
  <c r="H12" i="22"/>
  <c r="E5" i="13"/>
  <c r="E8" i="13"/>
  <c r="E12" i="13" s="1"/>
  <c r="F41" i="14" s="1"/>
  <c r="N12" i="17"/>
  <c r="O54" i="14" s="1"/>
  <c r="O56" i="14" s="1"/>
  <c r="L8" i="17"/>
  <c r="L12" i="17"/>
  <c r="M54" i="14"/>
  <c r="M56" i="14" s="1"/>
  <c r="B9" i="48"/>
  <c r="F7" i="48"/>
  <c r="F25" i="48" s="1"/>
  <c r="O9" i="18"/>
  <c r="M29" i="48"/>
  <c r="C53" i="18"/>
  <c r="C52" i="18"/>
  <c r="E53" i="18"/>
  <c r="E17" i="18" s="1"/>
  <c r="G53" i="18"/>
  <c r="D7" i="48"/>
  <c r="D25" i="48"/>
  <c r="H52" i="18"/>
  <c r="D53" i="18"/>
  <c r="L28" i="48"/>
  <c r="H53" i="18"/>
  <c r="I53" i="18"/>
  <c r="H17" i="18"/>
  <c r="H20" i="18" s="1"/>
  <c r="F53" i="18"/>
  <c r="F52" i="18"/>
  <c r="B52" i="18"/>
  <c r="L31" i="48"/>
  <c r="L24" i="48"/>
  <c r="L22" i="48"/>
  <c r="M23" i="48"/>
  <c r="M22" i="48"/>
  <c r="I18" i="14"/>
  <c r="Q88" i="14"/>
  <c r="P18" i="59"/>
  <c r="D13" i="14"/>
  <c r="F20" i="14"/>
  <c r="F22" i="14" s="1"/>
  <c r="L30" i="48"/>
  <c r="B20" i="18"/>
  <c r="D24" i="14"/>
  <c r="L29" i="48"/>
  <c r="M31" i="20"/>
  <c r="N48" i="14"/>
  <c r="N18" i="14"/>
  <c r="M13" i="48"/>
  <c r="M31" i="48"/>
  <c r="H31" i="20"/>
  <c r="I48" i="14"/>
  <c r="G13" i="48"/>
  <c r="G31" i="48"/>
  <c r="H18" i="14"/>
  <c r="M5" i="22"/>
  <c r="M14" i="22" s="1"/>
  <c r="G5" i="22"/>
  <c r="H5" i="22"/>
  <c r="P10" i="14"/>
  <c r="P20" i="15"/>
  <c r="Q40" i="14" s="1"/>
  <c r="Q10" i="14"/>
  <c r="F4" i="48"/>
  <c r="F22" i="48" s="1"/>
  <c r="B5" i="15"/>
  <c r="B16" i="15" s="1"/>
  <c r="B5" i="48" s="1"/>
  <c r="B15" i="48" s="1"/>
  <c r="B18" i="16"/>
  <c r="C13" i="14"/>
  <c r="F12" i="13"/>
  <c r="G41" i="14"/>
  <c r="F13" i="16"/>
  <c r="E13" i="16"/>
  <c r="N13" i="16"/>
  <c r="J13" i="16"/>
  <c r="N12" i="16"/>
  <c r="J12" i="16"/>
  <c r="F12" i="16"/>
  <c r="E12" i="16"/>
  <c r="Q11" i="48"/>
  <c r="O5" i="48"/>
  <c r="R9" i="14"/>
  <c r="O29" i="48"/>
  <c r="H23" i="48"/>
  <c r="L27" i="48"/>
  <c r="M30" i="48"/>
  <c r="M26" i="48"/>
  <c r="M25" i="48"/>
  <c r="J5" i="13"/>
  <c r="J8" i="13" s="1"/>
  <c r="H14" i="22"/>
  <c r="G14" i="22"/>
  <c r="G9" i="48" s="1"/>
  <c r="I23" i="48"/>
  <c r="I33" i="48"/>
  <c r="I15" i="48"/>
  <c r="E13" i="14"/>
  <c r="P13" i="14"/>
  <c r="P16" i="14"/>
  <c r="P27" i="14" s="1"/>
  <c r="E12" i="17"/>
  <c r="F54" i="14"/>
  <c r="F56" i="14" s="1"/>
  <c r="E7" i="48"/>
  <c r="E25" i="48" s="1"/>
  <c r="C15" i="48"/>
  <c r="C8" i="18"/>
  <c r="D76" i="14"/>
  <c r="D8" i="59" s="1"/>
  <c r="D10" i="59" s="1"/>
  <c r="D87" i="14"/>
  <c r="D16" i="14"/>
  <c r="N7" i="48"/>
  <c r="N25" i="48" s="1"/>
  <c r="D8" i="48"/>
  <c r="D26" i="48"/>
  <c r="O24" i="14"/>
  <c r="O26" i="14" s="1"/>
  <c r="L7" i="48"/>
  <c r="L25" i="48" s="1"/>
  <c r="M24" i="14"/>
  <c r="M26" i="14" s="1"/>
  <c r="D18" i="22"/>
  <c r="E50" i="14" s="1"/>
  <c r="E52" i="14" s="1"/>
  <c r="C22" i="14"/>
  <c r="J17" i="18"/>
  <c r="I17" i="18"/>
  <c r="I87" i="14"/>
  <c r="I17" i="59" s="1"/>
  <c r="I20" i="59" s="1"/>
  <c r="M87" i="14"/>
  <c r="M17" i="59"/>
  <c r="E20" i="14"/>
  <c r="E18" i="22"/>
  <c r="F50" i="14" s="1"/>
  <c r="F52" i="14" s="1"/>
  <c r="E9" i="48"/>
  <c r="E10" i="14"/>
  <c r="E16" i="14" s="1"/>
  <c r="D5" i="48"/>
  <c r="D15" i="48" s="1"/>
  <c r="G58" i="22"/>
  <c r="H49" i="14" s="1"/>
  <c r="G10" i="48"/>
  <c r="R18" i="14"/>
  <c r="Q13" i="48"/>
  <c r="I20" i="14"/>
  <c r="I22" i="14" s="1"/>
  <c r="I27" i="14" s="1"/>
  <c r="M18" i="22"/>
  <c r="N50" i="14"/>
  <c r="M9" i="48"/>
  <c r="N20" i="14"/>
  <c r="B8" i="48"/>
  <c r="J63" i="14"/>
  <c r="L63" i="14"/>
  <c r="L5" i="48"/>
  <c r="M10" i="14"/>
  <c r="M16" i="14" s="1"/>
  <c r="M27" i="14" s="1"/>
  <c r="M63" i="14" s="1"/>
  <c r="C10" i="14"/>
  <c r="O23" i="48"/>
  <c r="E4" i="48"/>
  <c r="E22" i="48" s="1"/>
  <c r="F11" i="14"/>
  <c r="J4" i="48"/>
  <c r="J12" i="13"/>
  <c r="K41" i="14" s="1"/>
  <c r="K11" i="14"/>
  <c r="L20" i="15"/>
  <c r="M40" i="14" s="1"/>
  <c r="C10" i="18"/>
  <c r="D90" i="14"/>
  <c r="D17" i="59"/>
  <c r="E27" i="48"/>
  <c r="D78" i="14"/>
  <c r="L23" i="48"/>
  <c r="L33" i="48" s="1"/>
  <c r="L15" i="48"/>
  <c r="E40" i="14"/>
  <c r="E46" i="14"/>
  <c r="N22" i="14"/>
  <c r="N27" i="14" s="1"/>
  <c r="Q7" i="48"/>
  <c r="G18" i="22"/>
  <c r="H50" i="14" s="1"/>
  <c r="H52" i="14"/>
  <c r="H61" i="14" s="1"/>
  <c r="I20" i="18"/>
  <c r="J20" i="18"/>
  <c r="J87" i="14"/>
  <c r="M90" i="14"/>
  <c r="H20" i="14"/>
  <c r="H18" i="22"/>
  <c r="I50" i="14"/>
  <c r="I52" i="14" s="1"/>
  <c r="G28" i="48"/>
  <c r="H9" i="48"/>
  <c r="M27" i="48"/>
  <c r="J22" i="48"/>
  <c r="H15" i="48"/>
  <c r="I61" i="14"/>
  <c r="I63" i="14" s="1"/>
  <c r="M46" i="14"/>
  <c r="M61" i="14" s="1"/>
  <c r="H27" i="48"/>
  <c r="H33" i="48"/>
  <c r="R20" i="14" l="1"/>
  <c r="G15" i="48"/>
  <c r="G27" i="48"/>
  <c r="G33" i="48" s="1"/>
  <c r="Q9" i="48"/>
  <c r="F87" i="14"/>
  <c r="E20" i="18"/>
  <c r="O17" i="18"/>
  <c r="O20" i="18" s="1"/>
  <c r="N4" i="48"/>
  <c r="O11" i="14"/>
  <c r="N12" i="13"/>
  <c r="O41" i="14" s="1"/>
  <c r="M20" i="59"/>
  <c r="H22" i="14"/>
  <c r="H27" i="14" s="1"/>
  <c r="H63" i="14" s="1"/>
  <c r="J17" i="59"/>
  <c r="J20" i="59" s="1"/>
  <c r="J90" i="14"/>
  <c r="C16" i="14"/>
  <c r="C27" i="14" s="1"/>
  <c r="B3" i="6" s="1"/>
  <c r="I90" i="14"/>
  <c r="D18" i="59"/>
  <c r="D20" i="59" s="1"/>
  <c r="C88" i="14"/>
  <c r="C18" i="59" s="1"/>
  <c r="N5" i="15"/>
  <c r="N16" i="15" s="1"/>
  <c r="E90" i="14"/>
  <c r="E19" i="59"/>
  <c r="E20" i="59" s="1"/>
  <c r="C89" i="14"/>
  <c r="C19" i="59" s="1"/>
  <c r="L18" i="59"/>
  <c r="L90" i="14"/>
  <c r="Q4" i="48"/>
  <c r="D23" i="48"/>
  <c r="D33" i="48" s="1"/>
  <c r="E22" i="14"/>
  <c r="M58" i="22"/>
  <c r="N49" i="14" s="1"/>
  <c r="N52" i="14" s="1"/>
  <c r="N61" i="14" s="1"/>
  <c r="N63" i="14" s="1"/>
  <c r="D26" i="14"/>
  <c r="D27" i="14" s="1"/>
  <c r="B20" i="6" s="1"/>
  <c r="O22" i="16"/>
  <c r="P43" i="14" s="1"/>
  <c r="P46" i="14" s="1"/>
  <c r="P61" i="14" s="1"/>
  <c r="P63" i="14" s="1"/>
  <c r="O8" i="48"/>
  <c r="B88" i="14"/>
  <c r="B18" i="59" s="1"/>
  <c r="M10" i="48"/>
  <c r="D12" i="17"/>
  <c r="E54" i="14" s="1"/>
  <c r="E56" i="14" s="1"/>
  <c r="E61" i="14" s="1"/>
  <c r="E24" i="14"/>
  <c r="E26" i="14" s="1"/>
  <c r="N10" i="59"/>
  <c r="R19" i="14"/>
  <c r="R22" i="14" s="1"/>
  <c r="B89" i="14"/>
  <c r="B19" i="59" s="1"/>
  <c r="M19" i="59"/>
  <c r="B10" i="18"/>
  <c r="G10" i="59"/>
  <c r="O20" i="59"/>
  <c r="N9" i="15"/>
  <c r="F9" i="15"/>
  <c r="F5" i="15" s="1"/>
  <c r="F16" i="15" s="1"/>
  <c r="E9" i="15"/>
  <c r="E5" i="15" s="1"/>
  <c r="E16" i="15" s="1"/>
  <c r="J9" i="15"/>
  <c r="J5" i="15" s="1"/>
  <c r="J16" i="15" s="1"/>
  <c r="N9" i="16"/>
  <c r="F9" i="16"/>
  <c r="J9" i="16"/>
  <c r="J5" i="16" s="1"/>
  <c r="J18" i="16" s="1"/>
  <c r="E9" i="16"/>
  <c r="N18" i="59"/>
  <c r="N20" i="59" s="1"/>
  <c r="N90" i="14"/>
  <c r="O19" i="59"/>
  <c r="O90" i="14"/>
  <c r="L20" i="59"/>
  <c r="M76" i="14"/>
  <c r="H10" i="18"/>
  <c r="H20" i="59"/>
  <c r="P4" i="48"/>
  <c r="Q11" i="14"/>
  <c r="Q16" i="14" s="1"/>
  <c r="Q27" i="14" s="1"/>
  <c r="P12" i="13"/>
  <c r="Q41" i="14" s="1"/>
  <c r="Q46" i="14" s="1"/>
  <c r="Q61" i="14" s="1"/>
  <c r="E14" i="16"/>
  <c r="N14" i="16"/>
  <c r="J14" i="16"/>
  <c r="F14" i="16"/>
  <c r="F9" i="59"/>
  <c r="Q77" i="14"/>
  <c r="P9" i="59" s="1"/>
  <c r="G24" i="14"/>
  <c r="G26" i="14" s="1"/>
  <c r="F12" i="17"/>
  <c r="G54" i="14" s="1"/>
  <c r="G56" i="14" s="1"/>
  <c r="K18" i="59"/>
  <c r="K20" i="59" s="1"/>
  <c r="K90" i="14"/>
  <c r="G52" i="18"/>
  <c r="I8" i="18" s="1"/>
  <c r="D52" i="18"/>
  <c r="J8" i="18" s="1"/>
  <c r="B33" i="13"/>
  <c r="E52" i="18"/>
  <c r="E8" i="18" s="1"/>
  <c r="K78" i="14"/>
  <c r="Q63" i="14" l="1"/>
  <c r="E5" i="16"/>
  <c r="E18" i="16" s="1"/>
  <c r="J20" i="15"/>
  <c r="K40" i="14" s="1"/>
  <c r="K46" i="14" s="1"/>
  <c r="K61" i="14" s="1"/>
  <c r="K10" i="14"/>
  <c r="J5" i="48"/>
  <c r="M28" i="48"/>
  <c r="M33" i="48" s="1"/>
  <c r="M15" i="48"/>
  <c r="Q10" i="48"/>
  <c r="N5" i="48"/>
  <c r="N23" i="48" s="1"/>
  <c r="N20" i="15"/>
  <c r="O40" i="14" s="1"/>
  <c r="O10" i="14"/>
  <c r="N22" i="48"/>
  <c r="J76" i="14"/>
  <c r="J10" i="18"/>
  <c r="K13" i="14"/>
  <c r="J22" i="16"/>
  <c r="K43" i="14" s="1"/>
  <c r="J8" i="48"/>
  <c r="J26" i="48" s="1"/>
  <c r="F10" i="14"/>
  <c r="E20" i="15"/>
  <c r="F40" i="14" s="1"/>
  <c r="E5" i="48"/>
  <c r="I10" i="18"/>
  <c r="I76" i="14"/>
  <c r="M8" i="59"/>
  <c r="M10" i="59" s="1"/>
  <c r="M78" i="14"/>
  <c r="F5" i="16"/>
  <c r="F18" i="16" s="1"/>
  <c r="G10" i="14"/>
  <c r="F5" i="48"/>
  <c r="F20" i="15"/>
  <c r="G40" i="14" s="1"/>
  <c r="O26" i="48"/>
  <c r="O33" i="48" s="1"/>
  <c r="O15" i="48"/>
  <c r="E27" i="14"/>
  <c r="R24" i="14"/>
  <c r="R26" i="14" s="1"/>
  <c r="E10" i="18"/>
  <c r="F76" i="14"/>
  <c r="O8" i="18"/>
  <c r="O10" i="18" s="1"/>
  <c r="P15" i="48"/>
  <c r="P22" i="48"/>
  <c r="P33" i="48" s="1"/>
  <c r="N5" i="16"/>
  <c r="N18" i="16" s="1"/>
  <c r="E63" i="14"/>
  <c r="R11" i="14"/>
  <c r="F90" i="14"/>
  <c r="F17" i="59"/>
  <c r="F20" i="59" s="1"/>
  <c r="C87" i="14"/>
  <c r="Q87" i="14"/>
  <c r="B87" i="14"/>
  <c r="C17" i="59" l="1"/>
  <c r="C20" i="59" s="1"/>
  <c r="C90" i="14"/>
  <c r="F23" i="48"/>
  <c r="F13" i="14"/>
  <c r="E22" i="16"/>
  <c r="F43" i="14" s="1"/>
  <c r="F46" i="14" s="1"/>
  <c r="F61" i="14" s="1"/>
  <c r="F63" i="14" s="1"/>
  <c r="E8" i="48"/>
  <c r="P17" i="59"/>
  <c r="P20" i="59" s="1"/>
  <c r="Q90" i="14"/>
  <c r="B17" i="6" s="1"/>
  <c r="B22" i="6" s="1"/>
  <c r="G46" i="14"/>
  <c r="G61" i="14" s="1"/>
  <c r="E23" i="48"/>
  <c r="E15" i="48"/>
  <c r="Q5" i="48"/>
  <c r="N15" i="48"/>
  <c r="N8" i="48"/>
  <c r="N26" i="48" s="1"/>
  <c r="N33" i="48" s="1"/>
  <c r="O13" i="14"/>
  <c r="N22" i="16"/>
  <c r="O43" i="14" s="1"/>
  <c r="O46" i="14" s="1"/>
  <c r="O61" i="14" s="1"/>
  <c r="O63" i="14" s="1"/>
  <c r="F8" i="59"/>
  <c r="F10" i="59" s="1"/>
  <c r="C76" i="14"/>
  <c r="F78" i="14"/>
  <c r="Q76" i="14"/>
  <c r="G16" i="14"/>
  <c r="G27" i="14" s="1"/>
  <c r="I78" i="14"/>
  <c r="I8" i="59"/>
  <c r="I10" i="59" s="1"/>
  <c r="B76" i="14"/>
  <c r="F16" i="14"/>
  <c r="F27" i="14" s="1"/>
  <c r="R10" i="14"/>
  <c r="O16" i="14"/>
  <c r="O27" i="14" s="1"/>
  <c r="J15" i="48"/>
  <c r="J23" i="48"/>
  <c r="J33" i="48" s="1"/>
  <c r="B90" i="14"/>
  <c r="B17" i="59"/>
  <c r="B20" i="59" s="1"/>
  <c r="F8" i="48"/>
  <c r="F26" i="48" s="1"/>
  <c r="G13" i="14"/>
  <c r="F22" i="16"/>
  <c r="G43" i="14" s="1"/>
  <c r="J78" i="14"/>
  <c r="J8" i="59"/>
  <c r="J10" i="59" s="1"/>
  <c r="K16" i="14"/>
  <c r="K27" i="14" s="1"/>
  <c r="K63" i="14" s="1"/>
  <c r="G63" i="14" l="1"/>
  <c r="P8" i="59"/>
  <c r="P10" i="59" s="1"/>
  <c r="Q78" i="14"/>
  <c r="B9" i="6" s="1"/>
  <c r="C17" i="19"/>
  <c r="C19" i="19" s="1"/>
  <c r="D39" i="14" s="1"/>
  <c r="C56" i="22"/>
  <c r="C58" i="22" s="1"/>
  <c r="D49" i="14" s="1"/>
  <c r="D52" i="14" s="1"/>
  <c r="C20" i="16"/>
  <c r="C22" i="16" s="1"/>
  <c r="D43" i="14" s="1"/>
  <c r="C18" i="15"/>
  <c r="C20" i="15" s="1"/>
  <c r="D40" i="14" s="1"/>
  <c r="C22" i="59"/>
  <c r="C16" i="22"/>
  <c r="C10" i="17"/>
  <c r="C12" i="17" s="1"/>
  <c r="D54" i="14" s="1"/>
  <c r="D56" i="14" s="1"/>
  <c r="C10" i="13"/>
  <c r="C29" i="20"/>
  <c r="C17" i="49"/>
  <c r="R13" i="14"/>
  <c r="F33" i="48"/>
  <c r="F15" i="48"/>
  <c r="B8" i="59"/>
  <c r="B10" i="59" s="1"/>
  <c r="B78" i="14"/>
  <c r="B4" i="6" s="1"/>
  <c r="B12" i="6" s="1"/>
  <c r="R16" i="14"/>
  <c r="R27" i="14" s="1"/>
  <c r="C8" i="59"/>
  <c r="C10" i="59" s="1"/>
  <c r="C78" i="14"/>
  <c r="E33" i="48"/>
  <c r="Q8" i="48"/>
  <c r="Q15" i="48" s="1"/>
  <c r="E26" i="48"/>
  <c r="C17" i="48" l="1"/>
  <c r="C12" i="13"/>
  <c r="D41" i="14" s="1"/>
  <c r="B10" i="17"/>
  <c r="B12" i="17" s="1"/>
  <c r="C54" i="14" s="1"/>
  <c r="B17" i="19"/>
  <c r="B19" i="19" s="1"/>
  <c r="C39" i="14" s="1"/>
  <c r="B17" i="49"/>
  <c r="B19" i="49" s="1"/>
  <c r="C42" i="14" s="1"/>
  <c r="R42" i="14" s="1"/>
  <c r="B16" i="22"/>
  <c r="B18" i="22" s="1"/>
  <c r="C50" i="14" s="1"/>
  <c r="R50" i="14" s="1"/>
  <c r="B18" i="15"/>
  <c r="B20" i="15" s="1"/>
  <c r="B29" i="20"/>
  <c r="B31" i="20" s="1"/>
  <c r="C48" i="14" s="1"/>
  <c r="C55" i="14"/>
  <c r="R55" i="14" s="1"/>
  <c r="B10" i="13"/>
  <c r="B10" i="9"/>
  <c r="B12" i="9" s="1"/>
  <c r="B20" i="16"/>
  <c r="B22" i="16" s="1"/>
  <c r="C43" i="14" s="1"/>
  <c r="R43" i="14" s="1"/>
  <c r="B56" i="22"/>
  <c r="B58" i="22" s="1"/>
  <c r="C49" i="14" s="1"/>
  <c r="R49" i="14" s="1"/>
  <c r="C12" i="59"/>
  <c r="D46" i="14"/>
  <c r="D61" i="14" s="1"/>
  <c r="D63" i="14" s="1"/>
  <c r="R39" i="14" l="1"/>
  <c r="R46" i="14" s="1"/>
  <c r="C40" i="14"/>
  <c r="R40" i="14" s="1"/>
  <c r="C56" i="14"/>
  <c r="R54" i="14"/>
  <c r="R56" i="14" s="1"/>
  <c r="R48" i="14"/>
  <c r="R52" i="14" s="1"/>
  <c r="C52" i="14"/>
  <c r="B17" i="48"/>
  <c r="B12" i="13"/>
  <c r="C41" i="14" s="1"/>
  <c r="R41" i="14" s="1"/>
  <c r="C27" i="48"/>
  <c r="C31" i="48"/>
  <c r="C29" i="48"/>
  <c r="C22" i="48"/>
  <c r="C24" i="48"/>
  <c r="C32" i="48"/>
  <c r="C23" i="48"/>
  <c r="C28" i="48"/>
  <c r="C25" i="48"/>
  <c r="C30" i="48"/>
  <c r="C26" i="48"/>
  <c r="B29" i="48" l="1"/>
  <c r="Q29" i="48" s="1"/>
  <c r="B22" i="48"/>
  <c r="B28" i="48"/>
  <c r="Q28" i="48" s="1"/>
  <c r="B27" i="48"/>
  <c r="Q27" i="48" s="1"/>
  <c r="B23" i="48"/>
  <c r="Q23" i="48" s="1"/>
  <c r="B32" i="48"/>
  <c r="Q32" i="48" s="1"/>
  <c r="B24" i="48"/>
  <c r="Q24" i="48" s="1"/>
  <c r="B26" i="48"/>
  <c r="Q26" i="48" s="1"/>
  <c r="B25" i="48"/>
  <c r="Q25" i="48" s="1"/>
  <c r="B31" i="48"/>
  <c r="Q31" i="48" s="1"/>
  <c r="B30" i="48"/>
  <c r="Q30" i="48" s="1"/>
  <c r="R61" i="14"/>
  <c r="C33" i="48"/>
  <c r="C46" i="14"/>
  <c r="C61" i="14" s="1"/>
  <c r="C63" i="14" s="1"/>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<sst xmlns="http://schemas.openxmlformats.org/spreadsheetml/2006/main" count="2390" uniqueCount="862">
  <si>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</si>
  <si>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</si>
  <si>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</si>
  <si>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</si>
  <si>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</si>
  <si>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</si>
  <si>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</si>
  <si>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</si>
  <si>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</si>
  <si>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</si>
  <si>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</si>
  <si>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</si>
  <si>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</si>
  <si>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</si>
  <si>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</si>
  <si>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</si>
  <si>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</si>
  <si>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</si>
  <si>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</si>
  <si>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</si>
  <si>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</si>
  <si>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</si>
  <si>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</si>
  <si>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</si>
  <si>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</si>
  <si>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</si>
  <si>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</si>
  <si>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</si>
  <si>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</si>
  <si>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</si>
  <si>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</si>
  <si>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</si>
  <si>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</si>
  <si>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</si>
  <si>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</si>
  <si>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</si>
  <si>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</si>
  <si>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</si>
  <si>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</si>
  <si>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</si>
  <si>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</si>
  <si>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</si>
  <si>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</si>
  <si>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</si>
  <si>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</si>
  <si>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</si>
  <si>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</si>
  <si>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</si>
  <si>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</si>
  <si>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</si>
  <si>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</si>
  <si>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</si>
  <si>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</si>
  <si>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</si>
  <si>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</si>
  <si>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</si>
  <si>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</si>
  <si>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</si>
  <si>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</si>
  <si>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</si>
  <si>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</si>
  <si>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</si>
  <si>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</si>
  <si>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</si>
  <si>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</si>
  <si>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</si>
  <si>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</si>
  <si>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</si>
  <si>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</si>
  <si>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</si>
  <si>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</si>
  <si>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</si>
  <si>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</si>
  <si>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</si>
  <si>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</si>
  <si>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</si>
  <si>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</si>
  <si>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</si>
  <si>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</si>
  <si>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</si>
  <si>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</si>
  <si>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</si>
  <si>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</si>
  <si>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</si>
  <si>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</si>
  <si>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</si>
  <si>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</si>
  <si>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</si>
  <si>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</si>
  <si>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</si>
  <si>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</si>
  <si>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</si>
  <si>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</si>
  <si>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</si>
  <si>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</si>
  <si>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</si>
  <si>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</si>
  <si>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</si>
  <si>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</si>
  <si>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</si>
  <si>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</si>
  <si>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</si>
  <si>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</si>
  <si>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</si>
  <si>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</si>
  <si>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</si>
  <si>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</si>
  <si>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</si>
  <si>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</si>
  <si>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</si>
  <si>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</si>
  <si>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</si>
  <si>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</si>
  <si>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</si>
  <si>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</si>
  <si>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</si>
  <si>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</si>
  <si>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</si>
  <si>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</si>
  <si>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</si>
  <si>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</si>
  <si>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</si>
  <si>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</si>
  <si>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</si>
  <si>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</si>
  <si>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</si>
  <si>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</si>
  <si>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</si>
  <si>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</si>
  <si>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</si>
  <si>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</si>
  <si>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</si>
  <si>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</si>
  <si>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</si>
  <si>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</si>
  <si>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</si>
  <si>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</si>
  <si>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</si>
  <si>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</si>
  <si>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</si>
  <si>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</si>
  <si>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</si>
  <si>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</si>
  <si>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</si>
  <si>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</si>
  <si>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</si>
  <si>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</si>
  <si>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</si>
  <si>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</si>
  <si>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</si>
  <si>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</si>
  <si>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</si>
  <si>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</si>
  <si>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</si>
  <si>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</si>
  <si>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</si>
  <si>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</si>
  <si>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</si>
  <si>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</si>
  <si>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</si>
  <si>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</si>
  <si>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</si>
  <si>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</si>
  <si>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</si>
  <si>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</si>
  <si>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</si>
  <si>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</si>
  <si>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</si>
  <si>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</si>
  <si>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</si>
  <si>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</si>
  <si>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</si>
  <si>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</si>
  <si>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</si>
  <si>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</si>
  <si>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</si>
  <si>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</si>
  <si>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</si>
  <si>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</si>
  <si>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</si>
  <si>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</si>
  <si>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</si>
  <si>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</si>
  <si>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</si>
  <si>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</si>
  <si>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</si>
  <si>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</si>
  <si>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</si>
  <si>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</si>
  <si>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</si>
  <si>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</si>
  <si>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</si>
  <si>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</si>
  <si>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</si>
  <si>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</si>
  <si>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</si>
  <si>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</si>
  <si>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</si>
  <si>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</si>
  <si>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</si>
  <si>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</si>
  <si>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</si>
  <si>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</si>
  <si>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</si>
  <si>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</si>
  <si>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</si>
  <si>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</si>
  <si>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</si>
  <si>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</si>
  <si>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</si>
  <si>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</si>
  <si>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</si>
  <si>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</si>
  <si>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</si>
  <si>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</si>
  <si>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</si>
  <si>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</si>
  <si>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</si>
  <si>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</si>
  <si>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</si>
  <si>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</si>
  <si>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</si>
  <si>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</si>
  <si>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</si>
  <si>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</si>
  <si>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</si>
  <si>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</si>
  <si>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</si>
  <si>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</si>
  <si>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</si>
  <si>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</si>
  <si>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</si>
  <si>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</si>
  <si>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</si>
  <si>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</si>
  <si>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</si>
  <si>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</si>
  <si>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</si>
  <si>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</si>
  <si>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</si>
  <si>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</si>
  <si>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</si>
  <si>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</si>
  <si>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</si>
  <si>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</si>
  <si>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</si>
  <si>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</si>
  <si>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</si>
  <si>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</si>
  <si>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</si>
  <si>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</si>
  <si>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</si>
  <si>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</si>
  <si>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</si>
  <si>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</si>
  <si>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</si>
  <si>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</si>
  <si>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</si>
  <si>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</si>
  <si>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</si>
  <si>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</si>
  <si>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</si>
  <si>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</si>
  <si>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</si>
  <si>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</si>
  <si>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</si>
  <si>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</si>
  <si>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</si>
  <si>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</si>
  <si>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</si>
  <si>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</si>
  <si>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</si>
  <si>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</si>
  <si>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</si>
  <si>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</si>
  <si>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</si>
  <si>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</si>
  <si>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</si>
  <si>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</si>
  <si>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</si>
  <si>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</si>
  <si>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</si>
  <si>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</si>
  <si>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</si>
  <si>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</si>
  <si>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</si>
  <si>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</si>
  <si>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</si>
  <si>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</si>
  <si>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</si>
  <si>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</si>
  <si>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</si>
  <si>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</si>
  <si>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</si>
  <si>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</si>
  <si>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</si>
  <si>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</si>
  <si>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</si>
  <si>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</si>
  <si>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</si>
  <si>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</si>
  <si>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</si>
  <si>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</si>
  <si>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</si>
  <si>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</si>
  <si>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</si>
  <si>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</si>
  <si>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</si>
  <si>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</si>
  <si>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</si>
  <si>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</si>
  <si>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</si>
  <si>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</si>
  <si>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</si>
  <si>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</si>
  <si>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</si>
  <si>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</si>
  <si>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</si>
  <si>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</si>
  <si>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</si>
  <si>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</si>
  <si>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</si>
  <si>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</si>
  <si>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</si>
  <si>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</si>
  <si>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</si>
  <si>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</si>
  <si>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</si>
  <si>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</si>
  <si>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</si>
  <si>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</si>
  <si>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</si>
  <si>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</si>
  <si>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</si>
  <si>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</si>
  <si>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</si>
  <si>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</si>
  <si>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</si>
  <si>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</si>
  <si>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</si>
  <si>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</si>
  <si>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</si>
  <si>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</si>
  <si>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</si>
  <si>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</si>
  <si>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</si>
  <si>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</si>
  <si>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</si>
  <si>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</si>
  <si>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</si>
  <si>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</si>
  <si>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</si>
  <si>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</si>
  <si>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</si>
  <si>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</si>
  <si>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</si>
  <si>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</si>
  <si>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</si>
  <si>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</si>
  <si>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</si>
  <si>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</si>
  <si>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</si>
  <si>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</si>
  <si>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</si>
  <si>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</si>
  <si>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</si>
  <si>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</si>
  <si>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</si>
  <si>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</si>
  <si>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</si>
  <si>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</si>
  <si>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</si>
  <si>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</si>
  <si>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</si>
  <si>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</si>
  <si>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</si>
  <si>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</si>
  <si>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</si>
  <si>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</si>
  <si>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</si>
  <si>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</si>
  <si>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</si>
  <si>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</si>
  <si>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</si>
  <si>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</si>
  <si>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</si>
  <si>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</si>
  <si>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</si>
  <si>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</si>
  <si>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</si>
  <si>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</si>
  <si>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</si>
  <si>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</si>
  <si>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</si>
  <si>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</si>
  <si>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</si>
  <si>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</si>
  <si>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</si>
  <si>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</si>
  <si>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</si>
  <si>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</si>
  <si>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</si>
  <si>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</si>
  <si>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</si>
  <si>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</si>
  <si>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</si>
  <si>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</si>
  <si>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</si>
  <si>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</si>
  <si>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</si>
  <si>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</si>
  <si>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</si>
  <si>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</si>
  <si>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</si>
  <si>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</si>
  <si>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</si>
  <si>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</si>
  <si>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</si>
  <si>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</si>
  <si>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</si>
  <si>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</si>
  <si>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</si>
  <si>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</si>
  <si>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</si>
  <si>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</si>
  <si>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</si>
  <si>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</si>
  <si>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</si>
  <si>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</si>
  <si>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</si>
  <si>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</si>
  <si>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</si>
  <si>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</si>
  <si>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</si>
  <si>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</si>
  <si>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</si>
  <si>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</si>
  <si>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</si>
  <si>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</si>
  <si>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</si>
  <si>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</si>
  <si>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</si>
  <si>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</si>
  <si>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</si>
  <si>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</si>
  <si>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</si>
  <si>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</si>
  <si>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</si>
  <si>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</si>
  <si>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</si>
  <si>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</si>
  <si>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</si>
  <si>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</si>
  <si>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</si>
  <si>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</si>
  <si>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</si>
  <si>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</si>
  <si>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</si>
  <si>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</si>
  <si>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</si>
  <si>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</si>
  <si>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</si>
  <si>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</si>
  <si>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</si>
  <si>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</si>
  <si>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</si>
  <si>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</si>
  <si>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</si>
  <si>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</si>
  <si>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</si>
  <si>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</si>
  <si>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</si>
  <si>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</si>
  <si>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</si>
  <si>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</si>
  <si>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</si>
  <si>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</si>
  <si>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</si>
  <si>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</si>
  <si>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</si>
  <si>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</si>
  <si>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</si>
  <si>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</si>
  <si>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</si>
  <si>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</si>
  <si>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</si>
  <si>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</si>
  <si>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</si>
  <si>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</si>
  <si>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</si>
  <si>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</si>
  <si>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</si>
  <si>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</si>
  <si>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</si>
  <si>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</si>
  <si>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</si>
  <si>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</si>
  <si>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</si>
  <si>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</si>
  <si>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</si>
  <si>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</si>
  <si>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</si>
  <si>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</si>
  <si>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</si>
  <si>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</si>
  <si>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</si>
  <si>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</si>
  <si>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</si>
  <si>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</si>
  <si>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</si>
  <si>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</si>
  <si>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</si>
  <si>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</si>
  <si>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</si>
  <si>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</si>
  <si>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</si>
  <si>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</si>
  <si>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</si>
  <si>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</si>
  <si>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</si>
  <si>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</si>
  <si>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</si>
  <si>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</si>
  <si>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</si>
  <si>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</si>
  <si>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</si>
  <si>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</si>
  <si>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</si>
  <si>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</si>
  <si>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</si>
  <si>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</si>
  <si>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</si>
  <si>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</si>
  <si>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</si>
  <si>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</si>
  <si>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</si>
  <si>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</si>
  <si>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</si>
  <si>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</si>
  <si>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</si>
  <si>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</si>
  <si>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</si>
  <si>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</si>
  <si>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</si>
  <si>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</si>
  <si>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</si>
  <si>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</si>
  <si>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</si>
  <si>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</si>
  <si>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</si>
  <si>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</si>
  <si>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</si>
  <si>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</si>
  <si>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</si>
  <si>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</si>
  <si>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</si>
  <si>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</si>
  <si>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</si>
  <si>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</si>
  <si>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</si>
  <si>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</si>
  <si>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</si>
  <si>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</si>
  <si>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</si>
  <si>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</si>
  <si>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</si>
  <si>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</si>
  <si>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</si>
  <si>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</si>
  <si>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</si>
  <si>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</si>
  <si>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</si>
  <si>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</si>
  <si>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</si>
  <si>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</si>
  <si>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</si>
  <si>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</si>
  <si>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</si>
  <si>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</si>
  <si>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</si>
  <si>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</si>
  <si>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</si>
  <si>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</si>
  <si>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</si>
  <si>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</si>
  <si>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</si>
  <si>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</si>
  <si>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</si>
  <si>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</si>
  <si>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</si>
  <si>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</si>
  <si>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</si>
  <si>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</si>
  <si>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</si>
  <si>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</si>
  <si>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</si>
  <si>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</si>
  <si>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</si>
  <si>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</si>
  <si>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</si>
  <si>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</si>
  <si>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</si>
  <si>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</si>
  <si>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</si>
  <si>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</si>
  <si>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</si>
  <si>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</si>
  <si>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</si>
  <si>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</si>
  <si>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</si>
  <si>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</si>
  <si>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</si>
  <si>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</si>
  <si>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</si>
  <si>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</si>
  <si>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</si>
  <si>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</si>
  <si>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</si>
  <si>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</si>
  <si>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</si>
  <si>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</si>
  <si>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</si>
  <si>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</si>
  <si>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</si>
  <si>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</si>
  <si>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</si>
  <si>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</si>
  <si>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</si>
  <si>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</si>
  <si>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</si>
  <si>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</si>
  <si>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</si>
  <si>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</si>
  <si>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</si>
  <si>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</si>
  <si>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</si>
  <si>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</si>
  <si>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</si>
  <si>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</si>
  <si>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</si>
  <si>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</si>
  <si>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</si>
  <si>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</si>
  <si>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</si>
  <si>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</si>
  <si>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</si>
  <si>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</si>
  <si>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</si>
  <si>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</si>
  <si>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</si>
  <si>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</si>
  <si>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</si>
  <si>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</si>
  <si>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</si>
  <si>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</si>
  <si>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</si>
  <si>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</si>
  <si>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</si>
  <si>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</si>
  <si>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</si>
  <si>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</si>
  <si>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</si>
  <si>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</si>
  <si>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</si>
  <si>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</si>
  <si>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</si>
  <si>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</si>
  <si>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</si>
  <si>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</si>
  <si>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</si>
  <si>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</si>
  <si>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</si>
  <si>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</si>
  <si>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</si>
  <si>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</si>
  <si>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</si>
  <si>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</si>
  <si>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</si>
  <si>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</si>
  <si>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</si>
  <si>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</si>
  <si>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</si>
  <si>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</si>
  <si>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</si>
  <si>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</si>
  <si>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</si>
  <si>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</si>
  <si>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</si>
  <si>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</si>
  <si>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</si>
  <si>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</si>
  <si>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</si>
  <si>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</si>
  <si>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</si>
  <si>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</si>
  <si>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</si>
  <si>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</si>
  <si>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</si>
  <si>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</si>
  <si>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</si>
  <si>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</si>
  <si>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</si>
  <si>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</si>
  <si>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</si>
  <si>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</si>
  <si>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</si>
  <si>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</si>
  <si>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</si>
  <si>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</si>
  <si>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</si>
  <si>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</si>
  <si>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</si>
  <si>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</si>
  <si>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</si>
  <si>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</si>
  <si>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</si>
  <si>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</si>
  <si>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</si>
  <si>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</si>
  <si>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</si>
  <si>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</si>
  <si>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</si>
  <si>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</si>
  <si>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</si>
  <si>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</si>
  <si>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</si>
  <si>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</si>
  <si>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</si>
  <si>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</si>
  <si>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</si>
  <si>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</si>
  <si>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</si>
  <si>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</si>
  <si>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</si>
  <si>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</si>
  <si>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</si>
  <si>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</si>
  <si>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</si>
  <si>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</si>
  <si>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</si>
  <si>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</si>
  <si>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</si>
  <si>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</si>
  <si>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</si>
  <si>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</si>
  <si>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</si>
  <si>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</si>
  <si>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</si>
  <si>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</si>
  <si>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</si>
  <si>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</si>
  <si>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</si>
  <si>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</si>
  <si>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</si>
  <si>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</si>
  <si>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</si>
  <si>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</si>
  <si>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</si>
  <si>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</si>
  <si>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</si>
  <si>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</si>
  <si>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</si>
  <si>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</si>
  <si>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</si>
  <si>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</si>
  <si>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</si>
  <si>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</si>
  <si>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</si>
  <si>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</si>
  <si>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</si>
  <si>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</si>
  <si>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</si>
  <si>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</si>
  <si>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</si>
  <si>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</si>
  <si>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</si>
  <si>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</si>
  <si>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</si>
  <si>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</si>
  <si>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</si>
  <si>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</si>
  <si>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</si>
  <si>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</si>
  <si>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</si>
  <si>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</si>
  <si>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</si>
  <si>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</si>
  <si>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</si>
  <si>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</si>
  <si>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</si>
  <si>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</si>
  <si>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</si>
  <si>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</si>
  <si>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</si>
  <si>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</si>
  <si>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</si>
  <si>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</si>
  <si>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</si>
  <si>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</si>
  <si>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</si>
  <si>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</si>
  <si>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</si>
  <si>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</si>
  <si>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</si>
  <si>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</si>
  <si>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</si>
  <si>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</si>
  <si>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</si>
  <si>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</si>
  <si>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</si>
  <si>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</si>
  <si>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</si>
  <si>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</si>
  <si>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</si>
  <si>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</si>
  <si>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</si>
  <si>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</si>
  <si>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</si>
  <si>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</si>
  <si>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</si>
  <si>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</si>
  <si>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</si>
  <si>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</si>
  <si>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</si>
  <si>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</si>
  <si>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</si>
  <si>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</si>
  <si>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</si>
  <si>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</si>
  <si>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</si>
  <si>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</si>
  <si>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</si>
  <si>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</si>
  <si>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</si>
  <si>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</si>
  <si>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</si>
  <si>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</si>
  <si>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</si>
  <si>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</si>
  <si>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</si>
  <si>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</si>
  <si>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</si>
  <si>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</si>
  <si>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</si>
  <si>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</si>
  <si>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</si>
  <si>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</si>
  <si>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</si>
  <si>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</si>
  <si>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</si>
  <si>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</si>
  <si>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</si>
  <si>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12041</t>
  </si>
  <si>
    <t>PUURS-SINT-AMANDS</t>
  </si>
  <si>
    <t>waterkracht</t>
  </si>
  <si>
    <t>vloeibaar gas (MWh)</t>
  </si>
  <si>
    <t>interne verbrandingsmotor</t>
  </si>
  <si>
    <t>WKK interne verbrandinsgmotor (gas)</t>
  </si>
  <si>
    <t>IVERLEK</t>
  </si>
  <si>
    <t>IVERLEK (via EANDIS)</t>
  </si>
  <si>
    <t>chemie</t>
  </si>
  <si>
    <t>andere wkk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</si>
</sst>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E2EBFC97-CBA7-41C4-B6A8-3A4B29C22930}"/>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202019.43108576204</c:v>
                </c:pt>
                <c:pt idx="1">
                  <c:v>84927.077114043816</c:v>
                </c:pt>
                <c:pt idx="2">
                  <c:v>1711.16</c:v>
                </c:pt>
                <c:pt idx="3">
                  <c:v>15793.25672091307</c:v>
                </c:pt>
                <c:pt idx="4">
                  <c:v>337903.61371189606</c:v>
                </c:pt>
                <c:pt idx="5">
                  <c:v>513181.96968270629</c:v>
                </c:pt>
                <c:pt idx="6">
                  <c:v>1850.0543694695841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202019.43108576204</c:v>
                </c:pt>
                <c:pt idx="1">
                  <c:v>84927.077114043816</c:v>
                </c:pt>
                <c:pt idx="2">
                  <c:v>1711.16</c:v>
                </c:pt>
                <c:pt idx="3">
                  <c:v>15793.25672091307</c:v>
                </c:pt>
                <c:pt idx="4">
                  <c:v>337903.61371189606</c:v>
                </c:pt>
                <c:pt idx="5">
                  <c:v>513181.96968270629</c:v>
                </c:pt>
                <c:pt idx="6">
                  <c:v>1850.0543694695841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38843.058755624006</c:v>
                </c:pt>
                <c:pt idx="1">
                  <c:v>16151.162631353822</c:v>
                </c:pt>
                <c:pt idx="2">
                  <c:v>296.67262877354949</c:v>
                </c:pt>
                <c:pt idx="3">
                  <c:v>3762.5359800220731</c:v>
                </c:pt>
                <c:pt idx="4">
                  <c:v>64856.907691659377</c:v>
                </c:pt>
                <c:pt idx="5">
                  <c:v>127447.06542354276</c:v>
                </c:pt>
                <c:pt idx="6">
                  <c:v>464.96375951762252</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38843.058755624006</c:v>
                </c:pt>
                <c:pt idx="1">
                  <c:v>16151.162631353822</c:v>
                </c:pt>
                <c:pt idx="2">
                  <c:v>296.67262877354949</c:v>
                </c:pt>
                <c:pt idx="3">
                  <c:v>3762.5359800220731</c:v>
                </c:pt>
                <c:pt idx="4">
                  <c:v>64856.907691659377</c:v>
                </c:pt>
                <c:pt idx="5">
                  <c:v>127447.06542354276</c:v>
                </c:pt>
                <c:pt idx="6">
                  <c:v>464.96375951762252</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12041</v>
      </c>
      <c r="B6" s="382"/>
      <c r="C6" s="383"/>
    </row>
    <row r="7" spans="1:7" s="380" customFormat="1" ht="15.75" customHeight="1">
      <c r="A7" s="384" t="str">
        <f>txtMunicipality</f>
        <v>PUURS-SINT-AMANDS</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0.17337515414896881</v>
      </c>
      <c r="C17" s="494">
        <f ca="1">'EF ele_warmte'!B22</f>
        <v>0.23764705882352943</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0.17337515414896881</v>
      </c>
      <c r="C29" s="495">
        <f ca="1">'EF ele_warmte'!B22</f>
        <v>0.23764705882352943</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10589</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1973.46</v>
      </c>
      <c r="C14" s="324"/>
      <c r="D14" s="324"/>
      <c r="E14" s="324"/>
      <c r="F14" s="324"/>
    </row>
    <row r="15" spans="1:6">
      <c r="A15" s="1265" t="s">
        <v>177</v>
      </c>
      <c r="B15" s="1266">
        <v>1329</v>
      </c>
      <c r="C15" s="324"/>
      <c r="D15" s="324"/>
      <c r="E15" s="324"/>
      <c r="F15" s="324"/>
    </row>
    <row r="16" spans="1:6">
      <c r="A16" s="1265" t="s">
        <v>6</v>
      </c>
      <c r="B16" s="1266">
        <v>748</v>
      </c>
      <c r="C16" s="324"/>
      <c r="D16" s="324"/>
      <c r="E16" s="324"/>
      <c r="F16" s="324"/>
    </row>
    <row r="17" spans="1:6">
      <c r="A17" s="1265" t="s">
        <v>7</v>
      </c>
      <c r="B17" s="1266">
        <v>29</v>
      </c>
      <c r="C17" s="324"/>
      <c r="D17" s="324"/>
      <c r="E17" s="324"/>
      <c r="F17" s="324"/>
    </row>
    <row r="18" spans="1:6">
      <c r="A18" s="1265" t="s">
        <v>8</v>
      </c>
      <c r="B18" s="1266">
        <v>489</v>
      </c>
      <c r="C18" s="324"/>
      <c r="D18" s="324"/>
      <c r="E18" s="324"/>
      <c r="F18" s="324"/>
    </row>
    <row r="19" spans="1:6">
      <c r="A19" s="1265" t="s">
        <v>9</v>
      </c>
      <c r="B19" s="1266">
        <v>213</v>
      </c>
      <c r="C19" s="324"/>
      <c r="D19" s="324"/>
      <c r="E19" s="324"/>
      <c r="F19" s="324"/>
    </row>
    <row r="20" spans="1:6">
      <c r="A20" s="1265" t="s">
        <v>10</v>
      </c>
      <c r="B20" s="1266">
        <v>170</v>
      </c>
      <c r="C20" s="324"/>
      <c r="D20" s="324"/>
      <c r="E20" s="324"/>
      <c r="F20" s="324"/>
    </row>
    <row r="21" spans="1:6">
      <c r="A21" s="1265" t="s">
        <v>11</v>
      </c>
      <c r="B21" s="1266">
        <v>605</v>
      </c>
      <c r="C21" s="324"/>
      <c r="D21" s="324"/>
      <c r="E21" s="324"/>
      <c r="F21" s="324"/>
    </row>
    <row r="22" spans="1:6">
      <c r="A22" s="1265" t="s">
        <v>12</v>
      </c>
      <c r="B22" s="1266">
        <v>1905</v>
      </c>
      <c r="C22" s="324"/>
      <c r="D22" s="324"/>
      <c r="E22" s="324"/>
      <c r="F22" s="324"/>
    </row>
    <row r="23" spans="1:6">
      <c r="A23" s="1265" t="s">
        <v>13</v>
      </c>
      <c r="B23" s="1266">
        <v>29</v>
      </c>
      <c r="C23" s="324"/>
      <c r="D23" s="324"/>
      <c r="E23" s="324"/>
      <c r="F23" s="324"/>
    </row>
    <row r="24" spans="1:6">
      <c r="A24" s="1265" t="s">
        <v>14</v>
      </c>
      <c r="B24" s="1266">
        <v>1</v>
      </c>
      <c r="C24" s="324"/>
      <c r="D24" s="324"/>
      <c r="E24" s="324"/>
      <c r="F24" s="324"/>
    </row>
    <row r="25" spans="1:6">
      <c r="A25" s="1265" t="s">
        <v>15</v>
      </c>
      <c r="B25" s="1266">
        <v>180</v>
      </c>
      <c r="C25" s="324"/>
      <c r="D25" s="324"/>
      <c r="E25" s="324"/>
      <c r="F25" s="324"/>
    </row>
    <row r="26" spans="1:6">
      <c r="A26" s="1265" t="s">
        <v>16</v>
      </c>
      <c r="B26" s="1266">
        <v>199</v>
      </c>
      <c r="C26" s="324"/>
      <c r="D26" s="324"/>
      <c r="E26" s="324"/>
      <c r="F26" s="324"/>
    </row>
    <row r="27" spans="1:6">
      <c r="A27" s="1265" t="s">
        <v>17</v>
      </c>
      <c r="B27" s="1266">
        <v>0</v>
      </c>
      <c r="C27" s="324"/>
      <c r="D27" s="324"/>
      <c r="E27" s="324"/>
      <c r="F27" s="324"/>
    </row>
    <row r="28" spans="1:6">
      <c r="A28" s="1265" t="s">
        <v>18</v>
      </c>
      <c r="B28" s="1267">
        <v>3012</v>
      </c>
      <c r="C28" s="324"/>
      <c r="D28" s="324"/>
      <c r="E28" s="324"/>
      <c r="F28" s="324"/>
    </row>
    <row r="29" spans="1:6">
      <c r="A29" s="1265" t="s">
        <v>653</v>
      </c>
      <c r="B29" s="1267">
        <v>174</v>
      </c>
      <c r="C29" s="324"/>
      <c r="D29" s="324"/>
      <c r="E29" s="324"/>
      <c r="F29" s="324"/>
    </row>
    <row r="30" spans="1:6">
      <c r="A30" s="1260" t="s">
        <v>654</v>
      </c>
      <c r="B30" s="1268">
        <v>46</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0</v>
      </c>
      <c r="D36" s="1266">
        <v>0</v>
      </c>
      <c r="E36" s="1266">
        <v>3</v>
      </c>
      <c r="F36" s="1266">
        <v>37656.75052224</v>
      </c>
    </row>
    <row r="37" spans="1:6">
      <c r="A37" s="1265" t="s">
        <v>24</v>
      </c>
      <c r="B37" s="1265" t="s">
        <v>27</v>
      </c>
      <c r="C37" s="1266">
        <v>0</v>
      </c>
      <c r="D37" s="1266">
        <v>0</v>
      </c>
      <c r="E37" s="1266">
        <v>0</v>
      </c>
      <c r="F37" s="1266">
        <v>0</v>
      </c>
    </row>
    <row r="38" spans="1:6">
      <c r="A38" s="1265" t="s">
        <v>24</v>
      </c>
      <c r="B38" s="1265" t="s">
        <v>28</v>
      </c>
      <c r="C38" s="1266">
        <v>0</v>
      </c>
      <c r="D38" s="1266">
        <v>0</v>
      </c>
      <c r="E38" s="1266">
        <v>1</v>
      </c>
      <c r="F38" s="1266">
        <v>1492.628953034</v>
      </c>
    </row>
    <row r="39" spans="1:6">
      <c r="A39" s="1265" t="s">
        <v>29</v>
      </c>
      <c r="B39" s="1265" t="s">
        <v>30</v>
      </c>
      <c r="C39" s="1266">
        <v>8336</v>
      </c>
      <c r="D39" s="1266">
        <v>124126498.53686801</v>
      </c>
      <c r="E39" s="1266">
        <v>10556</v>
      </c>
      <c r="F39" s="1266">
        <v>33013174.088914402</v>
      </c>
    </row>
    <row r="40" spans="1:6">
      <c r="A40" s="1265" t="s">
        <v>29</v>
      </c>
      <c r="B40" s="1265" t="s">
        <v>28</v>
      </c>
      <c r="C40" s="1266">
        <v>0</v>
      </c>
      <c r="D40" s="1266">
        <v>0</v>
      </c>
      <c r="E40" s="1266">
        <v>0</v>
      </c>
      <c r="F40" s="1266">
        <v>0</v>
      </c>
    </row>
    <row r="41" spans="1:6">
      <c r="A41" s="1265" t="s">
        <v>31</v>
      </c>
      <c r="B41" s="1265" t="s">
        <v>32</v>
      </c>
      <c r="C41" s="1266">
        <v>172</v>
      </c>
      <c r="D41" s="1266">
        <v>2580587.0074819401</v>
      </c>
      <c r="E41" s="1266">
        <v>294</v>
      </c>
      <c r="F41" s="1266">
        <v>8782549.2187237795</v>
      </c>
    </row>
    <row r="42" spans="1:6">
      <c r="A42" s="1265" t="s">
        <v>31</v>
      </c>
      <c r="B42" s="1265" t="s">
        <v>33</v>
      </c>
      <c r="C42" s="1266">
        <v>10</v>
      </c>
      <c r="D42" s="1266">
        <v>127601338.261409</v>
      </c>
      <c r="E42" s="1266">
        <v>12</v>
      </c>
      <c r="F42" s="1266">
        <v>75793128.880707994</v>
      </c>
    </row>
    <row r="43" spans="1:6">
      <c r="A43" s="1265" t="s">
        <v>31</v>
      </c>
      <c r="B43" s="1265" t="s">
        <v>34</v>
      </c>
      <c r="C43" s="1266">
        <v>0</v>
      </c>
      <c r="D43" s="1266">
        <v>0</v>
      </c>
      <c r="E43" s="1266">
        <v>0</v>
      </c>
      <c r="F43" s="1266">
        <v>0</v>
      </c>
    </row>
    <row r="44" spans="1:6">
      <c r="A44" s="1265" t="s">
        <v>31</v>
      </c>
      <c r="B44" s="1265" t="s">
        <v>35</v>
      </c>
      <c r="C44" s="1266">
        <v>23</v>
      </c>
      <c r="D44" s="1266">
        <v>3522077.78805493</v>
      </c>
      <c r="E44" s="1266">
        <v>37</v>
      </c>
      <c r="F44" s="1266">
        <v>1359630.1023808101</v>
      </c>
    </row>
    <row r="45" spans="1:6">
      <c r="A45" s="1265" t="s">
        <v>31</v>
      </c>
      <c r="B45" s="1265" t="s">
        <v>36</v>
      </c>
      <c r="C45" s="1266">
        <v>4</v>
      </c>
      <c r="D45" s="1266">
        <v>240557.52636464199</v>
      </c>
      <c r="E45" s="1266">
        <v>8</v>
      </c>
      <c r="F45" s="1266">
        <v>1510313.6405644501</v>
      </c>
    </row>
    <row r="46" spans="1:6">
      <c r="A46" s="1265" t="s">
        <v>31</v>
      </c>
      <c r="B46" s="1265" t="s">
        <v>37</v>
      </c>
      <c r="C46" s="1266">
        <v>0</v>
      </c>
      <c r="D46" s="1266">
        <v>0</v>
      </c>
      <c r="E46" s="1266">
        <v>0</v>
      </c>
      <c r="F46" s="1266">
        <v>0</v>
      </c>
    </row>
    <row r="47" spans="1:6">
      <c r="A47" s="1265" t="s">
        <v>31</v>
      </c>
      <c r="B47" s="1265" t="s">
        <v>38</v>
      </c>
      <c r="C47" s="1266">
        <v>0</v>
      </c>
      <c r="D47" s="1266">
        <v>0</v>
      </c>
      <c r="E47" s="1266">
        <v>3</v>
      </c>
      <c r="F47" s="1266">
        <v>829128.38903148798</v>
      </c>
    </row>
    <row r="48" spans="1:6">
      <c r="A48" s="1265" t="s">
        <v>31</v>
      </c>
      <c r="B48" s="1265" t="s">
        <v>28</v>
      </c>
      <c r="C48" s="1266">
        <v>2</v>
      </c>
      <c r="D48" s="1266">
        <v>98916.783366662305</v>
      </c>
      <c r="E48" s="1266">
        <v>3</v>
      </c>
      <c r="F48" s="1266">
        <v>49516.852047048</v>
      </c>
    </row>
    <row r="49" spans="1:6">
      <c r="A49" s="1265" t="s">
        <v>31</v>
      </c>
      <c r="B49" s="1265" t="s">
        <v>39</v>
      </c>
      <c r="C49" s="1266">
        <v>0</v>
      </c>
      <c r="D49" s="1266">
        <v>0</v>
      </c>
      <c r="E49" s="1266">
        <v>0</v>
      </c>
      <c r="F49" s="1266">
        <v>0</v>
      </c>
    </row>
    <row r="50" spans="1:6">
      <c r="A50" s="1265" t="s">
        <v>31</v>
      </c>
      <c r="B50" s="1265" t="s">
        <v>40</v>
      </c>
      <c r="C50" s="1266">
        <v>27</v>
      </c>
      <c r="D50" s="1266">
        <v>63329184.695556</v>
      </c>
      <c r="E50" s="1266">
        <v>31</v>
      </c>
      <c r="F50" s="1266">
        <v>50815882.169609301</v>
      </c>
    </row>
    <row r="51" spans="1:6">
      <c r="A51" s="1265" t="s">
        <v>41</v>
      </c>
      <c r="B51" s="1265" t="s">
        <v>42</v>
      </c>
      <c r="C51" s="1266">
        <v>17</v>
      </c>
      <c r="D51" s="1266">
        <v>23444553.0574646</v>
      </c>
      <c r="E51" s="1266">
        <v>68</v>
      </c>
      <c r="F51" s="1266">
        <v>951825.11262354697</v>
      </c>
    </row>
    <row r="52" spans="1:6">
      <c r="A52" s="1265" t="s">
        <v>41</v>
      </c>
      <c r="B52" s="1265" t="s">
        <v>28</v>
      </c>
      <c r="C52" s="1266">
        <v>0</v>
      </c>
      <c r="D52" s="1266">
        <v>0</v>
      </c>
      <c r="E52" s="1266">
        <v>0</v>
      </c>
      <c r="F52" s="1266">
        <v>0</v>
      </c>
    </row>
    <row r="53" spans="1:6">
      <c r="A53" s="1265" t="s">
        <v>43</v>
      </c>
      <c r="B53" s="1265" t="s">
        <v>44</v>
      </c>
      <c r="C53" s="1266">
        <v>211</v>
      </c>
      <c r="D53" s="1266">
        <v>4878372.6876759203</v>
      </c>
      <c r="E53" s="1266">
        <v>395</v>
      </c>
      <c r="F53" s="1266">
        <v>1024347.6352319</v>
      </c>
    </row>
    <row r="54" spans="1:6">
      <c r="A54" s="1265" t="s">
        <v>45</v>
      </c>
      <c r="B54" s="1265" t="s">
        <v>46</v>
      </c>
      <c r="C54" s="1266">
        <v>0</v>
      </c>
      <c r="D54" s="1266">
        <v>0</v>
      </c>
      <c r="E54" s="1266">
        <v>2</v>
      </c>
      <c r="F54" s="1266">
        <v>1711160</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110</v>
      </c>
      <c r="D57" s="1266">
        <v>8922445.8070686609</v>
      </c>
      <c r="E57" s="1266">
        <v>252</v>
      </c>
      <c r="F57" s="1266">
        <v>6915512.3157374701</v>
      </c>
    </row>
    <row r="58" spans="1:6">
      <c r="A58" s="1265" t="s">
        <v>48</v>
      </c>
      <c r="B58" s="1265" t="s">
        <v>50</v>
      </c>
      <c r="C58" s="1266">
        <v>65</v>
      </c>
      <c r="D58" s="1266">
        <v>6784589.7955128597</v>
      </c>
      <c r="E58" s="1266">
        <v>77</v>
      </c>
      <c r="F58" s="1266">
        <v>2615703.94293402</v>
      </c>
    </row>
    <row r="59" spans="1:6">
      <c r="A59" s="1265" t="s">
        <v>48</v>
      </c>
      <c r="B59" s="1265" t="s">
        <v>51</v>
      </c>
      <c r="C59" s="1266">
        <v>139</v>
      </c>
      <c r="D59" s="1266">
        <v>5295711.4618398901</v>
      </c>
      <c r="E59" s="1266">
        <v>247</v>
      </c>
      <c r="F59" s="1266">
        <v>9787984.6647440605</v>
      </c>
    </row>
    <row r="60" spans="1:6">
      <c r="A60" s="1265" t="s">
        <v>48</v>
      </c>
      <c r="B60" s="1265" t="s">
        <v>52</v>
      </c>
      <c r="C60" s="1266">
        <v>76</v>
      </c>
      <c r="D60" s="1266">
        <v>4423293.8679792397</v>
      </c>
      <c r="E60" s="1266">
        <v>94</v>
      </c>
      <c r="F60" s="1266">
        <v>2240193.6201451002</v>
      </c>
    </row>
    <row r="61" spans="1:6">
      <c r="A61" s="1265" t="s">
        <v>48</v>
      </c>
      <c r="B61" s="1265" t="s">
        <v>53</v>
      </c>
      <c r="C61" s="1266">
        <v>269</v>
      </c>
      <c r="D61" s="1266">
        <v>13676869.472668801</v>
      </c>
      <c r="E61" s="1266">
        <v>484</v>
      </c>
      <c r="F61" s="1266">
        <v>12312760.0963331</v>
      </c>
    </row>
    <row r="62" spans="1:6">
      <c r="A62" s="1265" t="s">
        <v>48</v>
      </c>
      <c r="B62" s="1265" t="s">
        <v>54</v>
      </c>
      <c r="C62" s="1266">
        <v>40</v>
      </c>
      <c r="D62" s="1266">
        <v>3152292.77594651</v>
      </c>
      <c r="E62" s="1266">
        <v>44</v>
      </c>
      <c r="F62" s="1266">
        <v>816004.38040999195</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2</v>
      </c>
      <c r="D65" s="1266">
        <v>60230.835819464104</v>
      </c>
      <c r="E65" s="1266">
        <v>1</v>
      </c>
      <c r="F65" s="1266">
        <v>5794.3881599440001</v>
      </c>
    </row>
    <row r="66" spans="1:6">
      <c r="A66" s="1265" t="s">
        <v>55</v>
      </c>
      <c r="B66" s="1265" t="s">
        <v>57</v>
      </c>
      <c r="C66" s="1266">
        <v>0</v>
      </c>
      <c r="D66" s="1266">
        <v>0</v>
      </c>
      <c r="E66" s="1266">
        <v>11</v>
      </c>
      <c r="F66" s="1266">
        <v>2030642.6700524201</v>
      </c>
    </row>
    <row r="67" spans="1:6">
      <c r="A67" s="1265" t="s">
        <v>55</v>
      </c>
      <c r="B67" s="1265" t="s">
        <v>58</v>
      </c>
      <c r="C67" s="1266">
        <v>0</v>
      </c>
      <c r="D67" s="1266">
        <v>0</v>
      </c>
      <c r="E67" s="1266">
        <v>0</v>
      </c>
      <c r="F67" s="1266">
        <v>0</v>
      </c>
    </row>
    <row r="68" spans="1:6">
      <c r="A68" s="1260" t="s">
        <v>55</v>
      </c>
      <c r="B68" s="1260" t="s">
        <v>59</v>
      </c>
      <c r="C68" s="1268">
        <v>14</v>
      </c>
      <c r="D68" s="1268">
        <v>10394194.2279914</v>
      </c>
      <c r="E68" s="1268">
        <v>31</v>
      </c>
      <c r="F68" s="1268">
        <v>4052751.1427718098</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306693120</v>
      </c>
      <c r="E73" s="443"/>
      <c r="F73" s="324"/>
    </row>
    <row r="74" spans="1:6">
      <c r="A74" s="1265" t="s">
        <v>63</v>
      </c>
      <c r="B74" s="1265" t="s">
        <v>607</v>
      </c>
      <c r="C74" s="1278" t="s">
        <v>609</v>
      </c>
      <c r="D74" s="1266">
        <v>47589949.087466925</v>
      </c>
      <c r="E74" s="443"/>
      <c r="F74" s="324"/>
    </row>
    <row r="75" spans="1:6">
      <c r="A75" s="1265" t="s">
        <v>64</v>
      </c>
      <c r="B75" s="1265" t="s">
        <v>606</v>
      </c>
      <c r="C75" s="1278" t="s">
        <v>610</v>
      </c>
      <c r="D75" s="1266">
        <v>82180372</v>
      </c>
      <c r="E75" s="443"/>
      <c r="F75" s="324"/>
    </row>
    <row r="76" spans="1:6">
      <c r="A76" s="1265" t="s">
        <v>64</v>
      </c>
      <c r="B76" s="1265" t="s">
        <v>607</v>
      </c>
      <c r="C76" s="1278" t="s">
        <v>611</v>
      </c>
      <c r="D76" s="1266">
        <v>10759355.087466927</v>
      </c>
      <c r="E76" s="443"/>
      <c r="F76" s="324"/>
    </row>
    <row r="77" spans="1:6">
      <c r="A77" s="1265" t="s">
        <v>65</v>
      </c>
      <c r="B77" s="1265" t="s">
        <v>606</v>
      </c>
      <c r="C77" s="1278" t="s">
        <v>612</v>
      </c>
      <c r="D77" s="1266">
        <v>72902592</v>
      </c>
      <c r="E77" s="443"/>
      <c r="F77" s="324"/>
    </row>
    <row r="78" spans="1:6">
      <c r="A78" s="1260" t="s">
        <v>65</v>
      </c>
      <c r="B78" s="1260" t="s">
        <v>607</v>
      </c>
      <c r="C78" s="1260" t="s">
        <v>613</v>
      </c>
      <c r="D78" s="1268">
        <v>9864679</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513523.82506614499</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36888.62620545525</v>
      </c>
      <c r="C90" s="324"/>
      <c r="D90" s="324"/>
      <c r="E90" s="324"/>
      <c r="F90" s="324"/>
    </row>
    <row r="91" spans="1:6">
      <c r="A91" s="1265" t="s">
        <v>67</v>
      </c>
      <c r="B91" s="1266">
        <v>8668.503121801501</v>
      </c>
      <c r="C91" s="324"/>
      <c r="D91" s="324"/>
      <c r="E91" s="324"/>
      <c r="F91" s="324"/>
    </row>
    <row r="92" spans="1:6">
      <c r="A92" s="1260" t="s">
        <v>68</v>
      </c>
      <c r="B92" s="1261">
        <v>6749.8899349769426</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5111</v>
      </c>
      <c r="C97" s="324"/>
      <c r="D97" s="324"/>
      <c r="E97" s="324"/>
      <c r="F97" s="324"/>
    </row>
    <row r="98" spans="1:6">
      <c r="A98" s="1265" t="s">
        <v>71</v>
      </c>
      <c r="B98" s="1266">
        <v>13</v>
      </c>
      <c r="C98" s="324"/>
      <c r="D98" s="324"/>
      <c r="E98" s="324"/>
      <c r="F98" s="324"/>
    </row>
    <row r="99" spans="1:6">
      <c r="A99" s="1265" t="s">
        <v>72</v>
      </c>
      <c r="B99" s="1266">
        <v>59</v>
      </c>
      <c r="C99" s="324"/>
      <c r="D99" s="324"/>
      <c r="E99" s="324"/>
      <c r="F99" s="324"/>
    </row>
    <row r="100" spans="1:6">
      <c r="A100" s="1265" t="s">
        <v>73</v>
      </c>
      <c r="B100" s="1266">
        <v>538</v>
      </c>
      <c r="C100" s="324"/>
      <c r="D100" s="324"/>
      <c r="E100" s="324"/>
      <c r="F100" s="324"/>
    </row>
    <row r="101" spans="1:6">
      <c r="A101" s="1265" t="s">
        <v>74</v>
      </c>
      <c r="B101" s="1266">
        <v>96</v>
      </c>
      <c r="C101" s="324"/>
      <c r="D101" s="324"/>
      <c r="E101" s="324"/>
      <c r="F101" s="324"/>
    </row>
    <row r="102" spans="1:6">
      <c r="A102" s="1265" t="s">
        <v>75</v>
      </c>
      <c r="B102" s="1266">
        <v>94</v>
      </c>
      <c r="C102" s="324"/>
      <c r="D102" s="324"/>
      <c r="E102" s="324"/>
      <c r="F102" s="324"/>
    </row>
    <row r="103" spans="1:6">
      <c r="A103" s="1265" t="s">
        <v>76</v>
      </c>
      <c r="B103" s="1266">
        <v>159</v>
      </c>
      <c r="C103" s="324"/>
      <c r="D103" s="324"/>
      <c r="E103" s="324"/>
      <c r="F103" s="324"/>
    </row>
    <row r="104" spans="1:6">
      <c r="A104" s="1265" t="s">
        <v>77</v>
      </c>
      <c r="B104" s="1266">
        <v>2753</v>
      </c>
      <c r="C104" s="324"/>
      <c r="D104" s="324"/>
      <c r="E104" s="324"/>
      <c r="F104" s="324"/>
    </row>
    <row r="105" spans="1:6">
      <c r="A105" s="1260" t="s">
        <v>78</v>
      </c>
      <c r="B105" s="1268">
        <v>4</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0</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0</v>
      </c>
      <c r="C121" s="1266">
        <v>0</v>
      </c>
      <c r="D121" s="324"/>
      <c r="E121" s="324"/>
      <c r="F121" s="324"/>
    </row>
    <row r="122" spans="1:6">
      <c r="A122" s="1265" t="s">
        <v>86</v>
      </c>
      <c r="B122" s="1266">
        <v>0</v>
      </c>
      <c r="C122" s="1266">
        <v>0</v>
      </c>
      <c r="D122" s="324"/>
      <c r="E122" s="324"/>
      <c r="F122" s="324"/>
    </row>
    <row r="123" spans="1:6">
      <c r="A123" s="1265" t="s">
        <v>87</v>
      </c>
      <c r="B123" s="1266">
        <v>91</v>
      </c>
      <c r="C123" s="1266">
        <v>92</v>
      </c>
      <c r="D123" s="324"/>
      <c r="E123" s="324"/>
      <c r="F123" s="324"/>
    </row>
    <row r="124" spans="1:6">
      <c r="A124" s="1265" t="s">
        <v>88</v>
      </c>
      <c r="B124" s="1266">
        <v>7</v>
      </c>
      <c r="C124" s="1266">
        <v>2</v>
      </c>
      <c r="D124" s="324"/>
      <c r="E124" s="324"/>
      <c r="F124" s="324"/>
    </row>
    <row r="125" spans="1:6">
      <c r="A125" s="1260" t="s">
        <v>753</v>
      </c>
      <c r="B125" s="1266">
        <v>2</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270</v>
      </c>
      <c r="C129" s="324"/>
      <c r="D129" s="324"/>
      <c r="E129" s="324"/>
      <c r="F129" s="324"/>
    </row>
    <row r="130" spans="1:6">
      <c r="A130" s="1265" t="s">
        <v>284</v>
      </c>
      <c r="B130" s="1266">
        <v>1</v>
      </c>
      <c r="C130" s="324"/>
      <c r="D130" s="324"/>
      <c r="E130" s="324"/>
      <c r="F130" s="324"/>
    </row>
    <row r="131" spans="1:6">
      <c r="A131" s="1265" t="s">
        <v>285</v>
      </c>
      <c r="B131" s="1266">
        <v>3</v>
      </c>
      <c r="C131" s="324"/>
      <c r="D131" s="324"/>
      <c r="E131" s="324"/>
      <c r="F131" s="324"/>
    </row>
    <row r="132" spans="1:6">
      <c r="A132" s="1260" t="s">
        <v>286</v>
      </c>
      <c r="B132" s="1261">
        <v>37</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235148.82147084604</v>
      </c>
      <c r="C3" s="43" t="s">
        <v>163</v>
      </c>
      <c r="D3" s="43"/>
      <c r="E3" s="153"/>
      <c r="F3" s="43"/>
      <c r="G3" s="43"/>
      <c r="H3" s="43"/>
      <c r="I3" s="43"/>
      <c r="J3" s="43"/>
      <c r="K3" s="96"/>
    </row>
    <row r="4" spans="1:11">
      <c r="A4" s="350" t="s">
        <v>164</v>
      </c>
      <c r="B4" s="49">
        <f>IF(ISERROR('SEAP template'!B78+'SEAP template'!C78),0,'SEAP template'!B78+'SEAP template'!C78)</f>
        <v>73988.019262233691</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5152.4258823529417</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0.17337515414896881</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7360.6084033613461</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30972.857142857145</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0.23764705882352943</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1711.16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1711.16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0.17337515414896881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296.67262877354949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33013.174088914398</v>
      </c>
      <c r="C5" s="17">
        <f>IF(ISERROR('Eigen informatie GS &amp; warmtenet'!B59),0,'Eigen informatie GS &amp; warmtenet'!B59)</f>
        <v>0</v>
      </c>
      <c r="D5" s="30">
        <f>(SUM(HH_hh_gas_kWh,HH_rest_gas_kWh)/1000)*0.903</f>
        <v>112086.22817879182</v>
      </c>
      <c r="E5" s="17">
        <f>B32*B41</f>
        <v>1758.3341181925155</v>
      </c>
      <c r="F5" s="17">
        <f>B36*B45</f>
        <v>31852.459666729268</v>
      </c>
      <c r="G5" s="18"/>
      <c r="H5" s="17"/>
      <c r="I5" s="17"/>
      <c r="J5" s="17">
        <f>B35*B44+C35*C44</f>
        <v>201.48270075199775</v>
      </c>
      <c r="K5" s="17"/>
      <c r="L5" s="17"/>
      <c r="M5" s="17"/>
      <c r="N5" s="17">
        <f>B34*B43+C34*C43</f>
        <v>12295.003912186186</v>
      </c>
      <c r="O5" s="17">
        <f>B52*B53*B54</f>
        <v>722.16079185687954</v>
      </c>
      <c r="P5" s="17">
        <f>B60*B61*B62/1000-B60*B61*B62/1000/B63</f>
        <v>1422.0845065374783</v>
      </c>
    </row>
    <row r="6" spans="1:16">
      <c r="A6" s="16" t="s">
        <v>572</v>
      </c>
      <c r="B6" s="740">
        <f>kWh_PV_kleiner_dan_10kW</f>
        <v>8668.503121801501</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41681.677210715898</v>
      </c>
      <c r="C8" s="21">
        <f>C5</f>
        <v>0</v>
      </c>
      <c r="D8" s="21">
        <f>D5</f>
        <v>112086.22817879182</v>
      </c>
      <c r="E8" s="21">
        <f>E5</f>
        <v>1758.3341181925155</v>
      </c>
      <c r="F8" s="21">
        <f>F5</f>
        <v>31852.459666729268</v>
      </c>
      <c r="G8" s="21"/>
      <c r="H8" s="21"/>
      <c r="I8" s="21"/>
      <c r="J8" s="21">
        <f>J5</f>
        <v>201.48270075199775</v>
      </c>
      <c r="K8" s="21"/>
      <c r="L8" s="21">
        <f>L5</f>
        <v>0</v>
      </c>
      <c r="M8" s="21">
        <f>M5</f>
        <v>0</v>
      </c>
      <c r="N8" s="21">
        <f>N5</f>
        <v>12295.003912186186</v>
      </c>
      <c r="O8" s="21">
        <f>O5</f>
        <v>722.16079185687954</v>
      </c>
      <c r="P8" s="21">
        <f>P5</f>
        <v>1422.0845065374783</v>
      </c>
    </row>
    <row r="9" spans="1:16">
      <c r="B9" s="19"/>
      <c r="C9" s="19"/>
      <c r="D9" s="253"/>
      <c r="E9" s="19"/>
      <c r="F9" s="19"/>
      <c r="G9" s="19"/>
      <c r="H9" s="19"/>
      <c r="I9" s="19"/>
      <c r="J9" s="19"/>
      <c r="K9" s="19"/>
      <c r="L9" s="19"/>
      <c r="M9" s="19"/>
      <c r="N9" s="19"/>
      <c r="O9" s="19"/>
      <c r="P9" s="19"/>
    </row>
    <row r="10" spans="1:16">
      <c r="A10" s="24" t="s">
        <v>207</v>
      </c>
      <c r="B10" s="25">
        <f ca="1">'EF ele_warmte'!B12</f>
        <v>0.17337515414896881</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7226.5672115954294</v>
      </c>
      <c r="C12" s="23">
        <f ca="1">C10*C8</f>
        <v>0</v>
      </c>
      <c r="D12" s="23">
        <f>D8*D10</f>
        <v>22641.41809211595</v>
      </c>
      <c r="E12" s="23">
        <f>E10*E8</f>
        <v>399.14184482970103</v>
      </c>
      <c r="F12" s="23">
        <f>F10*F8</f>
        <v>8504.6067310167145</v>
      </c>
      <c r="G12" s="23"/>
      <c r="H12" s="23"/>
      <c r="I12" s="23"/>
      <c r="J12" s="23">
        <f>J10*J8</f>
        <v>71.324876066207196</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10589</v>
      </c>
      <c r="C26" s="36"/>
      <c r="D26" s="224"/>
    </row>
    <row r="27" spans="1:5" s="15" customFormat="1">
      <c r="A27" s="226" t="s">
        <v>826</v>
      </c>
      <c r="B27" s="37">
        <f>SUM(HH_hh_gas_aantal,HH_rest_gas_aantal)</f>
        <v>8336</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7919.2</v>
      </c>
      <c r="C31" s="34" t="s">
        <v>104</v>
      </c>
      <c r="D31" s="170"/>
    </row>
    <row r="32" spans="1:5">
      <c r="A32" s="167" t="s">
        <v>72</v>
      </c>
      <c r="B32" s="33">
        <f>IF((B21*($B$26-($B$27-0.05*$B$27)-$B$60))&lt;0,0,(B21*($B$26-($B$27-0.05*$B$27)-$B$60)))</f>
        <v>40.360662504745498</v>
      </c>
      <c r="C32" s="34" t="s">
        <v>104</v>
      </c>
      <c r="D32" s="170"/>
    </row>
    <row r="33" spans="1:6">
      <c r="A33" s="167" t="s">
        <v>73</v>
      </c>
      <c r="B33" s="33">
        <f>IF((B22*($B$26-($B$27-0.05*$B$27)-$B$60))&lt;0,0,B22*($B$26-($B$27-0.05*$B$27)-$B$60))</f>
        <v>655.37722390761689</v>
      </c>
      <c r="C33" s="34" t="s">
        <v>104</v>
      </c>
      <c r="D33" s="170"/>
    </row>
    <row r="34" spans="1:6">
      <c r="A34" s="167" t="s">
        <v>74</v>
      </c>
      <c r="B34" s="33">
        <f>IF((B24*($B$26-($B$27-0.05*$B$27)-$B$60))&lt;0,0,B24*($B$26-($B$27-0.05*$B$27)-$B$60))</f>
        <v>286.56732288223736</v>
      </c>
      <c r="C34" s="33">
        <f>B26*C24</f>
        <v>1778.9501515465065</v>
      </c>
      <c r="D34" s="229"/>
    </row>
    <row r="35" spans="1:6">
      <c r="A35" s="167" t="s">
        <v>76</v>
      </c>
      <c r="B35" s="33">
        <f>IF((B19*($B$26-($B$27-0.05*$B$27)-$B$60))&lt;0,0,B19*($B$26-($B$27-0.05*$B$27)-$B$60))</f>
        <v>17.544683768359715</v>
      </c>
      <c r="C35" s="33">
        <f>B35/2</f>
        <v>8.7723418841798573</v>
      </c>
      <c r="D35" s="229"/>
    </row>
    <row r="36" spans="1:6">
      <c r="A36" s="167" t="s">
        <v>77</v>
      </c>
      <c r="B36" s="33">
        <f>IF((B18*($B$26-($B$27-0.05*$B$27)-$B$60))&lt;0,0,B18*($B$26-($B$27-0.05*$B$27)-$B$60))</f>
        <v>1534.9501069370401</v>
      </c>
      <c r="C36" s="34" t="s">
        <v>104</v>
      </c>
      <c r="D36" s="170"/>
    </row>
    <row r="37" spans="1:6">
      <c r="A37" s="167" t="s">
        <v>78</v>
      </c>
      <c r="B37" s="33">
        <f>B60</f>
        <v>135</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364</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135</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34688.159020303741</v>
      </c>
      <c r="C5" s="17">
        <f>IF(ISERROR('Eigen informatie GS &amp; warmtenet'!B60),0,'Eigen informatie GS &amp; warmtenet'!B60)</f>
        <v>0</v>
      </c>
      <c r="D5" s="30">
        <f>SUM(D6:D12)</f>
        <v>38156.448472457414</v>
      </c>
      <c r="E5" s="17">
        <f>SUM(E6:E12)</f>
        <v>170.8311420588488</v>
      </c>
      <c r="F5" s="17">
        <f>SUM(F6:F12)</f>
        <v>8970.1499870004573</v>
      </c>
      <c r="G5" s="18"/>
      <c r="H5" s="17"/>
      <c r="I5" s="17"/>
      <c r="J5" s="17">
        <f>SUM(J6:J12)</f>
        <v>6.9944681843004772E-2</v>
      </c>
      <c r="K5" s="17"/>
      <c r="L5" s="17"/>
      <c r="M5" s="17"/>
      <c r="N5" s="17">
        <f>SUM(N6:N12)</f>
        <v>2702.7541666717798</v>
      </c>
      <c r="O5" s="17">
        <f>B38*B39*B40</f>
        <v>4.8972607658411542</v>
      </c>
      <c r="P5" s="17">
        <f>B46*B47*B48/1000-B46*B47*B48/1000/B49</f>
        <v>262.69569153247511</v>
      </c>
      <c r="R5" s="32"/>
    </row>
    <row r="6" spans="1:18">
      <c r="A6" s="32" t="s">
        <v>53</v>
      </c>
      <c r="B6" s="37">
        <f>B26</f>
        <v>12312.760096333099</v>
      </c>
      <c r="C6" s="33"/>
      <c r="D6" s="37">
        <f>IF(ISERROR(TER_kantoor_gas_kWh/1000),0,TER_kantoor_gas_kWh/1000)*0.903</f>
        <v>12350.213133819927</v>
      </c>
      <c r="E6" s="33">
        <f>$C$26*'E Balans VL '!I12/100/3.6*1000000</f>
        <v>2.9335702003626976</v>
      </c>
      <c r="F6" s="33">
        <f>$C$26*('E Balans VL '!L12+'E Balans VL '!N12)/100/3.6*1000000</f>
        <v>1202.3063000548136</v>
      </c>
      <c r="G6" s="34"/>
      <c r="H6" s="33"/>
      <c r="I6" s="33"/>
      <c r="J6" s="33">
        <f>$C$26*('E Balans VL '!D12+'E Balans VL '!E12)/100/3.6*1000000</f>
        <v>0</v>
      </c>
      <c r="K6" s="33"/>
      <c r="L6" s="33"/>
      <c r="M6" s="33"/>
      <c r="N6" s="33">
        <f>$C$26*'E Balans VL '!Y12/100/3.6*1000000</f>
        <v>16.463557286659196</v>
      </c>
      <c r="O6" s="33"/>
      <c r="P6" s="33"/>
      <c r="R6" s="32"/>
    </row>
    <row r="7" spans="1:18">
      <c r="A7" s="32" t="s">
        <v>52</v>
      </c>
      <c r="B7" s="37">
        <f t="shared" ref="B7:B12" si="0">B27</f>
        <v>2240.1936201451003</v>
      </c>
      <c r="C7" s="33"/>
      <c r="D7" s="37">
        <f>IF(ISERROR(TER_horeca_gas_kWh/1000),0,TER_horeca_gas_kWh/1000)*0.903</f>
        <v>3994.2343627852533</v>
      </c>
      <c r="E7" s="33">
        <f>$C$27*'E Balans VL '!I9/100/3.6*1000000</f>
        <v>0</v>
      </c>
      <c r="F7" s="33">
        <f>$C$27*('E Balans VL '!L9+'E Balans VL '!N9)/100/3.6*1000000</f>
        <v>182.53523832855328</v>
      </c>
      <c r="G7" s="34"/>
      <c r="H7" s="33"/>
      <c r="I7" s="33"/>
      <c r="J7" s="33">
        <f>$C$27*('E Balans VL '!D9+'E Balans VL '!E9)/100/3.6*1000000</f>
        <v>0</v>
      </c>
      <c r="K7" s="33"/>
      <c r="L7" s="33"/>
      <c r="M7" s="33"/>
      <c r="N7" s="33">
        <f>$C$27*'E Balans VL '!Y9/100/3.6*1000000</f>
        <v>16.146032969961034</v>
      </c>
      <c r="O7" s="33"/>
      <c r="P7" s="33"/>
      <c r="R7" s="32"/>
    </row>
    <row r="8" spans="1:18">
      <c r="A8" s="6" t="s">
        <v>51</v>
      </c>
      <c r="B8" s="37">
        <f t="shared" si="0"/>
        <v>9787.9846647440609</v>
      </c>
      <c r="C8" s="33"/>
      <c r="D8" s="37">
        <f>IF(ISERROR(TER_handel_gas_kWh/1000),0,TER_handel_gas_kWh/1000)*0.903</f>
        <v>4782.0274500414207</v>
      </c>
      <c r="E8" s="33">
        <f>$C$28*'E Balans VL '!I13/100/3.6*1000000</f>
        <v>78.241377107162066</v>
      </c>
      <c r="F8" s="33">
        <f>$C$28*('E Balans VL '!L13+'E Balans VL '!N13)/100/3.6*1000000</f>
        <v>972.37543077961743</v>
      </c>
      <c r="G8" s="34"/>
      <c r="H8" s="33"/>
      <c r="I8" s="33"/>
      <c r="J8" s="33">
        <f>$C$28*('E Balans VL '!D13+'E Balans VL '!E13)/100/3.6*1000000</f>
        <v>0</v>
      </c>
      <c r="K8" s="33"/>
      <c r="L8" s="33"/>
      <c r="M8" s="33"/>
      <c r="N8" s="33">
        <f>$C$28*'E Balans VL '!Y13/100/3.6*1000000</f>
        <v>3.6563948919103519</v>
      </c>
      <c r="O8" s="33"/>
      <c r="P8" s="33"/>
      <c r="R8" s="32"/>
    </row>
    <row r="9" spans="1:18">
      <c r="A9" s="32" t="s">
        <v>50</v>
      </c>
      <c r="B9" s="37">
        <f t="shared" si="0"/>
        <v>2615.7039429340198</v>
      </c>
      <c r="C9" s="33"/>
      <c r="D9" s="37">
        <f>IF(ISERROR(TER_gezond_gas_kWh/1000),0,TER_gezond_gas_kWh/1000)*0.903</f>
        <v>6126.484585348112</v>
      </c>
      <c r="E9" s="33">
        <f>$C$29*'E Balans VL '!I10/100/3.6*1000000</f>
        <v>0</v>
      </c>
      <c r="F9" s="33">
        <f>$C$29*('E Balans VL '!L10+'E Balans VL '!N10)/100/3.6*1000000</f>
        <v>238.46403911642574</v>
      </c>
      <c r="G9" s="34"/>
      <c r="H9" s="33"/>
      <c r="I9" s="33"/>
      <c r="J9" s="33">
        <f>$C$29*('E Balans VL '!D10+'E Balans VL '!E10)/100/3.6*1000000</f>
        <v>0</v>
      </c>
      <c r="K9" s="33"/>
      <c r="L9" s="33"/>
      <c r="M9" s="33"/>
      <c r="N9" s="33">
        <f>$C$29*'E Balans VL '!Y10/100/3.6*1000000</f>
        <v>19.11845173348777</v>
      </c>
      <c r="O9" s="33"/>
      <c r="P9" s="33"/>
      <c r="R9" s="32"/>
    </row>
    <row r="10" spans="1:18">
      <c r="A10" s="32" t="s">
        <v>49</v>
      </c>
      <c r="B10" s="37">
        <f t="shared" si="0"/>
        <v>6915.5123157374701</v>
      </c>
      <c r="C10" s="33"/>
      <c r="D10" s="37">
        <f>IF(ISERROR(TER_ander_gas_kWh/1000),0,TER_ander_gas_kWh/1000)*0.903</f>
        <v>8056.9685637830016</v>
      </c>
      <c r="E10" s="33">
        <f>$C$30*'E Balans VL '!I14/100/3.6*1000000</f>
        <v>89.656194751324051</v>
      </c>
      <c r="F10" s="33">
        <f>$C$30*('E Balans VL '!L14+'E Balans VL '!N14)/100/3.6*1000000</f>
        <v>6342.4957498961403</v>
      </c>
      <c r="G10" s="34"/>
      <c r="H10" s="33"/>
      <c r="I10" s="33"/>
      <c r="J10" s="33">
        <f>$C$30*('E Balans VL '!D14+'E Balans VL '!E14)/100/3.6*1000000</f>
        <v>6.9944681843004772E-2</v>
      </c>
      <c r="K10" s="33"/>
      <c r="L10" s="33"/>
      <c r="M10" s="33"/>
      <c r="N10" s="33">
        <f>$C$30*'E Balans VL '!Y14/100/3.6*1000000</f>
        <v>2644.7999303833417</v>
      </c>
      <c r="O10" s="33"/>
      <c r="P10" s="33"/>
      <c r="R10" s="32"/>
    </row>
    <row r="11" spans="1:18">
      <c r="A11" s="32" t="s">
        <v>54</v>
      </c>
      <c r="B11" s="37">
        <f t="shared" si="0"/>
        <v>816.004380409992</v>
      </c>
      <c r="C11" s="33"/>
      <c r="D11" s="37">
        <f>IF(ISERROR(TER_onderwijs_gas_kWh/1000),0,TER_onderwijs_gas_kWh/1000)*0.903</f>
        <v>2846.5203766796985</v>
      </c>
      <c r="E11" s="33">
        <f>$C$31*'E Balans VL '!I11/100/3.6*1000000</f>
        <v>0</v>
      </c>
      <c r="F11" s="33">
        <f>$C$31*('E Balans VL '!L11+'E Balans VL '!N11)/100/3.6*1000000</f>
        <v>31.973228824907821</v>
      </c>
      <c r="G11" s="34"/>
      <c r="H11" s="33"/>
      <c r="I11" s="33"/>
      <c r="J11" s="33">
        <f>$C$31*('E Balans VL '!D11+'E Balans VL '!E11)/100/3.6*1000000</f>
        <v>0</v>
      </c>
      <c r="K11" s="33"/>
      <c r="L11" s="33"/>
      <c r="M11" s="33"/>
      <c r="N11" s="33">
        <f>$C$31*'E Balans VL '!Y11/100/3.6*1000000</f>
        <v>2.5697994064196843</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energieproductie'!N42+'lokale energieproductie'!N35</f>
        <v>67.5</v>
      </c>
      <c r="C13" s="242">
        <f ca="1">'lokale energieproductie'!O42+'lokale energieproductie'!O35</f>
        <v>96.428571428571431</v>
      </c>
      <c r="D13" s="302">
        <f ca="1">('lokale energieproductie'!P35+'lokale energieproductie'!P42)*(-1)</f>
        <v>-192.85714285714286</v>
      </c>
      <c r="E13" s="243"/>
      <c r="F13" s="302">
        <f ca="1">('lokale energieproductie'!S35+'lokale energieproductie'!S42)*(-1)</f>
        <v>0</v>
      </c>
      <c r="G13" s="244"/>
      <c r="H13" s="243"/>
      <c r="I13" s="243"/>
      <c r="J13" s="243"/>
      <c r="K13" s="243"/>
      <c r="L13" s="302">
        <f ca="1">('lokale energieproductie'!U35+'lokale energieproductie'!T35+'lokale energieproductie'!U42+'lokale energieproductie'!T42)*(-1)</f>
        <v>0</v>
      </c>
      <c r="M13" s="243"/>
      <c r="N13" s="302">
        <f ca="1">('lokale energieproductie'!Q35+'lokale energieproductie'!R35+'lokale energieproductie'!V35+'lokale energieproductie'!Q42+'lokale energieproductie'!R42+'lokale energieproductie'!V42)*(-1)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34755.659020303741</v>
      </c>
      <c r="C16" s="21">
        <f t="shared" ca="1" si="1"/>
        <v>96.428571428571431</v>
      </c>
      <c r="D16" s="21">
        <f t="shared" ca="1" si="1"/>
        <v>37963.591329600269</v>
      </c>
      <c r="E16" s="21">
        <f t="shared" si="1"/>
        <v>170.8311420588488</v>
      </c>
      <c r="F16" s="21">
        <f t="shared" ca="1" si="1"/>
        <v>8970.1499870004573</v>
      </c>
      <c r="G16" s="21">
        <f t="shared" si="1"/>
        <v>0</v>
      </c>
      <c r="H16" s="21">
        <f t="shared" si="1"/>
        <v>0</v>
      </c>
      <c r="I16" s="21">
        <f t="shared" si="1"/>
        <v>0</v>
      </c>
      <c r="J16" s="21">
        <f t="shared" si="1"/>
        <v>6.9944681843004772E-2</v>
      </c>
      <c r="K16" s="21">
        <f t="shared" si="1"/>
        <v>0</v>
      </c>
      <c r="L16" s="21">
        <f t="shared" ca="1" si="1"/>
        <v>0</v>
      </c>
      <c r="M16" s="21">
        <f t="shared" si="1"/>
        <v>0</v>
      </c>
      <c r="N16" s="21">
        <f t="shared" ca="1" si="1"/>
        <v>2702.7541666717798</v>
      </c>
      <c r="O16" s="21">
        <f>O5</f>
        <v>4.8972607658411542</v>
      </c>
      <c r="P16" s="21">
        <f>P5</f>
        <v>262.69569153247511</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0.17337515414896881</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6025.7677401941592</v>
      </c>
      <c r="C20" s="23">
        <f t="shared" ref="C20:P20" ca="1" si="2">C16*C18</f>
        <v>22.915966386554626</v>
      </c>
      <c r="D20" s="23">
        <f t="shared" ca="1" si="2"/>
        <v>7668.6454485792547</v>
      </c>
      <c r="E20" s="23">
        <f t="shared" si="2"/>
        <v>38.778669247358678</v>
      </c>
      <c r="F20" s="23">
        <f t="shared" ca="1" si="2"/>
        <v>2395.030046529122</v>
      </c>
      <c r="G20" s="23">
        <f t="shared" si="2"/>
        <v>0</v>
      </c>
      <c r="H20" s="23">
        <f t="shared" si="2"/>
        <v>0</v>
      </c>
      <c r="I20" s="23">
        <f t="shared" si="2"/>
        <v>0</v>
      </c>
      <c r="J20" s="23">
        <f t="shared" si="2"/>
        <v>2.4760417372423689E-2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12312.760096333099</v>
      </c>
      <c r="C26" s="39">
        <f>IF(ISERROR(B26*3.6/1000000/'E Balans VL '!Z12*100),0,B26*3.6/1000000/'E Balans VL '!Z12*100)</f>
        <v>0.35337708322121986</v>
      </c>
      <c r="D26" s="232" t="s">
        <v>802</v>
      </c>
      <c r="F26" s="6"/>
    </row>
    <row r="27" spans="1:18" ht="30">
      <c r="A27" s="227" t="s">
        <v>52</v>
      </c>
      <c r="B27" s="33">
        <f>IF(ISERROR(TER_horeca_ele_kWh/1000),0,TER_horeca_ele_kWh/1000)</f>
        <v>2240.1936201451003</v>
      </c>
      <c r="C27" s="39">
        <f>IF(ISERROR(B27*3.6/1000000/'E Balans VL '!Z9*100),0,B27*3.6/1000000/'E Balans VL '!Z9*100)</f>
        <v>0.16411737772003293</v>
      </c>
      <c r="D27" s="232" t="s">
        <v>802</v>
      </c>
      <c r="F27" s="6"/>
    </row>
    <row r="28" spans="1:18" ht="30">
      <c r="A28" s="167" t="s">
        <v>51</v>
      </c>
      <c r="B28" s="33">
        <f>IF(ISERROR(TER_handel_ele_kWh/1000),0,TER_handel_ele_kWh/1000)</f>
        <v>9787.9846647440609</v>
      </c>
      <c r="C28" s="39">
        <f>IF(ISERROR(B28*3.6/1000000/'E Balans VL '!Z13*100),0,B28*3.6/1000000/'E Balans VL '!Z13*100)</f>
        <v>0.30245698182934055</v>
      </c>
      <c r="D28" s="232" t="s">
        <v>802</v>
      </c>
      <c r="F28" s="6"/>
    </row>
    <row r="29" spans="1:18" ht="30">
      <c r="A29" s="227" t="s">
        <v>50</v>
      </c>
      <c r="B29" s="33">
        <f>IF(ISERROR(TER_gezond_ele_kWh/1000),0,TER_gezond_ele_kWh/1000)</f>
        <v>2615.7039429340198</v>
      </c>
      <c r="C29" s="39">
        <f>IF(ISERROR(B29*3.6/1000000/'E Balans VL '!Z10*100),0,B29*3.6/1000000/'E Balans VL '!Z10*100)</f>
        <v>0.25635507025336907</v>
      </c>
      <c r="D29" s="232" t="s">
        <v>802</v>
      </c>
      <c r="F29" s="6"/>
    </row>
    <row r="30" spans="1:18" ht="30">
      <c r="A30" s="227" t="s">
        <v>49</v>
      </c>
      <c r="B30" s="33">
        <f>IF(ISERROR(TER_ander_ele_kWh/1000),0,TER_ander_ele_kWh/1000)</f>
        <v>6915.5123157374701</v>
      </c>
      <c r="C30" s="39">
        <f>IF(ISERROR(B30*3.6/1000000/'E Balans VL '!Z14*100),0,B30*3.6/1000000/'E Balans VL '!Z14*100)</f>
        <v>0.28646286079046318</v>
      </c>
      <c r="D30" s="232" t="s">
        <v>802</v>
      </c>
      <c r="F30" s="6"/>
    </row>
    <row r="31" spans="1:18" ht="30">
      <c r="A31" s="227" t="s">
        <v>54</v>
      </c>
      <c r="B31" s="33">
        <f>IF(ISERROR(TER_onderwijs_ele_kWh/1000),0,TER_onderwijs_ele_kWh/1000)</f>
        <v>816.004380409992</v>
      </c>
      <c r="C31" s="39">
        <f>IF(ISERROR(B31*3.6/1000000/'E Balans VL '!Z11*100),0,B31*3.6/1000000/'E Balans VL '!Z11*100)</f>
        <v>0.25073333742882492</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1</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5</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139140.14925306488</v>
      </c>
      <c r="C5" s="17">
        <f>IF(ISERROR('Eigen informatie GS &amp; warmtenet'!B61),0,'Eigen informatie GS &amp; warmtenet'!B61)</f>
        <v>0</v>
      </c>
      <c r="D5" s="30">
        <f>SUM(D6:D15)</f>
        <v>178227.51384219655</v>
      </c>
      <c r="E5" s="17">
        <f>SUM(E6:E15)</f>
        <v>15998.517617503916</v>
      </c>
      <c r="F5" s="17">
        <f>SUM(F6:F15)</f>
        <v>7588.805486700222</v>
      </c>
      <c r="G5" s="18"/>
      <c r="H5" s="17"/>
      <c r="I5" s="17"/>
      <c r="J5" s="17">
        <f>SUM(J6:J15)</f>
        <v>55.595500592833119</v>
      </c>
      <c r="K5" s="17"/>
      <c r="L5" s="17"/>
      <c r="M5" s="17"/>
      <c r="N5" s="17">
        <f>SUM(N6:N15)</f>
        <v>3201.3891546947902</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1359.6301023808101</v>
      </c>
      <c r="C8" s="33"/>
      <c r="D8" s="37">
        <f>IF( ISERROR(IND_metaal_Gas_kWH/1000),0,IND_metaal_Gas_kWH/1000)*0.903</f>
        <v>3180.4362426136017</v>
      </c>
      <c r="E8" s="33">
        <f>C30*'E Balans VL '!I18/100/3.6*1000000</f>
        <v>7.4115557325514487</v>
      </c>
      <c r="F8" s="33">
        <f>C30*'E Balans VL '!L18/100/3.6*1000000+C30*'E Balans VL '!N18/100/3.6*1000000</f>
        <v>87.560282445544487</v>
      </c>
      <c r="G8" s="34"/>
      <c r="H8" s="33"/>
      <c r="I8" s="33"/>
      <c r="J8" s="40">
        <f>C30*'E Balans VL '!D18/100/3.6*1000000+C30*'E Balans VL '!E18/100/3.6*1000000</f>
        <v>1.1137028993652576</v>
      </c>
      <c r="K8" s="33"/>
      <c r="L8" s="33"/>
      <c r="M8" s="33"/>
      <c r="N8" s="33">
        <f>C30*'E Balans VL '!Y18/100/3.6*1000000</f>
        <v>29.156491100490275</v>
      </c>
      <c r="O8" s="33"/>
      <c r="P8" s="33"/>
      <c r="R8" s="32"/>
    </row>
    <row r="9" spans="1:18">
      <c r="A9" s="6" t="s">
        <v>32</v>
      </c>
      <c r="B9" s="37">
        <f t="shared" si="0"/>
        <v>8782.5492187237796</v>
      </c>
      <c r="C9" s="33"/>
      <c r="D9" s="37">
        <f>IF( ISERROR(IND_andere_gas_kWh/1000),0,IND_andere_gas_kWh/1000)*0.903</f>
        <v>2330.270067756192</v>
      </c>
      <c r="E9" s="33">
        <f>C31*'E Balans VL '!I19/100/3.6*1000000</f>
        <v>28.351564551052228</v>
      </c>
      <c r="F9" s="33">
        <f>C31*'E Balans VL '!L19/100/3.6*1000000+C31*'E Balans VL '!N19/100/3.6*1000000</f>
        <v>5678.8652683775763</v>
      </c>
      <c r="G9" s="34"/>
      <c r="H9" s="33"/>
      <c r="I9" s="33"/>
      <c r="J9" s="40">
        <f>C31*'E Balans VL '!D19/100/3.6*1000000+C31*'E Balans VL '!E19/100/3.6*1000000</f>
        <v>0</v>
      </c>
      <c r="K9" s="33"/>
      <c r="L9" s="33"/>
      <c r="M9" s="33"/>
      <c r="N9" s="33">
        <f>C31*'E Balans VL '!Y19/100/3.6*1000000</f>
        <v>356.60867682533393</v>
      </c>
      <c r="O9" s="33"/>
      <c r="P9" s="33"/>
      <c r="R9" s="32"/>
    </row>
    <row r="10" spans="1:18">
      <c r="A10" s="6" t="s">
        <v>40</v>
      </c>
      <c r="B10" s="37">
        <f t="shared" si="0"/>
        <v>50815.8821696093</v>
      </c>
      <c r="C10" s="33"/>
      <c r="D10" s="37">
        <f>IF( ISERROR(IND_voed_gas_kWh/1000),0,IND_voed_gas_kWh/1000)*0.903</f>
        <v>57186.25378008707</v>
      </c>
      <c r="E10" s="33">
        <f>C32*'E Balans VL '!I20/100/3.6*1000000</f>
        <v>107.14140445687099</v>
      </c>
      <c r="F10" s="33">
        <f>C32*'E Balans VL '!L20/100/3.6*1000000+C32*'E Balans VL '!N20/100/3.6*1000000</f>
        <v>1080.5975126554224</v>
      </c>
      <c r="G10" s="34"/>
      <c r="H10" s="33"/>
      <c r="I10" s="33"/>
      <c r="J10" s="40">
        <f>C32*'E Balans VL '!D20/100/3.6*1000000+C32*'E Balans VL '!E20/100/3.6*1000000</f>
        <v>0</v>
      </c>
      <c r="K10" s="33"/>
      <c r="L10" s="33"/>
      <c r="M10" s="33"/>
      <c r="N10" s="33">
        <f>C32*'E Balans VL '!Y20/100/3.6*1000000</f>
        <v>2021.3149104342672</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1510.31364056445</v>
      </c>
      <c r="C12" s="33"/>
      <c r="D12" s="37">
        <f>IF( ISERROR(IND_min_gas_kWh/1000),0,IND_min_gas_kWh/1000)*0.903</f>
        <v>217.22344630727173</v>
      </c>
      <c r="E12" s="33">
        <f>C34*'E Balans VL '!I22/100/3.6*1000000</f>
        <v>24.716371664465846</v>
      </c>
      <c r="F12" s="33">
        <f>C34*'E Balans VL '!L22/100/3.6*1000000+C34*'E Balans VL '!N22/100/3.6*1000000</f>
        <v>230.52570794893865</v>
      </c>
      <c r="G12" s="34"/>
      <c r="H12" s="33"/>
      <c r="I12" s="33"/>
      <c r="J12" s="40">
        <f>C34*'E Balans VL '!D22/100/3.6*1000000+C34*'E Balans VL '!E22/100/3.6*1000000</f>
        <v>54.048938251299873</v>
      </c>
      <c r="K12" s="33"/>
      <c r="L12" s="33"/>
      <c r="M12" s="33"/>
      <c r="N12" s="33">
        <f>C34*'E Balans VL '!Y22/100/3.6*1000000</f>
        <v>827.68392971984179</v>
      </c>
      <c r="O12" s="33"/>
      <c r="P12" s="33"/>
      <c r="R12" s="32"/>
    </row>
    <row r="13" spans="1:18">
      <c r="A13" s="6" t="s">
        <v>38</v>
      </c>
      <c r="B13" s="37">
        <f t="shared" si="0"/>
        <v>829.12838903148793</v>
      </c>
      <c r="C13" s="33"/>
      <c r="D13" s="37">
        <f>IF( ISERROR(IND_papier_gas_kWh/1000),0,IND_papier_gas_kWh/1000)*0.903</f>
        <v>0</v>
      </c>
      <c r="E13" s="33">
        <f>C35*'E Balans VL '!I23/100/3.6*1000000</f>
        <v>0</v>
      </c>
      <c r="F13" s="33">
        <f>C35*'E Balans VL '!L23/100/3.6*1000000+C35*'E Balans VL '!N23/100/3.6*1000000</f>
        <v>0.11106436167495275</v>
      </c>
      <c r="G13" s="34"/>
      <c r="H13" s="33"/>
      <c r="I13" s="33"/>
      <c r="J13" s="40">
        <f>C35*'E Balans VL '!D23/100/3.6*1000000+C35*'E Balans VL '!E23/100/3.6*1000000</f>
        <v>0.16400681220189159</v>
      </c>
      <c r="K13" s="33"/>
      <c r="L13" s="33"/>
      <c r="M13" s="33"/>
      <c r="N13" s="33">
        <f>C35*'E Balans VL '!Y23/100/3.6*1000000</f>
        <v>-61.388410151985767</v>
      </c>
      <c r="O13" s="33"/>
      <c r="P13" s="33"/>
      <c r="R13" s="32"/>
    </row>
    <row r="14" spans="1:18">
      <c r="A14" s="6" t="s">
        <v>33</v>
      </c>
      <c r="B14" s="37">
        <f t="shared" si="0"/>
        <v>75793.128880707998</v>
      </c>
      <c r="C14" s="33"/>
      <c r="D14" s="37">
        <f>IF( ISERROR(IND_chemie_gas_kWh/1000),0,IND_chemie_gas_kWh/1000)*0.903</f>
        <v>115224.00845005232</v>
      </c>
      <c r="E14" s="33">
        <f>C36*'E Balans VL '!I24/100/3.6*1000000</f>
        <v>15827.981369544777</v>
      </c>
      <c r="F14" s="33">
        <f>C36*'E Balans VL '!L24/100/3.6*1000000+C36*'E Balans VL '!N24/100/3.6*1000000</f>
        <v>503.56662998976407</v>
      </c>
      <c r="G14" s="34"/>
      <c r="H14" s="33"/>
      <c r="I14" s="33"/>
      <c r="J14" s="40">
        <f>C36*'E Balans VL '!D24/100/3.6*1000000+C36*'E Balans VL '!E24/100/3.6*1000000</f>
        <v>0</v>
      </c>
      <c r="K14" s="33"/>
      <c r="L14" s="33"/>
      <c r="M14" s="33"/>
      <c r="N14" s="33">
        <f>C36*'E Balans VL '!Y24/100/3.6*1000000</f>
        <v>26.448261910063898</v>
      </c>
      <c r="O14" s="33"/>
      <c r="P14" s="33"/>
      <c r="R14" s="32"/>
    </row>
    <row r="15" spans="1:18">
      <c r="A15" s="6" t="s">
        <v>259</v>
      </c>
      <c r="B15" s="37">
        <f t="shared" si="0"/>
        <v>49.516852047047998</v>
      </c>
      <c r="C15" s="33"/>
      <c r="D15" s="37">
        <f>IF( ISERROR(IND_rest_gas_kWh/1000),0,IND_rest_gas_kWh/1000)*0.903</f>
        <v>89.321855380096054</v>
      </c>
      <c r="E15" s="33">
        <f>C37*'E Balans VL '!I15/100/3.6*1000000</f>
        <v>2.9153515541992436</v>
      </c>
      <c r="F15" s="33">
        <f>C37*'E Balans VL '!L15/100/3.6*1000000+C37*'E Balans VL '!N15/100/3.6*1000000</f>
        <v>7.5790209213021376</v>
      </c>
      <c r="G15" s="34"/>
      <c r="H15" s="33"/>
      <c r="I15" s="33"/>
      <c r="J15" s="40">
        <f>C37*'E Balans VL '!D15/100/3.6*1000000+C37*'E Balans VL '!E15/100/3.6*1000000</f>
        <v>0.26885262996609793</v>
      </c>
      <c r="K15" s="33"/>
      <c r="L15" s="33"/>
      <c r="M15" s="33"/>
      <c r="N15" s="33">
        <f>C37*'E Balans VL '!Y15/100/3.6*1000000</f>
        <v>1.5652948567789138</v>
      </c>
      <c r="O15" s="33"/>
      <c r="P15" s="33"/>
      <c r="R15" s="32"/>
    </row>
    <row r="16" spans="1:18">
      <c r="A16" s="16" t="s">
        <v>466</v>
      </c>
      <c r="B16" s="242">
        <f>'lokale energieproductie'!N41+'lokale energieproductie'!N34</f>
        <v>14719.5</v>
      </c>
      <c r="C16" s="242">
        <f>'lokale energieproductie'!O41+'lokale energieproductie'!O34</f>
        <v>21027.857142857141</v>
      </c>
      <c r="D16" s="302">
        <f>('lokale energieproductie'!P34+'lokale energieproductie'!P41)*(-1)</f>
        <v>-42055.71428571429</v>
      </c>
      <c r="E16" s="243"/>
      <c r="F16" s="302">
        <f>('lokale energieproductie'!S34+'lokale energieproductie'!S41)*(-1)</f>
        <v>0</v>
      </c>
      <c r="G16" s="244"/>
      <c r="H16" s="243"/>
      <c r="I16" s="243"/>
      <c r="J16" s="243"/>
      <c r="K16" s="243"/>
      <c r="L16" s="302">
        <f>('lokale energieproductie'!T34+'lokale energieproductie'!U34+'lokale energieproductie'!T41+'lokale energieproductie'!U41)*(-1)</f>
        <v>0</v>
      </c>
      <c r="M16" s="243"/>
      <c r="N16" s="302">
        <f>('lokale energieproductie'!Q34+'lokale energieproductie'!R34+'lokale energieproductie'!V34+'lokale energieproductie'!Q41+'lokale energieproductie'!R41+'lokale energieproductie'!V41)*(-1)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153859.64925306488</v>
      </c>
      <c r="C18" s="21">
        <f>C5+C16</f>
        <v>21027.857142857141</v>
      </c>
      <c r="D18" s="21">
        <f>MAX((D5+D16),0)</f>
        <v>136171.79955648226</v>
      </c>
      <c r="E18" s="21">
        <f>MAX((E5+E16),0)</f>
        <v>15998.517617503916</v>
      </c>
      <c r="F18" s="21">
        <f>MAX((F5+F16),0)</f>
        <v>7588.805486700222</v>
      </c>
      <c r="G18" s="21"/>
      <c r="H18" s="21"/>
      <c r="I18" s="21"/>
      <c r="J18" s="21">
        <f>MAX((J5+J16),0)</f>
        <v>55.595500592833119</v>
      </c>
      <c r="K18" s="21"/>
      <c r="L18" s="21">
        <f>MAX((L5+L16),0)</f>
        <v>0</v>
      </c>
      <c r="M18" s="21"/>
      <c r="N18" s="21">
        <f>MAX((N5+N16),0)</f>
        <v>3201.3891546947902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0.17337515414896881</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26675.440406556398</v>
      </c>
      <c r="C22" s="23">
        <f ca="1">C18*C20</f>
        <v>4997.2084033613446</v>
      </c>
      <c r="D22" s="23">
        <f>D18*D20</f>
        <v>27506.703510409418</v>
      </c>
      <c r="E22" s="23">
        <f>E18*E20</f>
        <v>3631.663499173389</v>
      </c>
      <c r="F22" s="23">
        <f>F18*F20</f>
        <v>2026.2110649489593</v>
      </c>
      <c r="G22" s="23"/>
      <c r="H22" s="23"/>
      <c r="I22" s="23"/>
      <c r="J22" s="23">
        <f>J18*J20</f>
        <v>19.680807209862923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1359.6301023808101</v>
      </c>
      <c r="C30" s="39">
        <f>IF(ISERROR(B30*3.6/1000000/'E Balans VL '!Z18*100),0,B30*3.6/1000000/'E Balans VL '!Z18*100)</f>
        <v>8.1873196604348372E-2</v>
      </c>
      <c r="D30" s="232" t="s">
        <v>802</v>
      </c>
    </row>
    <row r="31" spans="1:18" ht="30">
      <c r="A31" s="6" t="s">
        <v>32</v>
      </c>
      <c r="B31" s="37">
        <f>IF( ISERROR(IND_ander_ele_kWh/1000),0,IND_ander_ele_kWh/1000)</f>
        <v>8782.5492187237796</v>
      </c>
      <c r="C31" s="39">
        <f>IF(ISERROR(B31*3.6/1000000/'E Balans VL '!Z19*100),0,B31*3.6/1000000/'E Balans VL '!Z19*100)</f>
        <v>0.35781923714009384</v>
      </c>
      <c r="D31" s="232" t="s">
        <v>802</v>
      </c>
    </row>
    <row r="32" spans="1:18" ht="30">
      <c r="A32" s="167" t="s">
        <v>40</v>
      </c>
      <c r="B32" s="37">
        <f>IF( ISERROR(IND_voed_ele_kWh/1000),0,IND_voed_ele_kWh/1000)</f>
        <v>50815.8821696093</v>
      </c>
      <c r="C32" s="39">
        <f>IF(ISERROR(B32*3.6/1000000/'E Balans VL '!Z20*100),0,B32*3.6/1000000/'E Balans VL '!Z20*100)</f>
        <v>1.4692916519139423</v>
      </c>
      <c r="D32" s="232" t="s">
        <v>802</v>
      </c>
    </row>
    <row r="33" spans="1:5" ht="30">
      <c r="A33" s="167" t="s">
        <v>39</v>
      </c>
      <c r="B33" s="37">
        <f>IF( ISERROR(IND_textiel_ele_kWh/1000),0,IND_textiel_ele_kWh/1000)</f>
        <v>0</v>
      </c>
      <c r="C33" s="39">
        <f>IF(ISERROR(B33*3.6/1000000/'E Balans VL '!Z21*100),0,B33*3.6/1000000/'E Balans VL '!Z21*100)</f>
        <v>0</v>
      </c>
      <c r="D33" s="232" t="s">
        <v>802</v>
      </c>
    </row>
    <row r="34" spans="1:5" ht="30">
      <c r="A34" s="167" t="s">
        <v>36</v>
      </c>
      <c r="B34" s="37">
        <f>IF( ISERROR(IND_min_ele_kWh/1000),0,IND_min_ele_kWh/1000)</f>
        <v>1510.31364056445</v>
      </c>
      <c r="C34" s="39">
        <f>IF(ISERROR(B34*3.6/1000000/'E Balans VL '!Z22*100),0,B34*3.6/1000000/'E Balans VL '!Z22*100)</f>
        <v>0.64488989031114718</v>
      </c>
      <c r="D34" s="232" t="s">
        <v>802</v>
      </c>
    </row>
    <row r="35" spans="1:5" ht="30">
      <c r="A35" s="167" t="s">
        <v>38</v>
      </c>
      <c r="B35" s="37">
        <f>IF( ISERROR(IND_papier_ele_kWh/1000),0,IND_papier_ele_kWh/1000)</f>
        <v>829.12838903148793</v>
      </c>
      <c r="C35" s="39">
        <f>IF(ISERROR(B35*3.6/1000000/'E Balans VL '!Z22*100),0,B35*3.6/1000000/'E Balans VL '!Z22*100)</f>
        <v>0.35403011764929976</v>
      </c>
      <c r="D35" s="232" t="s">
        <v>802</v>
      </c>
    </row>
    <row r="36" spans="1:5" ht="30">
      <c r="A36" s="167" t="s">
        <v>33</v>
      </c>
      <c r="B36" s="37">
        <f>IF( ISERROR(IND_chemie_ele_kWh/1000),0,IND_chemie_ele_kWh/1000)</f>
        <v>75793.128880707998</v>
      </c>
      <c r="C36" s="39">
        <f>IF(ISERROR(B36*3.6/1000000/'E Balans VL '!Z24*100),0,B36*3.6/1000000/'E Balans VL '!Z24*100)</f>
        <v>2.2998488617446999</v>
      </c>
      <c r="D36" s="232" t="s">
        <v>802</v>
      </c>
    </row>
    <row r="37" spans="1:5" ht="30">
      <c r="A37" s="167" t="s">
        <v>259</v>
      </c>
      <c r="B37" s="37">
        <f>IF( ISERROR(IND_rest_ele_kWh/1000),0,IND_rest_ele_kWh/1000)</f>
        <v>49.516852047047998</v>
      </c>
      <c r="C37" s="39">
        <f>IF(ISERROR(B37*3.6/1000000/'E Balans VL '!Z15*100),0,B37*3.6/1000000/'E Balans VL '!Z15*100)</f>
        <v>4.0657086043814324E-4</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951.82511262354694</v>
      </c>
      <c r="C5" s="17">
        <f>'Eigen informatie GS &amp; warmtenet'!B62</f>
        <v>0</v>
      </c>
      <c r="D5" s="30">
        <f>IF(ISERROR(SUM(LB_lb_gas_kWh,LB_rest_gas_kWh)/1000),0,SUM(LB_lb_gas_kWh,LB_rest_gas_kWh)/1000)*0.903</f>
        <v>21170.431410890535</v>
      </c>
      <c r="E5" s="17">
        <f>B17*'E Balans VL '!I25/3.6*1000000/100</f>
        <v>33.91161966865441</v>
      </c>
      <c r="F5" s="17">
        <f>B17*('E Balans VL '!L25/3.6*1000000+'E Balans VL '!N25/3.6*1000000)/100</f>
        <v>3243.6407697468971</v>
      </c>
      <c r="G5" s="18"/>
      <c r="H5" s="17"/>
      <c r="I5" s="17"/>
      <c r="J5" s="17">
        <f>('E Balans VL '!D25+'E Balans VL '!E25)/3.6*1000000*landbouw!B17/100</f>
        <v>242.01923655486888</v>
      </c>
      <c r="K5" s="17"/>
      <c r="L5" s="17">
        <f>L6*(-1)</f>
        <v>0</v>
      </c>
      <c r="M5" s="17"/>
      <c r="N5" s="17">
        <f>N6*(-1)</f>
        <v>0</v>
      </c>
      <c r="O5" s="17"/>
      <c r="P5" s="17"/>
      <c r="R5" s="32"/>
    </row>
    <row r="6" spans="1:18">
      <c r="A6" s="16" t="s">
        <v>466</v>
      </c>
      <c r="B6" s="17" t="s">
        <v>204</v>
      </c>
      <c r="C6" s="17">
        <f>'lokale energieproductie'!O43+'lokale energieproductie'!O36</f>
        <v>9848.5714285714294</v>
      </c>
      <c r="D6" s="302">
        <f>('lokale energieproductie'!P36+'lokale energieproductie'!P43)*(-1)</f>
        <v>-19697.142857142859</v>
      </c>
      <c r="E6" s="243"/>
      <c r="F6" s="302">
        <f>('lokale energieproductie'!S36+'lokale energieproductie'!S43)*(-1)</f>
        <v>0</v>
      </c>
      <c r="G6" s="244"/>
      <c r="H6" s="243"/>
      <c r="I6" s="243"/>
      <c r="J6" s="243"/>
      <c r="K6" s="243"/>
      <c r="L6" s="302">
        <f>('lokale energieproductie'!T36+'lokale energieproductie'!U36+'lokale energieproductie'!T43+'lokale energieproductie'!U43)*(-1)</f>
        <v>0</v>
      </c>
      <c r="M6" s="243"/>
      <c r="N6" s="302">
        <f>('lokale energieproductie'!V36+'lokale energieproductie'!R36+'lokale energieproductie'!Q36+'lokale energieproductie'!Q43+'lokale energieproductie'!R43+'lokale energieproductie'!V43)*(-1)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951.82511262354694</v>
      </c>
      <c r="C8" s="21">
        <f>C5+C6</f>
        <v>9848.5714285714294</v>
      </c>
      <c r="D8" s="21">
        <f>MAX((D5+D6),0)</f>
        <v>1473.2885537476759</v>
      </c>
      <c r="E8" s="21">
        <f>MAX((E5+E6),0)</f>
        <v>33.91161966865441</v>
      </c>
      <c r="F8" s="21">
        <f>MAX((F5+F6),0)</f>
        <v>3243.6407697468971</v>
      </c>
      <c r="G8" s="21"/>
      <c r="H8" s="21"/>
      <c r="I8" s="21"/>
      <c r="J8" s="21">
        <f>MAX((J5+J6),0)</f>
        <v>242.01923655486888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0.17337515414896881</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165.02282562396707</v>
      </c>
      <c r="C12" s="23">
        <f ca="1">C8*C10</f>
        <v>2340.4840336134457</v>
      </c>
      <c r="D12" s="23">
        <f>D8*D10</f>
        <v>297.60428785703056</v>
      </c>
      <c r="E12" s="23">
        <f>E8*E10</f>
        <v>7.6979376647845514</v>
      </c>
      <c r="F12" s="23">
        <f>F8*F10</f>
        <v>866.05208552242163</v>
      </c>
      <c r="G12" s="23"/>
      <c r="H12" s="23"/>
      <c r="I12" s="23"/>
      <c r="J12" s="23">
        <f>J8*J10</f>
        <v>85.674809740423584</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0.131806185470002</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148.30043771749209</v>
      </c>
      <c r="C26" s="242">
        <f>B26*'GWP N2O_CH4'!B5</f>
        <v>3114.3091920673337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45.455047983412278</v>
      </c>
      <c r="C27" s="242">
        <f>B27*'GWP N2O_CH4'!B5</f>
        <v>954.55600765165786</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2.7743009591382397</v>
      </c>
      <c r="C28" s="242">
        <f>B28*'GWP N2O_CH4'!B4</f>
        <v>860.03329733285432</v>
      </c>
      <c r="D28" s="50"/>
    </row>
    <row r="29" spans="1:4">
      <c r="A29" s="41" t="s">
        <v>266</v>
      </c>
      <c r="B29" s="242">
        <f>B34*'ha_N2O bodem landbouw'!B4</f>
        <v>12.870318956362405</v>
      </c>
      <c r="C29" s="242">
        <f>B29*'GWP N2O_CH4'!B4</f>
        <v>3989.7988764723455</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2.9239061232131896E-3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4.0930979928441268E-3</v>
      </c>
      <c r="C5" s="430" t="s">
        <v>204</v>
      </c>
      <c r="D5" s="415">
        <f>SUM(D6:D11)</f>
        <v>6.1039721447188533E-3</v>
      </c>
      <c r="E5" s="415">
        <f>SUM(E6:E11)</f>
        <v>2.4420133495826092E-3</v>
      </c>
      <c r="F5" s="428" t="s">
        <v>204</v>
      </c>
      <c r="G5" s="415">
        <f>SUM(G6:G11)</f>
        <v>1.4048019338752737</v>
      </c>
      <c r="H5" s="415">
        <f>SUM(H6:H11)</f>
        <v>0.3262262581566715</v>
      </c>
      <c r="I5" s="430" t="s">
        <v>204</v>
      </c>
      <c r="J5" s="430" t="s">
        <v>204</v>
      </c>
      <c r="K5" s="430" t="s">
        <v>204</v>
      </c>
      <c r="L5" s="430" t="s">
        <v>204</v>
      </c>
      <c r="M5" s="415">
        <f>SUM(M6:M11)</f>
        <v>0.10378781533865176</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2.4788892489547854E-3</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3.5990204288698768E-3</v>
      </c>
      <c r="E6" s="845">
        <f>vkm_GW_PW*SUMIFS(TableVerdeelsleutelVkm[LPG],TableVerdeelsleutelVkm[Voertuigtype],"Lichte voertuigen")*SUMIFS(TableECFTransport[EnergieConsumptieFactor (PJ per km)],TableECFTransport[Index],CONCATENATE($A6,"_LPG_LPG"))</f>
        <v>1.410708697767617E-3</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0.43391261314652746</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0.19156015776903204</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3.8494599647411566E-2</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1.1524488741180785E-5</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0.45898412321669485</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3.8728501519505327E-6</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2.6354126615831804E-2</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8.7097006310367267E-4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1.6453925282350766E-3</v>
      </c>
      <c r="E8" s="418">
        <f>vkm_NGW_PW*SUMIFS(TableVerdeelsleutelVkm[LPG],TableVerdeelsleutelVkm[Voertuigtype],"Lichte voertuigen")*SUMIFS(TableECFTransport[EnergieConsumptieFactor (PJ per km)],TableECFTransport[Index],CONCATENATE($A8,"_LPG_LPG"))</f>
        <v>6.1591951637554956E-4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0.17422219495095279</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8.6461854682407344E-2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1.6133003725735413E-2</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2.6055095444624848E-6</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0.1336308316477087</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1.0568616529637596E-6</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7.6728613876602385E-3</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7.2671982972226932E-4</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8.5955918761390019E-4</v>
      </c>
      <c r="E10" s="418">
        <f>vkm_SW_PW*SUMIFS(TableVerdeelsleutelVkm[LPG],TableVerdeelsleutelVkm[Voertuigtype],"Lichte voertuigen")*SUMIFS(TableECFTransport[EnergieConsumptieFactor (PJ per km)],TableECFTransport[Index],CONCATENATE($A10,"_LPG_LPG"))</f>
        <v>4.1538513543944232E-4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0.11451838010445779</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4.8198489710364688E-2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9.9923333646357356E-3</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2.3888527777560114E-6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8.9533790808932256E-2</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8.2628306254538578E-7</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5.1408905973770146E-3</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1136.9716646789241</v>
      </c>
      <c r="C14" s="21"/>
      <c r="D14" s="21">
        <f t="shared" ref="D14:M14" si="0">((D5)*10^9/3600)+D12</f>
        <v>1695.5478179774591</v>
      </c>
      <c r="E14" s="21">
        <f t="shared" si="0"/>
        <v>678.33704155072485</v>
      </c>
      <c r="F14" s="21"/>
      <c r="G14" s="21">
        <f t="shared" si="0"/>
        <v>390222.75940979825</v>
      </c>
      <c r="H14" s="21">
        <f t="shared" si="0"/>
        <v>90618.405043519873</v>
      </c>
      <c r="I14" s="21"/>
      <c r="J14" s="21"/>
      <c r="K14" s="21"/>
      <c r="L14" s="21"/>
      <c r="M14" s="21">
        <f t="shared" si="0"/>
        <v>28829.948705181047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0.17337515414896881</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197.12263762671813</v>
      </c>
      <c r="C18" s="23"/>
      <c r="D18" s="23">
        <f t="shared" ref="D18:M18" si="1">D14*D16</f>
        <v>342.50065923144678</v>
      </c>
      <c r="E18" s="23">
        <f t="shared" si="1"/>
        <v>153.98250843201455</v>
      </c>
      <c r="F18" s="23"/>
      <c r="G18" s="23">
        <f t="shared" si="1"/>
        <v>104189.47676241613</v>
      </c>
      <c r="H18" s="23">
        <f t="shared" si="1"/>
        <v>22563.98285583645</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9.9113667217694544E-5</v>
      </c>
      <c r="C50" s="313">
        <f t="shared" ref="C50:P50" si="2">SUM(C51:C52)</f>
        <v>0</v>
      </c>
      <c r="D50" s="313">
        <f t="shared" si="2"/>
        <v>0</v>
      </c>
      <c r="E50" s="313">
        <f t="shared" si="2"/>
        <v>0</v>
      </c>
      <c r="F50" s="313">
        <f t="shared" si="2"/>
        <v>0</v>
      </c>
      <c r="G50" s="313">
        <f t="shared" si="2"/>
        <v>6.2048153068588151E-3</v>
      </c>
      <c r="H50" s="313">
        <f t="shared" si="2"/>
        <v>0</v>
      </c>
      <c r="I50" s="313">
        <f t="shared" si="2"/>
        <v>0</v>
      </c>
      <c r="J50" s="313">
        <f t="shared" si="2"/>
        <v>0</v>
      </c>
      <c r="K50" s="313">
        <f t="shared" si="2"/>
        <v>0</v>
      </c>
      <c r="L50" s="313">
        <f t="shared" si="2"/>
        <v>0</v>
      </c>
      <c r="M50" s="313">
        <f t="shared" si="2"/>
        <v>3.5626675601399354E-4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9.9113667217694544E-5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6.2048153068588151E-3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3.5626675601399354E-4</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27.531574227137373</v>
      </c>
      <c r="C54" s="21">
        <f t="shared" ref="C54:P54" si="3">(C50)*10^9/3600</f>
        <v>0</v>
      </c>
      <c r="D54" s="21">
        <f t="shared" si="3"/>
        <v>0</v>
      </c>
      <c r="E54" s="21">
        <f t="shared" si="3"/>
        <v>0</v>
      </c>
      <c r="F54" s="21">
        <f t="shared" si="3"/>
        <v>0</v>
      </c>
      <c r="G54" s="21">
        <f t="shared" si="3"/>
        <v>1723.5598074607819</v>
      </c>
      <c r="H54" s="21">
        <f t="shared" si="3"/>
        <v>0</v>
      </c>
      <c r="I54" s="21">
        <f t="shared" si="3"/>
        <v>0</v>
      </c>
      <c r="J54" s="21">
        <f t="shared" si="3"/>
        <v>0</v>
      </c>
      <c r="K54" s="21">
        <f t="shared" si="3"/>
        <v>0</v>
      </c>
      <c r="L54" s="21">
        <f t="shared" si="3"/>
        <v>0</v>
      </c>
      <c r="M54" s="21">
        <f t="shared" si="3"/>
        <v>98.962987781664864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0.17337515414896881</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4.7732909255937193</v>
      </c>
      <c r="C58" s="23">
        <f t="shared" ref="C58:P58" ca="1" si="4">C54*C56</f>
        <v>0</v>
      </c>
      <c r="D58" s="23">
        <f t="shared" si="4"/>
        <v>0</v>
      </c>
      <c r="E58" s="23">
        <f t="shared" si="4"/>
        <v>0</v>
      </c>
      <c r="F58" s="23">
        <f t="shared" si="4"/>
        <v>0</v>
      </c>
      <c r="G58" s="23">
        <f t="shared" si="4"/>
        <v>460.19046859202882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5"/>
  <sheetViews>
    <sheetView showGridLines="0" zoomScale="65" zoomScaleNormal="65" workbookViewId="0">
      <selection activeCell="A28" sqref="A28:XFD33"/>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36888.62620545525</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15418.393056778445</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N33</f>
        <v>21681</v>
      </c>
      <c r="C8" s="541">
        <f>B52</f>
        <v>25507.058823529413</v>
      </c>
      <c r="D8" s="542"/>
      <c r="E8" s="542">
        <f>E52</f>
        <v>0</v>
      </c>
      <c r="F8" s="543"/>
      <c r="G8" s="544"/>
      <c r="H8" s="542">
        <f>I52</f>
        <v>0</v>
      </c>
      <c r="I8" s="542">
        <f>G52+F52</f>
        <v>0</v>
      </c>
      <c r="J8" s="542">
        <f>H52+D52+C52</f>
        <v>0</v>
      </c>
      <c r="K8" s="542"/>
      <c r="L8" s="542"/>
      <c r="M8" s="542"/>
      <c r="N8" s="545"/>
      <c r="O8" s="546">
        <f>C8*$C$12+D8*$D$12+E8*$E$12+F8*$F$12+G8*$G$12+H8*$H$12+I8*$I$12+J8*$J$12</f>
        <v>5152.4258823529417</v>
      </c>
      <c r="P8" s="1211"/>
      <c r="Q8" s="1212"/>
      <c r="S8" s="536"/>
      <c r="T8" s="1199"/>
      <c r="U8" s="1199"/>
    </row>
    <row r="9" spans="1:21" s="527" customFormat="1" ht="17.45" customHeight="1" thickBot="1">
      <c r="A9" s="547" t="s">
        <v>237</v>
      </c>
      <c r="B9" s="548">
        <f>N40+'Eigen informatie GS &amp; warmtenet'!B12</f>
        <v>0</v>
      </c>
      <c r="C9" s="549">
        <f>P40+IF(ISERROR(('Eigen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S40+IF(ISERROR('Eigen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W40+IF(ISERROR('Eigen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(T40+U40)+IF(ISERROR('Eigen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V40+Q40+R40+IF(ISERROR('Eigen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73988.019262233691</v>
      </c>
      <c r="C10" s="556">
        <f t="shared" ref="C10:L10" si="0">SUM(C8:C9)</f>
        <v>25507.058823529413</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17"/>
      <c r="N10" s="917"/>
      <c r="O10" s="557">
        <f>SUM(O4:O9)</f>
        <v>5152.4258823529417</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O33</f>
        <v>30972.857142857145</v>
      </c>
      <c r="C17" s="572">
        <f>B53</f>
        <v>36438.655462184877</v>
      </c>
      <c r="D17" s="573"/>
      <c r="E17" s="573">
        <f>E53</f>
        <v>0</v>
      </c>
      <c r="F17" s="574"/>
      <c r="G17" s="575"/>
      <c r="H17" s="572">
        <f>I53</f>
        <v>0</v>
      </c>
      <c r="I17" s="573">
        <f>G53+F53</f>
        <v>0</v>
      </c>
      <c r="J17" s="573">
        <f>H53+D53+C53</f>
        <v>0</v>
      </c>
      <c r="K17" s="573"/>
      <c r="L17" s="573"/>
      <c r="M17" s="573"/>
      <c r="N17" s="918"/>
      <c r="O17" s="576">
        <f>C17*$C$22+E17*$E$22+H17*$H$22+I17*$I$22+J17*$J$22+D17*$D$22+F17*$F$22+G17*$G$22+K17*$K$22+L17*$L$22</f>
        <v>7360.6084033613461</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30972.857142857145</v>
      </c>
      <c r="C20" s="555">
        <f>SUM(C17:C19)</f>
        <v>36438.655462184877</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81">
        <f>SUM(O17:O19)</f>
        <v>7360.6084033613461</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25.5" hidden="1">
      <c r="A28" s="585"/>
      <c r="B28" s="747">
        <v>12041</v>
      </c>
      <c r="C28" s="747">
        <v>2890</v>
      </c>
      <c r="D28" s="633"/>
      <c r="E28" s="632"/>
      <c r="F28" s="632"/>
      <c r="G28" s="632" t="s">
        <v>856</v>
      </c>
      <c r="H28" s="632" t="s">
        <v>857</v>
      </c>
      <c r="I28" s="632"/>
      <c r="J28" s="746"/>
      <c r="K28" s="746"/>
      <c r="L28" s="632" t="s">
        <v>858</v>
      </c>
      <c r="M28" s="632">
        <v>1532</v>
      </c>
      <c r="N28" s="632">
        <v>6894</v>
      </c>
      <c r="O28" s="632">
        <v>9848.5714285714294</v>
      </c>
      <c r="P28" s="632">
        <v>19697.142857142859</v>
      </c>
      <c r="Q28" s="632">
        <v>0</v>
      </c>
      <c r="R28" s="632">
        <v>0</v>
      </c>
      <c r="S28" s="632">
        <v>0</v>
      </c>
      <c r="T28" s="632">
        <v>0</v>
      </c>
      <c r="U28" s="632">
        <v>0</v>
      </c>
      <c r="V28" s="632">
        <v>0</v>
      </c>
      <c r="W28" s="632">
        <v>0</v>
      </c>
      <c r="X28" s="632"/>
      <c r="Y28" s="632">
        <v>10</v>
      </c>
      <c r="Z28" s="632" t="s">
        <v>105</v>
      </c>
      <c r="AA28" s="634" t="s">
        <v>105</v>
      </c>
    </row>
    <row r="29" spans="1:27" s="586" customFormat="1" ht="25.5" hidden="1">
      <c r="A29" s="585"/>
      <c r="B29" s="747">
        <v>12041</v>
      </c>
      <c r="C29" s="747">
        <v>2870</v>
      </c>
      <c r="D29" s="633"/>
      <c r="E29" s="632"/>
      <c r="F29" s="632"/>
      <c r="G29" s="632" t="s">
        <v>856</v>
      </c>
      <c r="H29" s="632" t="s">
        <v>857</v>
      </c>
      <c r="I29" s="632"/>
      <c r="J29" s="746"/>
      <c r="K29" s="746"/>
      <c r="L29" s="632" t="s">
        <v>859</v>
      </c>
      <c r="M29" s="632">
        <v>2027</v>
      </c>
      <c r="N29" s="632">
        <v>9121.5</v>
      </c>
      <c r="O29" s="632">
        <v>13030.714285714286</v>
      </c>
      <c r="P29" s="632">
        <v>26061.428571428572</v>
      </c>
      <c r="Q29" s="632">
        <v>0</v>
      </c>
      <c r="R29" s="632">
        <v>0</v>
      </c>
      <c r="S29" s="632">
        <v>0</v>
      </c>
      <c r="T29" s="632">
        <v>0</v>
      </c>
      <c r="U29" s="632">
        <v>0</v>
      </c>
      <c r="V29" s="632">
        <v>0</v>
      </c>
      <c r="W29" s="632">
        <v>0</v>
      </c>
      <c r="X29" s="632"/>
      <c r="Y29" s="632">
        <v>300</v>
      </c>
      <c r="Z29" s="632" t="s">
        <v>33</v>
      </c>
      <c r="AA29" s="634" t="s">
        <v>373</v>
      </c>
    </row>
    <row r="30" spans="1:27" s="586" customFormat="1" ht="25.5" hidden="1">
      <c r="A30" s="585"/>
      <c r="B30" s="747">
        <v>12041</v>
      </c>
      <c r="C30" s="747">
        <v>2870</v>
      </c>
      <c r="D30" s="633"/>
      <c r="E30" s="632"/>
      <c r="F30" s="632"/>
      <c r="G30" s="632" t="s">
        <v>856</v>
      </c>
      <c r="H30" s="632" t="s">
        <v>857</v>
      </c>
      <c r="I30" s="632"/>
      <c r="J30" s="746"/>
      <c r="K30" s="746"/>
      <c r="L30" s="632" t="s">
        <v>858</v>
      </c>
      <c r="M30" s="632">
        <v>1189</v>
      </c>
      <c r="N30" s="632">
        <v>5350.5</v>
      </c>
      <c r="O30" s="632">
        <v>7643.5714285714284</v>
      </c>
      <c r="P30" s="632">
        <v>15287.142857142859</v>
      </c>
      <c r="Q30" s="632">
        <v>0</v>
      </c>
      <c r="R30" s="632">
        <v>0</v>
      </c>
      <c r="S30" s="632">
        <v>0</v>
      </c>
      <c r="T30" s="632">
        <v>0</v>
      </c>
      <c r="U30" s="632">
        <v>0</v>
      </c>
      <c r="V30" s="632">
        <v>0</v>
      </c>
      <c r="W30" s="632">
        <v>0</v>
      </c>
      <c r="X30" s="632"/>
      <c r="Y30" s="632">
        <v>300</v>
      </c>
      <c r="Z30" s="632" t="s">
        <v>860</v>
      </c>
      <c r="AA30" s="634" t="s">
        <v>373</v>
      </c>
    </row>
    <row r="31" spans="1:27" s="586" customFormat="1" ht="25.5" hidden="1">
      <c r="A31" s="585"/>
      <c r="B31" s="747">
        <v>12041</v>
      </c>
      <c r="C31" s="747">
        <v>2870</v>
      </c>
      <c r="D31" s="633"/>
      <c r="E31" s="632"/>
      <c r="F31" s="632"/>
      <c r="G31" s="632" t="s">
        <v>861</v>
      </c>
      <c r="H31" s="632" t="s">
        <v>857</v>
      </c>
      <c r="I31" s="632"/>
      <c r="J31" s="746"/>
      <c r="K31" s="746"/>
      <c r="L31" s="632" t="s">
        <v>858</v>
      </c>
      <c r="M31" s="632">
        <v>55</v>
      </c>
      <c r="N31" s="632">
        <v>247.5</v>
      </c>
      <c r="O31" s="632">
        <v>353.57142857142856</v>
      </c>
      <c r="P31" s="632">
        <v>707.14285714285722</v>
      </c>
      <c r="Q31" s="632">
        <v>0</v>
      </c>
      <c r="R31" s="632">
        <v>0</v>
      </c>
      <c r="S31" s="632">
        <v>0</v>
      </c>
      <c r="T31" s="632">
        <v>0</v>
      </c>
      <c r="U31" s="632">
        <v>0</v>
      </c>
      <c r="V31" s="632">
        <v>0</v>
      </c>
      <c r="W31" s="632">
        <v>0</v>
      </c>
      <c r="X31" s="632"/>
      <c r="Y31" s="632">
        <v>500</v>
      </c>
      <c r="Z31" s="632" t="s">
        <v>40</v>
      </c>
      <c r="AA31" s="634" t="s">
        <v>373</v>
      </c>
    </row>
    <row r="32" spans="1:27" s="586" customFormat="1" ht="25.5" hidden="1">
      <c r="A32" s="585"/>
      <c r="B32" s="747">
        <v>12041</v>
      </c>
      <c r="C32" s="747">
        <v>2870</v>
      </c>
      <c r="D32" s="633"/>
      <c r="E32" s="632"/>
      <c r="F32" s="632"/>
      <c r="G32" s="632" t="s">
        <v>856</v>
      </c>
      <c r="H32" s="632" t="s">
        <v>857</v>
      </c>
      <c r="I32" s="632"/>
      <c r="J32" s="746"/>
      <c r="K32" s="746"/>
      <c r="L32" s="632" t="s">
        <v>858</v>
      </c>
      <c r="M32" s="632">
        <v>15</v>
      </c>
      <c r="N32" s="632">
        <v>67.5</v>
      </c>
      <c r="O32" s="632">
        <v>96.428571428571431</v>
      </c>
      <c r="P32" s="632">
        <v>192.85714285714286</v>
      </c>
      <c r="Q32" s="632">
        <v>0</v>
      </c>
      <c r="R32" s="632">
        <v>0</v>
      </c>
      <c r="S32" s="632">
        <v>0</v>
      </c>
      <c r="T32" s="632">
        <v>0</v>
      </c>
      <c r="U32" s="632">
        <v>0</v>
      </c>
      <c r="V32" s="632">
        <v>0</v>
      </c>
      <c r="W32" s="632">
        <v>0</v>
      </c>
      <c r="X32" s="632"/>
      <c r="Y32" s="632">
        <v>1100</v>
      </c>
      <c r="Z32" s="632" t="s">
        <v>51</v>
      </c>
      <c r="AA32" s="634" t="s">
        <v>149</v>
      </c>
    </row>
    <row r="33" spans="1:28" s="566" customFormat="1" hidden="1">
      <c r="A33" s="588" t="s">
        <v>269</v>
      </c>
      <c r="B33" s="589"/>
      <c r="C33" s="589"/>
      <c r="D33" s="589"/>
      <c r="E33" s="589"/>
      <c r="F33" s="589"/>
      <c r="G33" s="589"/>
      <c r="H33" s="589"/>
      <c r="I33" s="589"/>
      <c r="J33" s="589"/>
      <c r="K33" s="589"/>
      <c r="L33" s="590"/>
      <c r="M33" s="590">
        <f>SUM(M28:M32)</f>
        <v>4818</v>
      </c>
      <c r="N33" s="590">
        <f>SUM(N28:N32)</f>
        <v>21681</v>
      </c>
      <c r="O33" s="590">
        <f>SUM(O28:O32)</f>
        <v>30972.857142857145</v>
      </c>
      <c r="P33" s="590">
        <f>SUM(P28:P32)</f>
        <v>61945.71428571429</v>
      </c>
      <c r="Q33" s="590">
        <f>SUM(Q28:Q32)</f>
        <v>0</v>
      </c>
      <c r="R33" s="590">
        <f>SUM(R28:R32)</f>
        <v>0</v>
      </c>
      <c r="S33" s="590">
        <f>SUM(S28:S32)</f>
        <v>0</v>
      </c>
      <c r="T33" s="590">
        <f>SUM(T28:T32)</f>
        <v>0</v>
      </c>
      <c r="U33" s="590">
        <f>SUM(U28:U32)</f>
        <v>0</v>
      </c>
      <c r="V33" s="590">
        <f>SUM(V28:V32)</f>
        <v>0</v>
      </c>
      <c r="W33" s="590">
        <f>SUM(W28:W32)</f>
        <v>0</v>
      </c>
      <c r="X33" s="590"/>
      <c r="Y33" s="591"/>
      <c r="Z33" s="591"/>
      <c r="AA33" s="592"/>
    </row>
    <row r="34" spans="1:28" s="566" customFormat="1">
      <c r="A34" s="588" t="s">
        <v>276</v>
      </c>
      <c r="B34" s="589"/>
      <c r="C34" s="589"/>
      <c r="D34" s="589"/>
      <c r="E34" s="589"/>
      <c r="F34" s="589"/>
      <c r="G34" s="589"/>
      <c r="H34" s="589"/>
      <c r="I34" s="589"/>
      <c r="J34" s="589"/>
      <c r="K34" s="589"/>
      <c r="L34" s="590"/>
      <c r="M34" s="590">
        <f>SUMIF($AA$28:$AA$32,"industrie",M28:M32)</f>
        <v>3271</v>
      </c>
      <c r="N34" s="590">
        <f>SUMIF($AA$28:$AA$32,"industrie",N28:N32)</f>
        <v>14719.5</v>
      </c>
      <c r="O34" s="590">
        <f>SUMIF($AA$28:$AA$32,"industrie",O28:O32)</f>
        <v>21027.857142857141</v>
      </c>
      <c r="P34" s="590">
        <f>SUMIF($AA$28:$AA$32,"industrie",P28:P32)</f>
        <v>42055.71428571429</v>
      </c>
      <c r="Q34" s="590">
        <f>SUMIF($AA$28:$AA$32,"industrie",Q28:Q32)</f>
        <v>0</v>
      </c>
      <c r="R34" s="590">
        <f>SUMIF($AA$28:$AA$32,"industrie",R28:R32)</f>
        <v>0</v>
      </c>
      <c r="S34" s="590">
        <f>SUMIF($AA$28:$AA$32,"industrie",S28:S32)</f>
        <v>0</v>
      </c>
      <c r="T34" s="590">
        <f>SUMIF($AA$28:$AA$32,"industrie",T28:T32)</f>
        <v>0</v>
      </c>
      <c r="U34" s="590">
        <f>SUMIF($AA$28:$AA$32,"industrie",U28:U32)</f>
        <v>0</v>
      </c>
      <c r="V34" s="590">
        <f>SUMIF($AA$28:$AA$32,"industrie",V28:V32)</f>
        <v>0</v>
      </c>
      <c r="W34" s="590">
        <f>SUMIF($AA$28:$AA$32,"industrie",W28:W32)</f>
        <v>0</v>
      </c>
      <c r="X34" s="590"/>
      <c r="Y34" s="591"/>
      <c r="Z34" s="591"/>
      <c r="AA34" s="592"/>
    </row>
    <row r="35" spans="1:28" s="566" customFormat="1">
      <c r="A35" s="588" t="s">
        <v>277</v>
      </c>
      <c r="B35" s="589"/>
      <c r="C35" s="589"/>
      <c r="D35" s="589"/>
      <c r="E35" s="589"/>
      <c r="F35" s="589"/>
      <c r="G35" s="589"/>
      <c r="H35" s="589"/>
      <c r="I35" s="589"/>
      <c r="J35" s="589"/>
      <c r="K35" s="589"/>
      <c r="L35" s="590"/>
      <c r="M35" s="590">
        <f ca="1">SUMIF($AA$28:AD32,"tertiair",M28:M32)</f>
        <v>15</v>
      </c>
      <c r="N35" s="590">
        <f ca="1">SUMIF($AA$28:AE32,"tertiair",N28:N32)</f>
        <v>67.5</v>
      </c>
      <c r="O35" s="590">
        <f ca="1">SUMIF($AA$28:AF32,"tertiair",O28:O32)</f>
        <v>96.428571428571431</v>
      </c>
      <c r="P35" s="590">
        <f ca="1">SUMIF($AA$28:AG32,"tertiair",P28:P32)</f>
        <v>192.85714285714286</v>
      </c>
      <c r="Q35" s="590">
        <f ca="1">SUMIF($AA$28:AH32,"tertiair",Q28:Q32)</f>
        <v>0</v>
      </c>
      <c r="R35" s="590">
        <f ca="1">SUMIF($AA$28:AI32,"tertiair",R28:R32)</f>
        <v>0</v>
      </c>
      <c r="S35" s="590">
        <f ca="1">SUMIF($AA$28:AJ32,"tertiair",S28:S32)</f>
        <v>0</v>
      </c>
      <c r="T35" s="590">
        <f ca="1">SUMIF($AA$28:AK32,"tertiair",T28:T32)</f>
        <v>0</v>
      </c>
      <c r="U35" s="590">
        <f ca="1">SUMIF($AA$28:AL32,"tertiair",U28:U32)</f>
        <v>0</v>
      </c>
      <c r="V35" s="590">
        <f ca="1">SUMIF($AA$28:AM32,"tertiair",V28:V32)</f>
        <v>0</v>
      </c>
      <c r="W35" s="590">
        <f ca="1">SUMIF($AA$28:AN32,"tertiair",W28:W32)</f>
        <v>0</v>
      </c>
      <c r="X35" s="590"/>
      <c r="Y35" s="591"/>
      <c r="Z35" s="591"/>
      <c r="AA35" s="592"/>
    </row>
    <row r="36" spans="1:28" s="566" customFormat="1" ht="15.75" thickBot="1">
      <c r="A36" s="593" t="s">
        <v>278</v>
      </c>
      <c r="B36" s="594"/>
      <c r="C36" s="594"/>
      <c r="D36" s="594"/>
      <c r="E36" s="594"/>
      <c r="F36" s="594"/>
      <c r="G36" s="594"/>
      <c r="H36" s="594"/>
      <c r="I36" s="594"/>
      <c r="J36" s="594"/>
      <c r="K36" s="594"/>
      <c r="L36" s="595"/>
      <c r="M36" s="595">
        <f>SUMIF($AA$28:$AA$32,"landbouw",M28:M32)</f>
        <v>1532</v>
      </c>
      <c r="N36" s="595">
        <f>SUMIF($AA$28:$AA$32,"landbouw",N28:N32)</f>
        <v>6894</v>
      </c>
      <c r="O36" s="595">
        <f>SUMIF($AA$28:$AA$32,"landbouw",O28:O32)</f>
        <v>9848.5714285714294</v>
      </c>
      <c r="P36" s="595">
        <f>SUMIF($AA$28:$AA$32,"landbouw",P28:P32)</f>
        <v>19697.142857142859</v>
      </c>
      <c r="Q36" s="595">
        <f>SUMIF($AA$28:$AA$32,"landbouw",Q28:Q32)</f>
        <v>0</v>
      </c>
      <c r="R36" s="595">
        <f>SUMIF($AA$28:$AA$32,"landbouw",R28:R32)</f>
        <v>0</v>
      </c>
      <c r="S36" s="595">
        <f>SUMIF($AA$28:$AA$32,"landbouw",S28:S32)</f>
        <v>0</v>
      </c>
      <c r="T36" s="595">
        <f>SUMIF($AA$28:$AA$32,"landbouw",T28:T32)</f>
        <v>0</v>
      </c>
      <c r="U36" s="595">
        <f>SUMIF($AA$28:$AA$32,"landbouw",U28:U32)</f>
        <v>0</v>
      </c>
      <c r="V36" s="595">
        <f>SUMIF($AA$28:$AA$32,"landbouw",V28:V32)</f>
        <v>0</v>
      </c>
      <c r="W36" s="595">
        <f>SUMIF($AA$28:$AA$32,"landbouw",W28:W32)</f>
        <v>0</v>
      </c>
      <c r="X36" s="595"/>
      <c r="Y36" s="596"/>
      <c r="Z36" s="596"/>
      <c r="AA36" s="597"/>
    </row>
    <row r="37" spans="1:28" s="527" customFormat="1" ht="15.75" thickBot="1">
      <c r="A37" s="598"/>
      <c r="B37" s="599"/>
      <c r="C37" s="599"/>
      <c r="D37" s="599"/>
      <c r="E37" s="599"/>
      <c r="F37" s="599"/>
      <c r="G37" s="599"/>
      <c r="H37" s="599"/>
      <c r="I37" s="599"/>
      <c r="J37" s="599"/>
      <c r="K37" s="599"/>
      <c r="L37" s="582"/>
      <c r="M37" s="582"/>
      <c r="N37" s="582"/>
      <c r="O37" s="583"/>
      <c r="P37" s="583"/>
    </row>
    <row r="38" spans="1:28" s="527" customFormat="1" ht="45">
      <c r="A38" s="600" t="s">
        <v>270</v>
      </c>
      <c r="B38" s="629" t="s">
        <v>89</v>
      </c>
      <c r="C38" s="629" t="s">
        <v>90</v>
      </c>
      <c r="D38" s="629"/>
      <c r="E38" s="629"/>
      <c r="F38" s="629"/>
      <c r="G38" s="629" t="s">
        <v>91</v>
      </c>
      <c r="H38" s="629" t="s">
        <v>92</v>
      </c>
      <c r="I38" s="629"/>
      <c r="J38" s="629"/>
      <c r="K38" s="629"/>
      <c r="L38" s="629" t="s">
        <v>93</v>
      </c>
      <c r="M38" s="630" t="s">
        <v>287</v>
      </c>
      <c r="N38" s="630" t="s">
        <v>94</v>
      </c>
      <c r="O38" s="630" t="s">
        <v>95</v>
      </c>
      <c r="P38" s="630" t="s">
        <v>509</v>
      </c>
      <c r="Q38" s="630" t="s">
        <v>96</v>
      </c>
      <c r="R38" s="630" t="s">
        <v>97</v>
      </c>
      <c r="S38" s="630" t="s">
        <v>98</v>
      </c>
      <c r="T38" s="630" t="s">
        <v>99</v>
      </c>
      <c r="U38" s="630" t="s">
        <v>100</v>
      </c>
      <c r="V38" s="630" t="s">
        <v>101</v>
      </c>
      <c r="W38" s="629" t="s">
        <v>102</v>
      </c>
      <c r="X38" s="629" t="s">
        <v>855</v>
      </c>
      <c r="Y38" s="629" t="s">
        <v>288</v>
      </c>
      <c r="Z38" s="629" t="s">
        <v>103</v>
      </c>
      <c r="AA38" s="631" t="s">
        <v>289</v>
      </c>
    </row>
    <row r="39" spans="1:28" s="601" customFormat="1" ht="12.75" hidden="1">
      <c r="A39" s="587"/>
      <c r="B39" s="747"/>
      <c r="C39" s="747"/>
      <c r="D39" s="635"/>
      <c r="E39" s="635"/>
      <c r="F39" s="635"/>
      <c r="G39" s="635"/>
      <c r="H39" s="635"/>
      <c r="I39" s="635"/>
      <c r="J39" s="746"/>
      <c r="K39" s="746"/>
      <c r="L39" s="635"/>
      <c r="M39" s="635"/>
      <c r="N39" s="635"/>
      <c r="O39" s="635"/>
      <c r="P39" s="635"/>
      <c r="Q39" s="635"/>
      <c r="R39" s="635"/>
      <c r="S39" s="635"/>
      <c r="T39" s="635"/>
      <c r="U39" s="635"/>
      <c r="V39" s="635"/>
      <c r="W39" s="635"/>
      <c r="X39" s="635"/>
      <c r="Y39" s="635"/>
      <c r="Z39" s="635"/>
      <c r="AA39" s="636"/>
    </row>
    <row r="40" spans="1:28" s="566" customFormat="1" hidden="1">
      <c r="A40" s="588" t="s">
        <v>269</v>
      </c>
      <c r="B40" s="589"/>
      <c r="C40" s="589"/>
      <c r="D40" s="589"/>
      <c r="E40" s="589"/>
      <c r="F40" s="589"/>
      <c r="G40" s="589"/>
      <c r="H40" s="589"/>
      <c r="I40" s="589"/>
      <c r="J40" s="589"/>
      <c r="K40" s="589"/>
      <c r="L40" s="590"/>
      <c r="M40" s="590">
        <f>SUM(M39:M39)</f>
        <v>0</v>
      </c>
      <c r="N40" s="590">
        <f>SUM(N39:N39)</f>
        <v>0</v>
      </c>
      <c r="O40" s="590">
        <f>SUM(O39:O39)</f>
        <v>0</v>
      </c>
      <c r="P40" s="590">
        <f>SUM(P39:P39)</f>
        <v>0</v>
      </c>
      <c r="Q40" s="590">
        <f>SUM(Q39:Q39)</f>
        <v>0</v>
      </c>
      <c r="R40" s="590">
        <f>SUM(R39:R39)</f>
        <v>0</v>
      </c>
      <c r="S40" s="590">
        <f>SUM(S39:S39)</f>
        <v>0</v>
      </c>
      <c r="T40" s="590">
        <f>SUM(T39:T39)</f>
        <v>0</v>
      </c>
      <c r="U40" s="590">
        <f>SUM(U39:U39)</f>
        <v>0</v>
      </c>
      <c r="V40" s="590">
        <f>SUM(V39:V39)</f>
        <v>0</v>
      </c>
      <c r="W40" s="590">
        <f>SUM(W39:W39)</f>
        <v>0</v>
      </c>
      <c r="X40" s="590"/>
      <c r="Y40" s="591"/>
      <c r="Z40" s="591"/>
      <c r="AA40" s="592"/>
    </row>
    <row r="41" spans="1:28" s="566" customFormat="1">
      <c r="A41" s="588" t="s">
        <v>276</v>
      </c>
      <c r="B41" s="589"/>
      <c r="C41" s="589"/>
      <c r="D41" s="589"/>
      <c r="E41" s="589"/>
      <c r="F41" s="589"/>
      <c r="G41" s="589"/>
      <c r="H41" s="589"/>
      <c r="I41" s="589"/>
      <c r="J41" s="589"/>
      <c r="K41" s="589"/>
      <c r="L41" s="590"/>
      <c r="M41" s="590">
        <f>SUMIF($AA$39:$AA$39,"industrie",M39:M39)</f>
        <v>0</v>
      </c>
      <c r="N41" s="590">
        <f>SUMIF($AA$39:$AA$39,"industrie",N39:N39)</f>
        <v>0</v>
      </c>
      <c r="O41" s="590">
        <f>SUMIF($AA$39:$AA$39,"industrie",O39:O39)</f>
        <v>0</v>
      </c>
      <c r="P41" s="590">
        <f>SUMIF($AA$39:$AA$39,"industrie",P39:P39)</f>
        <v>0</v>
      </c>
      <c r="Q41" s="590">
        <f>SUMIF($AA$39:$AA$39,"industrie",Q39:Q39)</f>
        <v>0</v>
      </c>
      <c r="R41" s="590">
        <f>SUMIF($AA$39:$AA$39,"industrie",R39:R39)</f>
        <v>0</v>
      </c>
      <c r="S41" s="590">
        <f>SUMIF($AA$39:$AA$39,"industrie",S39:S39)</f>
        <v>0</v>
      </c>
      <c r="T41" s="590">
        <f>SUMIF($AA$39:$AA$39,"industrie",T39:T39)</f>
        <v>0</v>
      </c>
      <c r="U41" s="590">
        <f>SUMIF($AA$39:$AA$39,"industrie",U39:U39)</f>
        <v>0</v>
      </c>
      <c r="V41" s="590">
        <f>SUMIF($AA$39:$AA$39,"industrie",V39:V39)</f>
        <v>0</v>
      </c>
      <c r="W41" s="590">
        <f>SUMIF($AA$39:$AA$39,"industrie",W39:W39)</f>
        <v>0</v>
      </c>
      <c r="X41" s="590"/>
      <c r="Y41" s="591"/>
      <c r="Z41" s="591"/>
      <c r="AA41" s="592"/>
    </row>
    <row r="42" spans="1:28" s="566" customFormat="1">
      <c r="A42" s="588" t="s">
        <v>277</v>
      </c>
      <c r="B42" s="589"/>
      <c r="C42" s="589"/>
      <c r="D42" s="589"/>
      <c r="E42" s="589"/>
      <c r="F42" s="589"/>
      <c r="G42" s="589"/>
      <c r="H42" s="589"/>
      <c r="I42" s="589"/>
      <c r="J42" s="589"/>
      <c r="K42" s="589"/>
      <c r="L42" s="590"/>
      <c r="M42" s="590">
        <f>SUMIF($AA$39:$AA$40,"tertiair",M39:M40)</f>
        <v>0</v>
      </c>
      <c r="N42" s="590">
        <f>SUMIF($AA$39:$AA$40,"tertiair",N39:N40)</f>
        <v>0</v>
      </c>
      <c r="O42" s="590">
        <f>SUMIF($AA$39:$AA$40,"tertiair",O39:O40)</f>
        <v>0</v>
      </c>
      <c r="P42" s="590">
        <f>SUMIF($AA$39:$AA$40,"tertiair",P39:P40)</f>
        <v>0</v>
      </c>
      <c r="Q42" s="590">
        <f>SUMIF($AA$39:$AA$40,"tertiair",Q39:Q40)</f>
        <v>0</v>
      </c>
      <c r="R42" s="590">
        <f>SUMIF($AA$39:$AA$40,"tertiair",R39:R40)</f>
        <v>0</v>
      </c>
      <c r="S42" s="590">
        <f>SUMIF($AA$39:$AA$40,"tertiair",S39:S40)</f>
        <v>0</v>
      </c>
      <c r="T42" s="590">
        <f>SUMIF($AA$39:$AA$40,"tertiair",T39:T40)</f>
        <v>0</v>
      </c>
      <c r="U42" s="590">
        <f>SUMIF($AA$39:$AA$40,"tertiair",U39:U40)</f>
        <v>0</v>
      </c>
      <c r="V42" s="590">
        <f>SUMIF($AA$39:$AA$40,"tertiair",V39:V40)</f>
        <v>0</v>
      </c>
      <c r="W42" s="590">
        <f>SUMIF($AA$39:$AA$40,"tertiair",W39:W40)</f>
        <v>0</v>
      </c>
      <c r="X42" s="590"/>
      <c r="Y42" s="591"/>
      <c r="Z42" s="591"/>
      <c r="AA42" s="592"/>
    </row>
    <row r="43" spans="1:28" s="566" customFormat="1" ht="15.75" thickBot="1">
      <c r="A43" s="593" t="s">
        <v>278</v>
      </c>
      <c r="B43" s="594"/>
      <c r="C43" s="594"/>
      <c r="D43" s="594"/>
      <c r="E43" s="594"/>
      <c r="F43" s="594"/>
      <c r="G43" s="594"/>
      <c r="H43" s="594"/>
      <c r="I43" s="594"/>
      <c r="J43" s="594"/>
      <c r="K43" s="594"/>
      <c r="L43" s="595"/>
      <c r="M43" s="595">
        <f>SUMIF($AA$39:$AA$41,"landbouw",M39:M41)</f>
        <v>0</v>
      </c>
      <c r="N43" s="595">
        <f>SUMIF($AA$39:$AA$41,"landbouw",N39:N41)</f>
        <v>0</v>
      </c>
      <c r="O43" s="595">
        <f>SUMIF($AA$39:$AA$41,"landbouw",O39:O41)</f>
        <v>0</v>
      </c>
      <c r="P43" s="595">
        <f>SUMIF($AA$39:$AA$41,"landbouw",P39:P41)</f>
        <v>0</v>
      </c>
      <c r="Q43" s="595">
        <f>SUMIF($AA$39:$AA$41,"landbouw",Q39:Q41)</f>
        <v>0</v>
      </c>
      <c r="R43" s="595">
        <f>SUMIF($AA$39:$AA$41,"landbouw",R39:R41)</f>
        <v>0</v>
      </c>
      <c r="S43" s="595">
        <f>SUMIF($AA$39:$AA$41,"landbouw",S39:S41)</f>
        <v>0</v>
      </c>
      <c r="T43" s="595">
        <f>SUMIF($AA$39:$AA$41,"landbouw",T39:T41)</f>
        <v>0</v>
      </c>
      <c r="U43" s="595">
        <f>SUMIF($AA$39:$AA$41,"landbouw",U39:U41)</f>
        <v>0</v>
      </c>
      <c r="V43" s="595">
        <f>SUMIF($AA$39:$AA$41,"landbouw",V39:V41)</f>
        <v>0</v>
      </c>
      <c r="W43" s="595">
        <f>SUMIF($AA$39:$AA$41,"landbouw",W39:W41)</f>
        <v>0</v>
      </c>
      <c r="X43" s="595"/>
      <c r="Y43" s="596"/>
      <c r="Z43" s="596"/>
      <c r="AA43" s="597"/>
    </row>
    <row r="44" spans="1:28" s="602" customFormat="1">
      <c r="A44" s="598"/>
      <c r="B44" s="582"/>
      <c r="C44" s="582"/>
      <c r="D44" s="582"/>
      <c r="E44" s="582"/>
      <c r="F44" s="582"/>
      <c r="G44" s="582"/>
      <c r="H44" s="582"/>
      <c r="I44" s="582"/>
      <c r="J44" s="582"/>
      <c r="K44" s="582"/>
      <c r="L44" s="582"/>
      <c r="M44" s="582"/>
      <c r="N44" s="582"/>
      <c r="O44" s="582"/>
      <c r="P44" s="582"/>
      <c r="Q44" s="582"/>
      <c r="R44" s="582"/>
      <c r="S44" s="582"/>
      <c r="T44" s="582"/>
      <c r="U44" s="582"/>
      <c r="V44" s="582"/>
      <c r="W44" s="582"/>
      <c r="X44" s="582"/>
      <c r="Y44" s="582"/>
      <c r="Z44" s="582"/>
    </row>
    <row r="45" spans="1:28" s="602" customFormat="1" ht="15.75" thickBot="1">
      <c r="A45" s="598"/>
      <c r="B45" s="582"/>
      <c r="C45" s="582"/>
      <c r="D45" s="582"/>
      <c r="E45" s="582"/>
      <c r="F45" s="582"/>
      <c r="G45" s="582"/>
      <c r="H45" s="582"/>
      <c r="I45" s="582"/>
      <c r="J45" s="582"/>
      <c r="K45" s="582"/>
      <c r="L45" s="582"/>
      <c r="M45" s="582"/>
      <c r="N45" s="582"/>
      <c r="O45" s="582"/>
      <c r="P45" s="582"/>
      <c r="Q45" s="582"/>
      <c r="R45" s="582"/>
      <c r="S45" s="582"/>
      <c r="T45" s="582"/>
      <c r="U45" s="582"/>
      <c r="V45" s="582"/>
      <c r="W45" s="582"/>
      <c r="X45" s="582"/>
      <c r="Y45" s="582"/>
      <c r="Z45" s="582"/>
      <c r="AA45" s="582"/>
      <c r="AB45" s="582"/>
    </row>
    <row r="46" spans="1:28">
      <c r="A46" s="603" t="s">
        <v>271</v>
      </c>
      <c r="B46" s="604"/>
      <c r="C46" s="604"/>
      <c r="D46" s="604"/>
      <c r="E46" s="604"/>
      <c r="F46" s="604"/>
      <c r="G46" s="604"/>
      <c r="H46" s="604"/>
      <c r="I46" s="605"/>
      <c r="J46" s="606"/>
      <c r="K46" s="606"/>
      <c r="L46" s="607"/>
      <c r="M46" s="607"/>
      <c r="N46" s="607"/>
      <c r="O46" s="607"/>
      <c r="P46" s="607"/>
    </row>
    <row r="47" spans="1:28">
      <c r="A47" s="609"/>
      <c r="B47" s="599"/>
      <c r="C47" s="599"/>
      <c r="D47" s="599"/>
      <c r="E47" s="599"/>
      <c r="F47" s="599"/>
      <c r="G47" s="599"/>
      <c r="H47" s="599"/>
      <c r="I47" s="610"/>
      <c r="J47" s="599"/>
      <c r="K47" s="599"/>
      <c r="L47" s="607"/>
      <c r="M47" s="607"/>
      <c r="N47" s="607"/>
      <c r="O47" s="607"/>
      <c r="P47" s="607"/>
    </row>
    <row r="48" spans="1:28">
      <c r="A48" s="611"/>
      <c r="B48" s="612" t="s">
        <v>272</v>
      </c>
      <c r="C48" s="612" t="s">
        <v>273</v>
      </c>
      <c r="D48" s="612"/>
      <c r="E48" s="612"/>
      <c r="F48" s="612"/>
      <c r="G48" s="612"/>
      <c r="H48" s="612"/>
      <c r="I48" s="613"/>
      <c r="J48" s="612"/>
      <c r="K48" s="612"/>
      <c r="L48" s="612"/>
      <c r="M48" s="612"/>
      <c r="N48" s="612"/>
      <c r="O48" s="612"/>
      <c r="P48" s="607"/>
    </row>
    <row r="49" spans="1:16">
      <c r="A49" s="609" t="s">
        <v>269</v>
      </c>
      <c r="B49" s="614">
        <f>IF(ISERROR(O33/(O33+N33)),0,O33/(O33+N33))</f>
        <v>0.58823529411764708</v>
      </c>
      <c r="C49" s="615">
        <f>IF(ISERROR(N33/(O33+N33)),0,N33/(N33+O33))</f>
        <v>0.41176470588235292</v>
      </c>
      <c r="D49" s="582"/>
      <c r="E49" s="582"/>
      <c r="F49" s="582"/>
      <c r="G49" s="582"/>
      <c r="H49" s="582"/>
      <c r="I49" s="616"/>
      <c r="J49" s="582"/>
      <c r="K49" s="582"/>
      <c r="L49" s="617"/>
      <c r="M49" s="617"/>
      <c r="N49" s="617"/>
      <c r="O49" s="617"/>
      <c r="P49" s="607"/>
    </row>
    <row r="50" spans="1:16">
      <c r="A50" s="609"/>
      <c r="B50" s="618"/>
      <c r="C50" s="618"/>
      <c r="D50" s="618"/>
      <c r="E50" s="618"/>
      <c r="F50" s="618"/>
      <c r="G50" s="618"/>
      <c r="H50" s="618"/>
      <c r="I50" s="619"/>
      <c r="J50" s="618"/>
      <c r="K50" s="618"/>
      <c r="L50" s="620"/>
      <c r="M50" s="620"/>
      <c r="N50" s="620"/>
      <c r="O50" s="620"/>
      <c r="P50" s="607"/>
    </row>
    <row r="51" spans="1:16" ht="30">
      <c r="A51" s="621"/>
      <c r="B51" s="622" t="s">
        <v>509</v>
      </c>
      <c r="C51" s="622" t="s">
        <v>96</v>
      </c>
      <c r="D51" s="622" t="s">
        <v>97</v>
      </c>
      <c r="E51" s="622" t="s">
        <v>98</v>
      </c>
      <c r="F51" s="622" t="s">
        <v>99</v>
      </c>
      <c r="G51" s="622" t="s">
        <v>100</v>
      </c>
      <c r="H51" s="622" t="s">
        <v>101</v>
      </c>
      <c r="I51" s="623" t="s">
        <v>102</v>
      </c>
      <c r="J51" s="612"/>
      <c r="K51" s="612"/>
      <c r="L51" s="620"/>
      <c r="M51" s="620"/>
      <c r="N51" s="620"/>
      <c r="O51" s="607"/>
      <c r="P51" s="607"/>
    </row>
    <row r="52" spans="1:16">
      <c r="A52" s="611" t="s">
        <v>274</v>
      </c>
      <c r="B52" s="624">
        <f t="shared" ref="B52:I52" si="2">$C$49*P33</f>
        <v>25507.058823529413</v>
      </c>
      <c r="C52" s="624">
        <f t="shared" si="2"/>
        <v>0</v>
      </c>
      <c r="D52" s="624">
        <f t="shared" si="2"/>
        <v>0</v>
      </c>
      <c r="E52" s="624">
        <f t="shared" si="2"/>
        <v>0</v>
      </c>
      <c r="F52" s="624">
        <f t="shared" si="2"/>
        <v>0</v>
      </c>
      <c r="G52" s="624">
        <f t="shared" si="2"/>
        <v>0</v>
      </c>
      <c r="H52" s="624">
        <f t="shared" si="2"/>
        <v>0</v>
      </c>
      <c r="I52" s="625">
        <f t="shared" si="2"/>
        <v>0</v>
      </c>
      <c r="J52" s="582"/>
      <c r="K52" s="582"/>
      <c r="L52" s="620"/>
      <c r="M52" s="620"/>
      <c r="N52" s="620"/>
      <c r="O52" s="607"/>
      <c r="P52" s="607"/>
    </row>
    <row r="53" spans="1:16" ht="15.75" thickBot="1">
      <c r="A53" s="626" t="s">
        <v>275</v>
      </c>
      <c r="B53" s="627">
        <f t="shared" ref="B53:I53" si="3">$B$49*P33</f>
        <v>36438.655462184877</v>
      </c>
      <c r="C53" s="627">
        <f t="shared" si="3"/>
        <v>0</v>
      </c>
      <c r="D53" s="627">
        <f t="shared" si="3"/>
        <v>0</v>
      </c>
      <c r="E53" s="627">
        <f t="shared" si="3"/>
        <v>0</v>
      </c>
      <c r="F53" s="627">
        <f t="shared" si="3"/>
        <v>0</v>
      </c>
      <c r="G53" s="627">
        <f t="shared" si="3"/>
        <v>0</v>
      </c>
      <c r="H53" s="627">
        <f t="shared" si="3"/>
        <v>0</v>
      </c>
      <c r="I53" s="628">
        <f t="shared" si="3"/>
        <v>0</v>
      </c>
      <c r="J53" s="582"/>
      <c r="K53" s="582"/>
      <c r="L53" s="620"/>
      <c r="M53" s="620"/>
      <c r="N53" s="620"/>
      <c r="O53" s="607"/>
      <c r="P53" s="607"/>
    </row>
    <row r="54" spans="1:16">
      <c r="J54" s="562"/>
      <c r="K54" s="562"/>
      <c r="L54" s="562"/>
      <c r="M54" s="562"/>
      <c r="N54" s="562"/>
    </row>
    <row r="55" spans="1:16">
      <c r="J55" s="562"/>
      <c r="K55" s="562"/>
      <c r="L55" s="562"/>
      <c r="M55" s="562"/>
      <c r="N55"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36466.819020303745</v>
      </c>
      <c r="D10" s="643">
        <f ca="1">tertiair!C16</f>
        <v>96.428571428571431</v>
      </c>
      <c r="E10" s="643">
        <f ca="1">tertiair!D16</f>
        <v>37963.591329600269</v>
      </c>
      <c r="F10" s="643">
        <f>tertiair!E16</f>
        <v>170.8311420588488</v>
      </c>
      <c r="G10" s="643">
        <f ca="1">tertiair!F16</f>
        <v>8970.1499870004573</v>
      </c>
      <c r="H10" s="643">
        <f>tertiair!G16</f>
        <v>0</v>
      </c>
      <c r="I10" s="643">
        <f>tertiair!H16</f>
        <v>0</v>
      </c>
      <c r="J10" s="643">
        <f>tertiair!I16</f>
        <v>0</v>
      </c>
      <c r="K10" s="643">
        <f>tertiair!J16</f>
        <v>6.9944681843004772E-2</v>
      </c>
      <c r="L10" s="643">
        <f>tertiair!K16</f>
        <v>0</v>
      </c>
      <c r="M10" s="643">
        <f ca="1">tertiair!L16</f>
        <v>0</v>
      </c>
      <c r="N10" s="643">
        <f>tertiair!M16</f>
        <v>0</v>
      </c>
      <c r="O10" s="643">
        <f ca="1">tertiair!N16</f>
        <v>2702.7541666717798</v>
      </c>
      <c r="P10" s="643">
        <f>tertiair!O16</f>
        <v>4.8972607658411542</v>
      </c>
      <c r="Q10" s="644">
        <f>tertiair!P16</f>
        <v>262.69569153247511</v>
      </c>
      <c r="R10" s="646">
        <f ca="1">SUM(C10:Q10)</f>
        <v>86638.237114043819</v>
      </c>
      <c r="S10" s="67"/>
    </row>
    <row r="11" spans="1:19" s="441" customFormat="1">
      <c r="A11" s="763" t="s">
        <v>214</v>
      </c>
      <c r="B11" s="768"/>
      <c r="C11" s="643">
        <f>huishoudens!B8</f>
        <v>41681.677210715898</v>
      </c>
      <c r="D11" s="643">
        <f>huishoudens!C8</f>
        <v>0</v>
      </c>
      <c r="E11" s="643">
        <f>huishoudens!D8</f>
        <v>112086.22817879182</v>
      </c>
      <c r="F11" s="643">
        <f>huishoudens!E8</f>
        <v>1758.3341181925155</v>
      </c>
      <c r="G11" s="643">
        <f>huishoudens!F8</f>
        <v>31852.459666729268</v>
      </c>
      <c r="H11" s="643">
        <f>huishoudens!G8</f>
        <v>0</v>
      </c>
      <c r="I11" s="643">
        <f>huishoudens!H8</f>
        <v>0</v>
      </c>
      <c r="J11" s="643">
        <f>huishoudens!I8</f>
        <v>0</v>
      </c>
      <c r="K11" s="643">
        <f>huishoudens!J8</f>
        <v>201.48270075199775</v>
      </c>
      <c r="L11" s="643">
        <f>huishoudens!K8</f>
        <v>0</v>
      </c>
      <c r="M11" s="643">
        <f>huishoudens!L8</f>
        <v>0</v>
      </c>
      <c r="N11" s="643">
        <f>huishoudens!M8</f>
        <v>0</v>
      </c>
      <c r="O11" s="643">
        <f>huishoudens!N8</f>
        <v>12295.003912186186</v>
      </c>
      <c r="P11" s="643">
        <f>huishoudens!O8</f>
        <v>722.16079185687954</v>
      </c>
      <c r="Q11" s="644">
        <f>huishoudens!P8</f>
        <v>1422.0845065374783</v>
      </c>
      <c r="R11" s="646">
        <f>SUM(C11:Q11)</f>
        <v>202019.43108576204</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153859.64925306488</v>
      </c>
      <c r="D13" s="643">
        <f>industrie!C18</f>
        <v>21027.857142857141</v>
      </c>
      <c r="E13" s="643">
        <f>industrie!D18</f>
        <v>136171.79955648226</v>
      </c>
      <c r="F13" s="643">
        <f>industrie!E18</f>
        <v>15998.517617503916</v>
      </c>
      <c r="G13" s="643">
        <f>industrie!F18</f>
        <v>7588.805486700222</v>
      </c>
      <c r="H13" s="643">
        <f>industrie!G18</f>
        <v>0</v>
      </c>
      <c r="I13" s="643">
        <f>industrie!H18</f>
        <v>0</v>
      </c>
      <c r="J13" s="643">
        <f>industrie!I18</f>
        <v>0</v>
      </c>
      <c r="K13" s="643">
        <f>industrie!J18</f>
        <v>55.595500592833119</v>
      </c>
      <c r="L13" s="643">
        <f>industrie!K18</f>
        <v>0</v>
      </c>
      <c r="M13" s="643">
        <f>industrie!L18</f>
        <v>0</v>
      </c>
      <c r="N13" s="643">
        <f>industrie!M18</f>
        <v>0</v>
      </c>
      <c r="O13" s="643">
        <f>industrie!N18</f>
        <v>3201.3891546947902</v>
      </c>
      <c r="P13" s="643">
        <f>industrie!O18</f>
        <v>0</v>
      </c>
      <c r="Q13" s="644">
        <f>industrie!P18</f>
        <v>0</v>
      </c>
      <c r="R13" s="646">
        <f>SUM(C13:Q13)</f>
        <v>337903.61371189606</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232008.14548408453</v>
      </c>
      <c r="D16" s="679">
        <f t="shared" ref="D16:R16" ca="1" si="0">SUM(D9:D15)</f>
        <v>21124.285714285714</v>
      </c>
      <c r="E16" s="679">
        <f t="shared" ca="1" si="0"/>
        <v>286221.61906487436</v>
      </c>
      <c r="F16" s="679">
        <f t="shared" si="0"/>
        <v>17927.68287775528</v>
      </c>
      <c r="G16" s="679">
        <f t="shared" ca="1" si="0"/>
        <v>48411.415140429948</v>
      </c>
      <c r="H16" s="679">
        <f t="shared" si="0"/>
        <v>0</v>
      </c>
      <c r="I16" s="679">
        <f t="shared" si="0"/>
        <v>0</v>
      </c>
      <c r="J16" s="679">
        <f t="shared" si="0"/>
        <v>0</v>
      </c>
      <c r="K16" s="679">
        <f t="shared" si="0"/>
        <v>257.14814602667388</v>
      </c>
      <c r="L16" s="679">
        <f t="shared" si="0"/>
        <v>0</v>
      </c>
      <c r="M16" s="679">
        <f t="shared" ca="1" si="0"/>
        <v>0</v>
      </c>
      <c r="N16" s="679">
        <f t="shared" si="0"/>
        <v>0</v>
      </c>
      <c r="O16" s="679">
        <f t="shared" ca="1" si="0"/>
        <v>18199.147233552754</v>
      </c>
      <c r="P16" s="679">
        <f t="shared" si="0"/>
        <v>727.05805262272065</v>
      </c>
      <c r="Q16" s="679">
        <f t="shared" si="0"/>
        <v>1684.7801980699535</v>
      </c>
      <c r="R16" s="679">
        <f t="shared" ca="1" si="0"/>
        <v>626561.2819117019</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27.531574227137373</v>
      </c>
      <c r="D19" s="643">
        <f>transport!C54</f>
        <v>0</v>
      </c>
      <c r="E19" s="643">
        <f>transport!D54</f>
        <v>0</v>
      </c>
      <c r="F19" s="643">
        <f>transport!E54</f>
        <v>0</v>
      </c>
      <c r="G19" s="643">
        <f>transport!F54</f>
        <v>0</v>
      </c>
      <c r="H19" s="643">
        <f>transport!G54</f>
        <v>1723.5598074607819</v>
      </c>
      <c r="I19" s="643">
        <f>transport!H54</f>
        <v>0</v>
      </c>
      <c r="J19" s="643">
        <f>transport!I54</f>
        <v>0</v>
      </c>
      <c r="K19" s="643">
        <f>transport!J54</f>
        <v>0</v>
      </c>
      <c r="L19" s="643">
        <f>transport!K54</f>
        <v>0</v>
      </c>
      <c r="M19" s="643">
        <f>transport!L54</f>
        <v>0</v>
      </c>
      <c r="N19" s="643">
        <f>transport!M54</f>
        <v>98.962987781664864</v>
      </c>
      <c r="O19" s="643">
        <f>transport!N54</f>
        <v>0</v>
      </c>
      <c r="P19" s="643">
        <f>transport!O54</f>
        <v>0</v>
      </c>
      <c r="Q19" s="644">
        <f>transport!P54</f>
        <v>0</v>
      </c>
      <c r="R19" s="646">
        <f>SUM(C19:Q19)</f>
        <v>1850.0543694695841</v>
      </c>
      <c r="S19" s="67"/>
    </row>
    <row r="20" spans="1:19" s="441" customFormat="1">
      <c r="A20" s="763" t="s">
        <v>296</v>
      </c>
      <c r="B20" s="768"/>
      <c r="C20" s="643">
        <f>transport!B14</f>
        <v>1136.9716646789241</v>
      </c>
      <c r="D20" s="643">
        <f>transport!C14</f>
        <v>0</v>
      </c>
      <c r="E20" s="643">
        <f>transport!D14</f>
        <v>1695.5478179774591</v>
      </c>
      <c r="F20" s="643">
        <f>transport!E14</f>
        <v>678.33704155072485</v>
      </c>
      <c r="G20" s="643">
        <f>transport!F14</f>
        <v>0</v>
      </c>
      <c r="H20" s="643">
        <f>transport!G14</f>
        <v>390222.75940979825</v>
      </c>
      <c r="I20" s="643">
        <f>transport!H14</f>
        <v>90618.405043519873</v>
      </c>
      <c r="J20" s="643">
        <f>transport!I14</f>
        <v>0</v>
      </c>
      <c r="K20" s="643">
        <f>transport!J14</f>
        <v>0</v>
      </c>
      <c r="L20" s="643">
        <f>transport!K14</f>
        <v>0</v>
      </c>
      <c r="M20" s="643">
        <f>transport!L14</f>
        <v>0</v>
      </c>
      <c r="N20" s="643">
        <f>transport!M14</f>
        <v>28829.948705181047</v>
      </c>
      <c r="O20" s="643">
        <f>transport!N14</f>
        <v>0</v>
      </c>
      <c r="P20" s="643">
        <f>transport!O14</f>
        <v>0</v>
      </c>
      <c r="Q20" s="644">
        <f>transport!P14</f>
        <v>0</v>
      </c>
      <c r="R20" s="646">
        <f>SUM(C20:Q20)</f>
        <v>513181.96968270629</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1164.5032389060614</v>
      </c>
      <c r="D22" s="766">
        <f t="shared" ref="D22:R22" si="1">SUM(D18:D21)</f>
        <v>0</v>
      </c>
      <c r="E22" s="766">
        <f t="shared" si="1"/>
        <v>1695.5478179774591</v>
      </c>
      <c r="F22" s="766">
        <f t="shared" si="1"/>
        <v>678.33704155072485</v>
      </c>
      <c r="G22" s="766">
        <f t="shared" si="1"/>
        <v>0</v>
      </c>
      <c r="H22" s="766">
        <f t="shared" si="1"/>
        <v>391946.31921725901</v>
      </c>
      <c r="I22" s="766">
        <f t="shared" si="1"/>
        <v>90618.405043519873</v>
      </c>
      <c r="J22" s="766">
        <f t="shared" si="1"/>
        <v>0</v>
      </c>
      <c r="K22" s="766">
        <f t="shared" si="1"/>
        <v>0</v>
      </c>
      <c r="L22" s="766">
        <f t="shared" si="1"/>
        <v>0</v>
      </c>
      <c r="M22" s="766">
        <f t="shared" si="1"/>
        <v>0</v>
      </c>
      <c r="N22" s="766">
        <f t="shared" si="1"/>
        <v>28928.911692962713</v>
      </c>
      <c r="O22" s="766">
        <f t="shared" si="1"/>
        <v>0</v>
      </c>
      <c r="P22" s="766">
        <f t="shared" si="1"/>
        <v>0</v>
      </c>
      <c r="Q22" s="766">
        <f t="shared" si="1"/>
        <v>0</v>
      </c>
      <c r="R22" s="766">
        <f t="shared" si="1"/>
        <v>515032.02405217587</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951.82511262354694</v>
      </c>
      <c r="D24" s="643">
        <f>+landbouw!C8</f>
        <v>9848.5714285714294</v>
      </c>
      <c r="E24" s="643">
        <f>+landbouw!D8</f>
        <v>1473.2885537476759</v>
      </c>
      <c r="F24" s="643">
        <f>+landbouw!E8</f>
        <v>33.91161966865441</v>
      </c>
      <c r="G24" s="643">
        <f>+landbouw!F8</f>
        <v>3243.6407697468971</v>
      </c>
      <c r="H24" s="643">
        <f>+landbouw!G8</f>
        <v>0</v>
      </c>
      <c r="I24" s="643">
        <f>+landbouw!H8</f>
        <v>0</v>
      </c>
      <c r="J24" s="643">
        <f>+landbouw!I8</f>
        <v>0</v>
      </c>
      <c r="K24" s="643">
        <f>+landbouw!J8</f>
        <v>242.01923655486888</v>
      </c>
      <c r="L24" s="643">
        <f>+landbouw!K8</f>
        <v>0</v>
      </c>
      <c r="M24" s="643">
        <f>+landbouw!L8</f>
        <v>0</v>
      </c>
      <c r="N24" s="643">
        <f>+landbouw!M8</f>
        <v>0</v>
      </c>
      <c r="O24" s="643">
        <f>+landbouw!N8</f>
        <v>0</v>
      </c>
      <c r="P24" s="643">
        <f>+landbouw!O8</f>
        <v>0</v>
      </c>
      <c r="Q24" s="644">
        <f>+landbouw!P8</f>
        <v>0</v>
      </c>
      <c r="R24" s="646">
        <f>SUM(C24:Q24)</f>
        <v>15793.25672091307</v>
      </c>
      <c r="S24" s="67"/>
    </row>
    <row r="25" spans="1:19" s="441" customFormat="1" ht="15" thickBot="1">
      <c r="A25" s="785" t="s">
        <v>665</v>
      </c>
      <c r="B25" s="895"/>
      <c r="C25" s="896">
        <f>IF(Onbekend_ele_kWh="---",0,Onbekend_ele_kWh)/1000+IF(REST_rest_ele_kWh="---",0,REST_rest_ele_kWh)/1000</f>
        <v>1024.3476352319001</v>
      </c>
      <c r="D25" s="896"/>
      <c r="E25" s="896">
        <f>IF(onbekend_gas_kWh="---",0,onbekend_gas_kWh)/1000+IF(REST_rest_gas_kWh="---",0,REST_rest_gas_kWh)/1000</f>
        <v>4878.3726876759201</v>
      </c>
      <c r="F25" s="896"/>
      <c r="G25" s="896"/>
      <c r="H25" s="896"/>
      <c r="I25" s="896"/>
      <c r="J25" s="896"/>
      <c r="K25" s="896"/>
      <c r="L25" s="896"/>
      <c r="M25" s="896"/>
      <c r="N25" s="896"/>
      <c r="O25" s="896"/>
      <c r="P25" s="896"/>
      <c r="Q25" s="897"/>
      <c r="R25" s="646">
        <f>SUM(C25:Q25)</f>
        <v>5902.7203229078204</v>
      </c>
      <c r="S25" s="67"/>
    </row>
    <row r="26" spans="1:19" s="441" customFormat="1" ht="15.75" thickBot="1">
      <c r="A26" s="651" t="s">
        <v>666</v>
      </c>
      <c r="B26" s="771"/>
      <c r="C26" s="766">
        <f>SUM(C24:C25)</f>
        <v>1976.1727478554471</v>
      </c>
      <c r="D26" s="766">
        <f t="shared" ref="D26:R26" si="2">SUM(D24:D25)</f>
        <v>9848.5714285714294</v>
      </c>
      <c r="E26" s="766">
        <f t="shared" si="2"/>
        <v>6351.661241423596</v>
      </c>
      <c r="F26" s="766">
        <f t="shared" si="2"/>
        <v>33.91161966865441</v>
      </c>
      <c r="G26" s="766">
        <f t="shared" si="2"/>
        <v>3243.6407697468971</v>
      </c>
      <c r="H26" s="766">
        <f t="shared" si="2"/>
        <v>0</v>
      </c>
      <c r="I26" s="766">
        <f t="shared" si="2"/>
        <v>0</v>
      </c>
      <c r="J26" s="766">
        <f t="shared" si="2"/>
        <v>0</v>
      </c>
      <c r="K26" s="766">
        <f t="shared" si="2"/>
        <v>242.01923655486888</v>
      </c>
      <c r="L26" s="766">
        <f t="shared" si="2"/>
        <v>0</v>
      </c>
      <c r="M26" s="766">
        <f t="shared" si="2"/>
        <v>0</v>
      </c>
      <c r="N26" s="766">
        <f t="shared" si="2"/>
        <v>0</v>
      </c>
      <c r="O26" s="766">
        <f t="shared" si="2"/>
        <v>0</v>
      </c>
      <c r="P26" s="766">
        <f t="shared" si="2"/>
        <v>0</v>
      </c>
      <c r="Q26" s="766">
        <f t="shared" si="2"/>
        <v>0</v>
      </c>
      <c r="R26" s="766">
        <f t="shared" si="2"/>
        <v>21695.977043820891</v>
      </c>
      <c r="S26" s="67"/>
    </row>
    <row r="27" spans="1:19" s="441" customFormat="1" ht="17.25" thickTop="1" thickBot="1">
      <c r="A27" s="652" t="s">
        <v>109</v>
      </c>
      <c r="B27" s="758"/>
      <c r="C27" s="653">
        <f ca="1">C22+C16+C26</f>
        <v>235148.82147084604</v>
      </c>
      <c r="D27" s="653">
        <f t="shared" ref="D27:R27" ca="1" si="3">D22+D16+D26</f>
        <v>30972.857142857145</v>
      </c>
      <c r="E27" s="653">
        <f t="shared" ca="1" si="3"/>
        <v>294268.82812427537</v>
      </c>
      <c r="F27" s="653">
        <f t="shared" si="3"/>
        <v>18639.931538974659</v>
      </c>
      <c r="G27" s="653">
        <f t="shared" ca="1" si="3"/>
        <v>51655.055910176845</v>
      </c>
      <c r="H27" s="653">
        <f t="shared" si="3"/>
        <v>391946.31921725901</v>
      </c>
      <c r="I27" s="653">
        <f t="shared" si="3"/>
        <v>90618.405043519873</v>
      </c>
      <c r="J27" s="653">
        <f t="shared" si="3"/>
        <v>0</v>
      </c>
      <c r="K27" s="653">
        <f t="shared" si="3"/>
        <v>499.16738258154277</v>
      </c>
      <c r="L27" s="653">
        <f t="shared" si="3"/>
        <v>0</v>
      </c>
      <c r="M27" s="653">
        <f t="shared" ca="1" si="3"/>
        <v>0</v>
      </c>
      <c r="N27" s="653">
        <f t="shared" si="3"/>
        <v>28928.911692962713</v>
      </c>
      <c r="O27" s="653">
        <f t="shared" ca="1" si="3"/>
        <v>18199.147233552754</v>
      </c>
      <c r="P27" s="653">
        <f t="shared" si="3"/>
        <v>727.05805262272065</v>
      </c>
      <c r="Q27" s="653">
        <f t="shared" si="3"/>
        <v>1684.7801980699535</v>
      </c>
      <c r="R27" s="653">
        <f t="shared" ca="1" si="3"/>
        <v>1163289.2830076986</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6322.4403689677083</v>
      </c>
      <c r="D40" s="643">
        <f ca="1">tertiair!C20</f>
        <v>22.915966386554626</v>
      </c>
      <c r="E40" s="643">
        <f ca="1">tertiair!D20</f>
        <v>7668.6454485792547</v>
      </c>
      <c r="F40" s="643">
        <f>tertiair!E20</f>
        <v>38.778669247358678</v>
      </c>
      <c r="G40" s="643">
        <f ca="1">tertiair!F20</f>
        <v>2395.030046529122</v>
      </c>
      <c r="H40" s="643">
        <f>tertiair!G20</f>
        <v>0</v>
      </c>
      <c r="I40" s="643">
        <f>tertiair!H20</f>
        <v>0</v>
      </c>
      <c r="J40" s="643">
        <f>tertiair!I20</f>
        <v>0</v>
      </c>
      <c r="K40" s="643">
        <f>tertiair!J20</f>
        <v>2.4760417372423689E-2</v>
      </c>
      <c r="L40" s="643">
        <f>tertiair!K20</f>
        <v>0</v>
      </c>
      <c r="M40" s="643">
        <f ca="1">tertiair!L20</f>
        <v>0</v>
      </c>
      <c r="N40" s="643">
        <f>tertiair!M20</f>
        <v>0</v>
      </c>
      <c r="O40" s="643">
        <f ca="1">tertiair!N20</f>
        <v>0</v>
      </c>
      <c r="P40" s="643">
        <f>tertiair!O20</f>
        <v>0</v>
      </c>
      <c r="Q40" s="726">
        <f>tertiair!P20</f>
        <v>0</v>
      </c>
      <c r="R40" s="804">
        <f t="shared" ca="1" si="4"/>
        <v>16447.835260127369</v>
      </c>
    </row>
    <row r="41" spans="1:18">
      <c r="A41" s="776" t="s">
        <v>214</v>
      </c>
      <c r="B41" s="783"/>
      <c r="C41" s="643">
        <f ca="1">huishoudens!B12</f>
        <v>7226.5672115954294</v>
      </c>
      <c r="D41" s="643">
        <f ca="1">huishoudens!C12</f>
        <v>0</v>
      </c>
      <c r="E41" s="643">
        <f>huishoudens!D12</f>
        <v>22641.41809211595</v>
      </c>
      <c r="F41" s="643">
        <f>huishoudens!E12</f>
        <v>399.14184482970103</v>
      </c>
      <c r="G41" s="643">
        <f>huishoudens!F12</f>
        <v>8504.6067310167145</v>
      </c>
      <c r="H41" s="643">
        <f>huishoudens!G12</f>
        <v>0</v>
      </c>
      <c r="I41" s="643">
        <f>huishoudens!H12</f>
        <v>0</v>
      </c>
      <c r="J41" s="643">
        <f>huishoudens!I12</f>
        <v>0</v>
      </c>
      <c r="K41" s="643">
        <f>huishoudens!J12</f>
        <v>71.324876066207196</v>
      </c>
      <c r="L41" s="643">
        <f>huishoudens!K12</f>
        <v>0</v>
      </c>
      <c r="M41" s="643">
        <f>huishoudens!L12</f>
        <v>0</v>
      </c>
      <c r="N41" s="643">
        <f>huishoudens!M12</f>
        <v>0</v>
      </c>
      <c r="O41" s="643">
        <f>huishoudens!N12</f>
        <v>0</v>
      </c>
      <c r="P41" s="643">
        <f>huishoudens!O12</f>
        <v>0</v>
      </c>
      <c r="Q41" s="726">
        <f>huishoudens!P12</f>
        <v>0</v>
      </c>
      <c r="R41" s="804">
        <f t="shared" ca="1" si="4"/>
        <v>38843.058755624006</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26675.440406556398</v>
      </c>
      <c r="D43" s="643">
        <f ca="1">industrie!C22</f>
        <v>4997.2084033613446</v>
      </c>
      <c r="E43" s="643">
        <f>industrie!D22</f>
        <v>27506.703510409418</v>
      </c>
      <c r="F43" s="643">
        <f>industrie!E22</f>
        <v>3631.663499173389</v>
      </c>
      <c r="G43" s="643">
        <f>industrie!F22</f>
        <v>2026.2110649489593</v>
      </c>
      <c r="H43" s="643">
        <f>industrie!G22</f>
        <v>0</v>
      </c>
      <c r="I43" s="643">
        <f>industrie!H22</f>
        <v>0</v>
      </c>
      <c r="J43" s="643">
        <f>industrie!I22</f>
        <v>0</v>
      </c>
      <c r="K43" s="643">
        <f>industrie!J22</f>
        <v>19.680807209862923</v>
      </c>
      <c r="L43" s="643">
        <f>industrie!K22</f>
        <v>0</v>
      </c>
      <c r="M43" s="643">
        <f>industrie!L22</f>
        <v>0</v>
      </c>
      <c r="N43" s="643">
        <f>industrie!M22</f>
        <v>0</v>
      </c>
      <c r="O43" s="643">
        <f>industrie!N22</f>
        <v>0</v>
      </c>
      <c r="P43" s="643">
        <f>industrie!O22</f>
        <v>0</v>
      </c>
      <c r="Q43" s="726">
        <f>industrie!P22</f>
        <v>0</v>
      </c>
      <c r="R43" s="803">
        <f t="shared" ca="1" si="4"/>
        <v>64856.907691659377</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40224.447987119536</v>
      </c>
      <c r="D46" s="679">
        <f t="shared" ref="D46:Q46" ca="1" si="5">SUM(D39:D45)</f>
        <v>5020.1243697478994</v>
      </c>
      <c r="E46" s="679">
        <f t="shared" ca="1" si="5"/>
        <v>57816.767051104624</v>
      </c>
      <c r="F46" s="679">
        <f t="shared" si="5"/>
        <v>4069.5840132504486</v>
      </c>
      <c r="G46" s="679">
        <f t="shared" ca="1" si="5"/>
        <v>12925.847842494795</v>
      </c>
      <c r="H46" s="679">
        <f t="shared" si="5"/>
        <v>0</v>
      </c>
      <c r="I46" s="679">
        <f t="shared" si="5"/>
        <v>0</v>
      </c>
      <c r="J46" s="679">
        <f t="shared" si="5"/>
        <v>0</v>
      </c>
      <c r="K46" s="679">
        <f t="shared" si="5"/>
        <v>91.030443693442535</v>
      </c>
      <c r="L46" s="679">
        <f t="shared" si="5"/>
        <v>0</v>
      </c>
      <c r="M46" s="679">
        <f t="shared" ca="1" si="5"/>
        <v>0</v>
      </c>
      <c r="N46" s="679">
        <f t="shared" si="5"/>
        <v>0</v>
      </c>
      <c r="O46" s="679">
        <f t="shared" ca="1" si="5"/>
        <v>0</v>
      </c>
      <c r="P46" s="679">
        <f t="shared" si="5"/>
        <v>0</v>
      </c>
      <c r="Q46" s="679">
        <f t="shared" si="5"/>
        <v>0</v>
      </c>
      <c r="R46" s="679">
        <f ca="1">SUM(R39:R45)</f>
        <v>120147.80170741075</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4.7732909255937193</v>
      </c>
      <c r="D49" s="643">
        <f ca="1">transport!C58</f>
        <v>0</v>
      </c>
      <c r="E49" s="643">
        <f>transport!D58</f>
        <v>0</v>
      </c>
      <c r="F49" s="643">
        <f>transport!E58</f>
        <v>0</v>
      </c>
      <c r="G49" s="643">
        <f>transport!F58</f>
        <v>0</v>
      </c>
      <c r="H49" s="643">
        <f>transport!G58</f>
        <v>460.19046859202882</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464.96375951762252</v>
      </c>
    </row>
    <row r="50" spans="1:18">
      <c r="A50" s="779" t="s">
        <v>296</v>
      </c>
      <c r="B50" s="789"/>
      <c r="C50" s="649">
        <f ca="1">transport!B18</f>
        <v>197.12263762671813</v>
      </c>
      <c r="D50" s="649">
        <f>transport!C18</f>
        <v>0</v>
      </c>
      <c r="E50" s="649">
        <f>transport!D18</f>
        <v>342.50065923144678</v>
      </c>
      <c r="F50" s="649">
        <f>transport!E18</f>
        <v>153.98250843201455</v>
      </c>
      <c r="G50" s="649">
        <f>transport!F18</f>
        <v>0</v>
      </c>
      <c r="H50" s="649">
        <f>transport!G18</f>
        <v>104189.47676241613</v>
      </c>
      <c r="I50" s="649">
        <f>transport!H18</f>
        <v>22563.98285583645</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127447.06542354276</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201.89592855231186</v>
      </c>
      <c r="D52" s="679">
        <f t="shared" ref="D52:Q52" ca="1" si="6">SUM(D48:D51)</f>
        <v>0</v>
      </c>
      <c r="E52" s="679">
        <f t="shared" si="6"/>
        <v>342.50065923144678</v>
      </c>
      <c r="F52" s="679">
        <f t="shared" si="6"/>
        <v>153.98250843201455</v>
      </c>
      <c r="G52" s="679">
        <f t="shared" si="6"/>
        <v>0</v>
      </c>
      <c r="H52" s="679">
        <f t="shared" si="6"/>
        <v>104649.66723100816</v>
      </c>
      <c r="I52" s="679">
        <f t="shared" si="6"/>
        <v>22563.98285583645</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127912.02918306038</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165.02282562396707</v>
      </c>
      <c r="D54" s="649">
        <f ca="1">+landbouw!C12</f>
        <v>2340.4840336134457</v>
      </c>
      <c r="E54" s="649">
        <f>+landbouw!D12</f>
        <v>297.60428785703056</v>
      </c>
      <c r="F54" s="649">
        <f>+landbouw!E12</f>
        <v>7.6979376647845514</v>
      </c>
      <c r="G54" s="649">
        <f>+landbouw!F12</f>
        <v>866.05208552242163</v>
      </c>
      <c r="H54" s="649">
        <f>+landbouw!G12</f>
        <v>0</v>
      </c>
      <c r="I54" s="649">
        <f>+landbouw!H12</f>
        <v>0</v>
      </c>
      <c r="J54" s="649">
        <f>+landbouw!I12</f>
        <v>0</v>
      </c>
      <c r="K54" s="649">
        <f>+landbouw!J12</f>
        <v>85.674809740423584</v>
      </c>
      <c r="L54" s="649">
        <f>+landbouw!K12</f>
        <v>0</v>
      </c>
      <c r="M54" s="649">
        <f>+landbouw!L12</f>
        <v>0</v>
      </c>
      <c r="N54" s="649">
        <f>+landbouw!M12</f>
        <v>0</v>
      </c>
      <c r="O54" s="649">
        <f>+landbouw!N12</f>
        <v>0</v>
      </c>
      <c r="P54" s="649">
        <f>+landbouw!O12</f>
        <v>0</v>
      </c>
      <c r="Q54" s="650">
        <f>+landbouw!P12</f>
        <v>0</v>
      </c>
      <c r="R54" s="678">
        <f ca="1">SUM(C54:Q54)</f>
        <v>3762.5359800220731</v>
      </c>
    </row>
    <row r="55" spans="1:18" ht="15" thickBot="1">
      <c r="A55" s="779" t="s">
        <v>665</v>
      </c>
      <c r="B55" s="789"/>
      <c r="C55" s="649">
        <f ca="1">C25*'EF ele_warmte'!B12</f>
        <v>177.59642916046235</v>
      </c>
      <c r="D55" s="649"/>
      <c r="E55" s="649">
        <f>E25*EF_CO2_aardgas</f>
        <v>985.43128291053597</v>
      </c>
      <c r="F55" s="649"/>
      <c r="G55" s="649"/>
      <c r="H55" s="649"/>
      <c r="I55" s="649"/>
      <c r="J55" s="649"/>
      <c r="K55" s="649"/>
      <c r="L55" s="649"/>
      <c r="M55" s="649"/>
      <c r="N55" s="649"/>
      <c r="O55" s="649"/>
      <c r="P55" s="649"/>
      <c r="Q55" s="650"/>
      <c r="R55" s="678">
        <f ca="1">SUM(C55:Q55)</f>
        <v>1163.0277120709984</v>
      </c>
    </row>
    <row r="56" spans="1:18" ht="15.75" thickBot="1">
      <c r="A56" s="777" t="s">
        <v>666</v>
      </c>
      <c r="B56" s="790"/>
      <c r="C56" s="679">
        <f ca="1">SUM(C54:C55)</f>
        <v>342.61925478442942</v>
      </c>
      <c r="D56" s="679">
        <f t="shared" ref="D56:Q56" ca="1" si="7">SUM(D54:D55)</f>
        <v>2340.4840336134457</v>
      </c>
      <c r="E56" s="679">
        <f t="shared" si="7"/>
        <v>1283.0355707675665</v>
      </c>
      <c r="F56" s="679">
        <f t="shared" si="7"/>
        <v>7.6979376647845514</v>
      </c>
      <c r="G56" s="679">
        <f t="shared" si="7"/>
        <v>866.05208552242163</v>
      </c>
      <c r="H56" s="679">
        <f t="shared" si="7"/>
        <v>0</v>
      </c>
      <c r="I56" s="679">
        <f t="shared" si="7"/>
        <v>0</v>
      </c>
      <c r="J56" s="679">
        <f t="shared" si="7"/>
        <v>0</v>
      </c>
      <c r="K56" s="679">
        <f t="shared" si="7"/>
        <v>85.674809740423584</v>
      </c>
      <c r="L56" s="679">
        <f t="shared" si="7"/>
        <v>0</v>
      </c>
      <c r="M56" s="679">
        <f t="shared" si="7"/>
        <v>0</v>
      </c>
      <c r="N56" s="679">
        <f t="shared" si="7"/>
        <v>0</v>
      </c>
      <c r="O56" s="679">
        <f t="shared" si="7"/>
        <v>0</v>
      </c>
      <c r="P56" s="679">
        <f t="shared" si="7"/>
        <v>0</v>
      </c>
      <c r="Q56" s="680">
        <f t="shared" si="7"/>
        <v>0</v>
      </c>
      <c r="R56" s="681">
        <f ca="1">SUM(R54:R55)</f>
        <v>4925.5636920930719</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40768.963170456278</v>
      </c>
      <c r="D61" s="687">
        <f t="shared" ref="D61:Q61" ca="1" si="8">D46+D52+D56</f>
        <v>7360.6084033613452</v>
      </c>
      <c r="E61" s="687">
        <f t="shared" ca="1" si="8"/>
        <v>59442.303281103639</v>
      </c>
      <c r="F61" s="687">
        <f t="shared" si="8"/>
        <v>4231.2644593472469</v>
      </c>
      <c r="G61" s="687">
        <f t="shared" ca="1" si="8"/>
        <v>13791.899928017217</v>
      </c>
      <c r="H61" s="687">
        <f t="shared" si="8"/>
        <v>104649.66723100816</v>
      </c>
      <c r="I61" s="687">
        <f t="shared" si="8"/>
        <v>22563.98285583645</v>
      </c>
      <c r="J61" s="687">
        <f t="shared" si="8"/>
        <v>0</v>
      </c>
      <c r="K61" s="687">
        <f t="shared" si="8"/>
        <v>176.70525343386612</v>
      </c>
      <c r="L61" s="687">
        <f t="shared" si="8"/>
        <v>0</v>
      </c>
      <c r="M61" s="687">
        <f t="shared" ca="1" si="8"/>
        <v>0</v>
      </c>
      <c r="N61" s="687">
        <f t="shared" si="8"/>
        <v>0</v>
      </c>
      <c r="O61" s="687">
        <f t="shared" ca="1" si="8"/>
        <v>0</v>
      </c>
      <c r="P61" s="687">
        <f t="shared" si="8"/>
        <v>0</v>
      </c>
      <c r="Q61" s="687">
        <f t="shared" si="8"/>
        <v>0</v>
      </c>
      <c r="R61" s="687">
        <f ca="1">R46+R52+R56</f>
        <v>252985.39458256419</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0.17337515414896881</v>
      </c>
      <c r="D63" s="733">
        <f t="shared" ca="1" si="9"/>
        <v>0.23764705882352941</v>
      </c>
      <c r="E63" s="921">
        <f t="shared" ca="1" si="9"/>
        <v>0.20200000000000004</v>
      </c>
      <c r="F63" s="733">
        <f t="shared" si="9"/>
        <v>0.22699999999999995</v>
      </c>
      <c r="G63" s="733">
        <f t="shared" ca="1" si="9"/>
        <v>0.26700000000000002</v>
      </c>
      <c r="H63" s="733">
        <f t="shared" si="9"/>
        <v>0.26700000000000002</v>
      </c>
      <c r="I63" s="733">
        <f t="shared" si="9"/>
        <v>0.24900000000000003</v>
      </c>
      <c r="J63" s="733">
        <f t="shared" si="9"/>
        <v>0</v>
      </c>
      <c r="K63" s="733">
        <f t="shared" si="9"/>
        <v>0.35399999999999998</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36888.62620545525</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15418.393056778445</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0</v>
      </c>
      <c r="C76" s="700">
        <f>'lokale energieproductie'!B8*IFERROR(SUM(D76:H76)/SUM(D76:O76),0)</f>
        <v>21681</v>
      </c>
      <c r="D76" s="904">
        <f>'lokale energieproductie'!C8</f>
        <v>25507.058823529413</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5152.4258823529417</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52307.019262233691</v>
      </c>
      <c r="C78" s="705">
        <f>SUM(C72:C77)</f>
        <v>21681</v>
      </c>
      <c r="D78" s="706">
        <f t="shared" ref="D78:H78" si="10">SUM(D76:D77)</f>
        <v>25507.058823529413</v>
      </c>
      <c r="E78" s="706">
        <f t="shared" si="10"/>
        <v>0</v>
      </c>
      <c r="F78" s="706">
        <f t="shared" si="10"/>
        <v>0</v>
      </c>
      <c r="G78" s="706">
        <f t="shared" si="10"/>
        <v>0</v>
      </c>
      <c r="H78" s="706">
        <f t="shared" si="10"/>
        <v>0</v>
      </c>
      <c r="I78" s="706">
        <f>SUM(I76:I77)</f>
        <v>0</v>
      </c>
      <c r="J78" s="706">
        <f>SUM(J76:J77)</f>
        <v>0</v>
      </c>
      <c r="K78" s="706">
        <f t="shared" ref="K78:L78" si="11">SUM(K76:K77)</f>
        <v>0</v>
      </c>
      <c r="L78" s="706">
        <f t="shared" si="11"/>
        <v>0</v>
      </c>
      <c r="M78" s="706">
        <f>SUM(M76:M77)</f>
        <v>0</v>
      </c>
      <c r="N78" s="706">
        <f>SUM(N76:N77)</f>
        <v>0</v>
      </c>
      <c r="O78" s="814">
        <f>SUM(O76:O77)</f>
        <v>0</v>
      </c>
      <c r="P78" s="707">
        <v>0</v>
      </c>
      <c r="Q78" s="707">
        <f>SUM(Q76:Q77)</f>
        <v>5152.4258823529417</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0</v>
      </c>
      <c r="C87" s="718">
        <f>'lokale energieproductie'!B17*IFERROR(SUM(D87:H87)/SUM(D87:O87),0)</f>
        <v>30972.857142857145</v>
      </c>
      <c r="D87" s="729">
        <f>'lokale energieproductie'!C17</f>
        <v>36438.655462184877</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0</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7360.6084033613461</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0</v>
      </c>
      <c r="C90" s="705">
        <f>SUM(C87:C89)</f>
        <v>30972.857142857145</v>
      </c>
      <c r="D90" s="705">
        <f t="shared" ref="D90:H90" si="12">SUM(D87:D89)</f>
        <v>36438.655462184877</v>
      </c>
      <c r="E90" s="705">
        <f t="shared" si="12"/>
        <v>0</v>
      </c>
      <c r="F90" s="705">
        <f t="shared" si="12"/>
        <v>0</v>
      </c>
      <c r="G90" s="705">
        <f t="shared" si="12"/>
        <v>0</v>
      </c>
      <c r="H90" s="705">
        <f t="shared" si="12"/>
        <v>0</v>
      </c>
      <c r="I90" s="705">
        <f>SUM(I87:I89)</f>
        <v>0</v>
      </c>
      <c r="J90" s="705">
        <f>SUM(J87:J89)</f>
        <v>0</v>
      </c>
      <c r="K90" s="705">
        <f t="shared" ref="K90:L90" si="13">SUM(K87:K89)</f>
        <v>0</v>
      </c>
      <c r="L90" s="705">
        <f t="shared" si="13"/>
        <v>0</v>
      </c>
      <c r="M90" s="705">
        <f>SUM(M87:M89)</f>
        <v>0</v>
      </c>
      <c r="N90" s="705">
        <f>SUM(N87:N89)</f>
        <v>0</v>
      </c>
      <c r="O90" s="705">
        <f>SUM(O87:O89)</f>
        <v>0</v>
      </c>
      <c r="P90" s="705">
        <v>0</v>
      </c>
      <c r="Q90" s="705">
        <f>SUM(Q87:Q89)</f>
        <v>7360.6084033613461</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41681.677210715898</v>
      </c>
      <c r="C4" s="445">
        <f>huishoudens!C8</f>
        <v>0</v>
      </c>
      <c r="D4" s="445">
        <f>huishoudens!D8</f>
        <v>112086.22817879182</v>
      </c>
      <c r="E4" s="445">
        <f>huishoudens!E8</f>
        <v>1758.3341181925155</v>
      </c>
      <c r="F4" s="445">
        <f>huishoudens!F8</f>
        <v>31852.459666729268</v>
      </c>
      <c r="G4" s="445">
        <f>huishoudens!G8</f>
        <v>0</v>
      </c>
      <c r="H4" s="445">
        <f>huishoudens!H8</f>
        <v>0</v>
      </c>
      <c r="I4" s="445">
        <f>huishoudens!I8</f>
        <v>0</v>
      </c>
      <c r="J4" s="445">
        <f>huishoudens!J8</f>
        <v>201.48270075199775</v>
      </c>
      <c r="K4" s="445">
        <f>huishoudens!K8</f>
        <v>0</v>
      </c>
      <c r="L4" s="445">
        <f>huishoudens!L8</f>
        <v>0</v>
      </c>
      <c r="M4" s="445">
        <f>huishoudens!M8</f>
        <v>0</v>
      </c>
      <c r="N4" s="445">
        <f>huishoudens!N8</f>
        <v>12295.003912186186</v>
      </c>
      <c r="O4" s="445">
        <f>huishoudens!O8</f>
        <v>722.16079185687954</v>
      </c>
      <c r="P4" s="446">
        <f>huishoudens!P8</f>
        <v>1422.0845065374783</v>
      </c>
      <c r="Q4" s="447">
        <f>SUM(B4:P4)</f>
        <v>202019.43108576204</v>
      </c>
    </row>
    <row r="5" spans="1:17">
      <c r="A5" s="444" t="s">
        <v>149</v>
      </c>
      <c r="B5" s="445">
        <f ca="1">tertiair!B16</f>
        <v>34755.659020303741</v>
      </c>
      <c r="C5" s="445">
        <f ca="1">tertiair!C16</f>
        <v>96.428571428571431</v>
      </c>
      <c r="D5" s="445">
        <f ca="1">tertiair!D16</f>
        <v>37963.591329600269</v>
      </c>
      <c r="E5" s="445">
        <f>tertiair!E16</f>
        <v>170.8311420588488</v>
      </c>
      <c r="F5" s="445">
        <f ca="1">tertiair!F16</f>
        <v>8970.1499870004573</v>
      </c>
      <c r="G5" s="445">
        <f>tertiair!G16</f>
        <v>0</v>
      </c>
      <c r="H5" s="445">
        <f>tertiair!H16</f>
        <v>0</v>
      </c>
      <c r="I5" s="445">
        <f>tertiair!I16</f>
        <v>0</v>
      </c>
      <c r="J5" s="445">
        <f>tertiair!J16</f>
        <v>6.9944681843004772E-2</v>
      </c>
      <c r="K5" s="445">
        <f>tertiair!K16</f>
        <v>0</v>
      </c>
      <c r="L5" s="445">
        <f ca="1">tertiair!L16</f>
        <v>0</v>
      </c>
      <c r="M5" s="445">
        <f>tertiair!M16</f>
        <v>0</v>
      </c>
      <c r="N5" s="445">
        <f ca="1">tertiair!N16</f>
        <v>2702.7541666717798</v>
      </c>
      <c r="O5" s="445">
        <f>tertiair!O16</f>
        <v>4.8972607658411542</v>
      </c>
      <c r="P5" s="446">
        <f>tertiair!P16</f>
        <v>262.69569153247511</v>
      </c>
      <c r="Q5" s="444">
        <f t="shared" ref="Q5:Q14" ca="1" si="0">SUM(B5:P5)</f>
        <v>84927.077114043816</v>
      </c>
    </row>
    <row r="6" spans="1:17">
      <c r="A6" s="444" t="s">
        <v>187</v>
      </c>
      <c r="B6" s="445">
        <f>'openbare verlichting'!B8</f>
        <v>1711.16</v>
      </c>
      <c r="C6" s="445"/>
      <c r="D6" s="445"/>
      <c r="E6" s="445"/>
      <c r="F6" s="445"/>
      <c r="G6" s="445"/>
      <c r="H6" s="445"/>
      <c r="I6" s="445"/>
      <c r="J6" s="445"/>
      <c r="K6" s="445"/>
      <c r="L6" s="445"/>
      <c r="M6" s="445"/>
      <c r="N6" s="445"/>
      <c r="O6" s="445"/>
      <c r="P6" s="446"/>
      <c r="Q6" s="444">
        <f t="shared" si="0"/>
        <v>1711.16</v>
      </c>
    </row>
    <row r="7" spans="1:17">
      <c r="A7" s="444" t="s">
        <v>105</v>
      </c>
      <c r="B7" s="445">
        <f>landbouw!B8</f>
        <v>951.82511262354694</v>
      </c>
      <c r="C7" s="445">
        <f>landbouw!C8</f>
        <v>9848.5714285714294</v>
      </c>
      <c r="D7" s="445">
        <f>landbouw!D8</f>
        <v>1473.2885537476759</v>
      </c>
      <c r="E7" s="445">
        <f>landbouw!E8</f>
        <v>33.91161966865441</v>
      </c>
      <c r="F7" s="445">
        <f>landbouw!F8</f>
        <v>3243.6407697468971</v>
      </c>
      <c r="G7" s="445">
        <f>landbouw!G8</f>
        <v>0</v>
      </c>
      <c r="H7" s="445">
        <f>landbouw!H8</f>
        <v>0</v>
      </c>
      <c r="I7" s="445">
        <f>landbouw!I8</f>
        <v>0</v>
      </c>
      <c r="J7" s="445">
        <f>landbouw!J8</f>
        <v>242.01923655486888</v>
      </c>
      <c r="K7" s="445">
        <f>landbouw!K8</f>
        <v>0</v>
      </c>
      <c r="L7" s="445">
        <f>landbouw!L8</f>
        <v>0</v>
      </c>
      <c r="M7" s="445">
        <f>landbouw!M8</f>
        <v>0</v>
      </c>
      <c r="N7" s="445">
        <f>landbouw!N8</f>
        <v>0</v>
      </c>
      <c r="O7" s="445">
        <f>landbouw!O8</f>
        <v>0</v>
      </c>
      <c r="P7" s="446">
        <f>landbouw!P8</f>
        <v>0</v>
      </c>
      <c r="Q7" s="444">
        <f t="shared" si="0"/>
        <v>15793.25672091307</v>
      </c>
    </row>
    <row r="8" spans="1:17">
      <c r="A8" s="444" t="s">
        <v>586</v>
      </c>
      <c r="B8" s="445">
        <f>industrie!B18</f>
        <v>153859.64925306488</v>
      </c>
      <c r="C8" s="445">
        <f>industrie!C18</f>
        <v>21027.857142857141</v>
      </c>
      <c r="D8" s="445">
        <f>industrie!D18</f>
        <v>136171.79955648226</v>
      </c>
      <c r="E8" s="445">
        <f>industrie!E18</f>
        <v>15998.517617503916</v>
      </c>
      <c r="F8" s="445">
        <f>industrie!F18</f>
        <v>7588.805486700222</v>
      </c>
      <c r="G8" s="445">
        <f>industrie!G18</f>
        <v>0</v>
      </c>
      <c r="H8" s="445">
        <f>industrie!H18</f>
        <v>0</v>
      </c>
      <c r="I8" s="445">
        <f>industrie!I18</f>
        <v>0</v>
      </c>
      <c r="J8" s="445">
        <f>industrie!J18</f>
        <v>55.595500592833119</v>
      </c>
      <c r="K8" s="445">
        <f>industrie!K18</f>
        <v>0</v>
      </c>
      <c r="L8" s="445">
        <f>industrie!L18</f>
        <v>0</v>
      </c>
      <c r="M8" s="445">
        <f>industrie!M18</f>
        <v>0</v>
      </c>
      <c r="N8" s="445">
        <f>industrie!N18</f>
        <v>3201.3891546947902</v>
      </c>
      <c r="O8" s="445">
        <f>industrie!O18</f>
        <v>0</v>
      </c>
      <c r="P8" s="446">
        <f>industrie!P18</f>
        <v>0</v>
      </c>
      <c r="Q8" s="444">
        <f t="shared" si="0"/>
        <v>337903.61371189606</v>
      </c>
    </row>
    <row r="9" spans="1:17" s="450" customFormat="1">
      <c r="A9" s="448" t="s">
        <v>535</v>
      </c>
      <c r="B9" s="449">
        <f>transport!B14</f>
        <v>1136.9716646789241</v>
      </c>
      <c r="C9" s="449">
        <f>transport!C14</f>
        <v>0</v>
      </c>
      <c r="D9" s="449">
        <f>transport!D14</f>
        <v>1695.5478179774591</v>
      </c>
      <c r="E9" s="449">
        <f>transport!E14</f>
        <v>678.33704155072485</v>
      </c>
      <c r="F9" s="449">
        <f>transport!F14</f>
        <v>0</v>
      </c>
      <c r="G9" s="449">
        <f>transport!G14</f>
        <v>390222.75940979825</v>
      </c>
      <c r="H9" s="449">
        <f>transport!H14</f>
        <v>90618.405043519873</v>
      </c>
      <c r="I9" s="449">
        <f>transport!I14</f>
        <v>0</v>
      </c>
      <c r="J9" s="449">
        <f>transport!J14</f>
        <v>0</v>
      </c>
      <c r="K9" s="449">
        <f>transport!K14</f>
        <v>0</v>
      </c>
      <c r="L9" s="449">
        <f>transport!L14</f>
        <v>0</v>
      </c>
      <c r="M9" s="449">
        <f>transport!M14</f>
        <v>28829.948705181047</v>
      </c>
      <c r="N9" s="449">
        <f>transport!N14</f>
        <v>0</v>
      </c>
      <c r="O9" s="449">
        <f>transport!O14</f>
        <v>0</v>
      </c>
      <c r="P9" s="449">
        <f>transport!P14</f>
        <v>0</v>
      </c>
      <c r="Q9" s="448">
        <f>SUM(B9:P9)</f>
        <v>513181.96968270629</v>
      </c>
    </row>
    <row r="10" spans="1:17">
      <c r="A10" s="444" t="s">
        <v>525</v>
      </c>
      <c r="B10" s="445">
        <f>transport!B54</f>
        <v>27.531574227137373</v>
      </c>
      <c r="C10" s="445">
        <f>transport!C54</f>
        <v>0</v>
      </c>
      <c r="D10" s="445">
        <f>transport!D54</f>
        <v>0</v>
      </c>
      <c r="E10" s="445">
        <f>transport!E54</f>
        <v>0</v>
      </c>
      <c r="F10" s="445">
        <f>transport!F54</f>
        <v>0</v>
      </c>
      <c r="G10" s="445">
        <f>transport!G54</f>
        <v>1723.5598074607819</v>
      </c>
      <c r="H10" s="445">
        <f>transport!H54</f>
        <v>0</v>
      </c>
      <c r="I10" s="445">
        <f>transport!I54</f>
        <v>0</v>
      </c>
      <c r="J10" s="445">
        <f>transport!J54</f>
        <v>0</v>
      </c>
      <c r="K10" s="445">
        <f>transport!K54</f>
        <v>0</v>
      </c>
      <c r="L10" s="445">
        <f>transport!L54</f>
        <v>0</v>
      </c>
      <c r="M10" s="445">
        <f>transport!M54</f>
        <v>98.962987781664864</v>
      </c>
      <c r="N10" s="445">
        <f>transport!N54</f>
        <v>0</v>
      </c>
      <c r="O10" s="445">
        <f>transport!O54</f>
        <v>0</v>
      </c>
      <c r="P10" s="446">
        <f>transport!P54</f>
        <v>0</v>
      </c>
      <c r="Q10" s="444">
        <f t="shared" si="0"/>
        <v>1850.0543694695841</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1024.3476352319001</v>
      </c>
      <c r="C14" s="452"/>
      <c r="D14" s="452">
        <f>'SEAP template'!E25</f>
        <v>4878.3726876759201</v>
      </c>
      <c r="E14" s="452"/>
      <c r="F14" s="452"/>
      <c r="G14" s="452"/>
      <c r="H14" s="452"/>
      <c r="I14" s="452"/>
      <c r="J14" s="452"/>
      <c r="K14" s="452"/>
      <c r="L14" s="452"/>
      <c r="M14" s="452"/>
      <c r="N14" s="452"/>
      <c r="O14" s="452"/>
      <c r="P14" s="453"/>
      <c r="Q14" s="444">
        <f t="shared" si="0"/>
        <v>5902.7203229078204</v>
      </c>
    </row>
    <row r="15" spans="1:17" s="456" customFormat="1">
      <c r="A15" s="454" t="s">
        <v>529</v>
      </c>
      <c r="B15" s="455">
        <f ca="1">SUM(B4:B14)</f>
        <v>235148.82147084604</v>
      </c>
      <c r="C15" s="455">
        <f t="shared" ref="C15:Q15" ca="1" si="1">SUM(C4:C14)</f>
        <v>30972.857142857141</v>
      </c>
      <c r="D15" s="455">
        <f t="shared" ca="1" si="1"/>
        <v>294268.82812427537</v>
      </c>
      <c r="E15" s="455">
        <f t="shared" si="1"/>
        <v>18639.931538974659</v>
      </c>
      <c r="F15" s="455">
        <f t="shared" ca="1" si="1"/>
        <v>51655.055910176845</v>
      </c>
      <c r="G15" s="455">
        <f t="shared" si="1"/>
        <v>391946.31921725901</v>
      </c>
      <c r="H15" s="455">
        <f t="shared" si="1"/>
        <v>90618.405043519873</v>
      </c>
      <c r="I15" s="455">
        <f t="shared" si="1"/>
        <v>0</v>
      </c>
      <c r="J15" s="455">
        <f t="shared" si="1"/>
        <v>499.16738258154271</v>
      </c>
      <c r="K15" s="455">
        <f t="shared" si="1"/>
        <v>0</v>
      </c>
      <c r="L15" s="455">
        <f t="shared" ca="1" si="1"/>
        <v>0</v>
      </c>
      <c r="M15" s="455">
        <f t="shared" si="1"/>
        <v>28928.911692962713</v>
      </c>
      <c r="N15" s="455">
        <f t="shared" ca="1" si="1"/>
        <v>18199.147233552754</v>
      </c>
      <c r="O15" s="455">
        <f t="shared" si="1"/>
        <v>727.05805262272065</v>
      </c>
      <c r="P15" s="455">
        <f t="shared" si="1"/>
        <v>1684.7801980699535</v>
      </c>
      <c r="Q15" s="455">
        <f t="shared" ca="1" si="1"/>
        <v>1163289.2830076988</v>
      </c>
    </row>
    <row r="17" spans="1:17">
      <c r="A17" s="457" t="s">
        <v>530</v>
      </c>
      <c r="B17" s="738">
        <f ca="1">huishoudens!B10</f>
        <v>0.17337515414896881</v>
      </c>
      <c r="C17" s="738">
        <f ca="1">huishoudens!C10</f>
        <v>0.23764705882352943</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7226.5672115954294</v>
      </c>
      <c r="C22" s="445">
        <f t="shared" ref="C22:C32" ca="1" si="3">C4*$C$17</f>
        <v>0</v>
      </c>
      <c r="D22" s="445">
        <f t="shared" ref="D22:D32" si="4">D4*$D$17</f>
        <v>22641.41809211595</v>
      </c>
      <c r="E22" s="445">
        <f t="shared" ref="E22:E32" si="5">E4*$E$17</f>
        <v>399.14184482970103</v>
      </c>
      <c r="F22" s="445">
        <f t="shared" ref="F22:F32" si="6">F4*$F$17</f>
        <v>8504.6067310167145</v>
      </c>
      <c r="G22" s="445">
        <f t="shared" ref="G22:G32" si="7">G4*$G$17</f>
        <v>0</v>
      </c>
      <c r="H22" s="445">
        <f t="shared" ref="H22:H32" si="8">H4*$H$17</f>
        <v>0</v>
      </c>
      <c r="I22" s="445">
        <f t="shared" ref="I22:I32" si="9">I4*$I$17</f>
        <v>0</v>
      </c>
      <c r="J22" s="445">
        <f t="shared" ref="J22:J32" si="10">J4*$J$17</f>
        <v>71.324876066207196</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38843.058755624006</v>
      </c>
    </row>
    <row r="23" spans="1:17">
      <c r="A23" s="444" t="s">
        <v>149</v>
      </c>
      <c r="B23" s="445">
        <f t="shared" ca="1" si="2"/>
        <v>6025.7677401941592</v>
      </c>
      <c r="C23" s="445">
        <f t="shared" ca="1" si="3"/>
        <v>22.915966386554626</v>
      </c>
      <c r="D23" s="445">
        <f t="shared" ca="1" si="4"/>
        <v>7668.6454485792547</v>
      </c>
      <c r="E23" s="445">
        <f t="shared" si="5"/>
        <v>38.778669247358678</v>
      </c>
      <c r="F23" s="445">
        <f t="shared" ca="1" si="6"/>
        <v>2395.030046529122</v>
      </c>
      <c r="G23" s="445">
        <f t="shared" si="7"/>
        <v>0</v>
      </c>
      <c r="H23" s="445">
        <f t="shared" si="8"/>
        <v>0</v>
      </c>
      <c r="I23" s="445">
        <f t="shared" si="9"/>
        <v>0</v>
      </c>
      <c r="J23" s="445">
        <f t="shared" si="10"/>
        <v>2.4760417372423689E-2</v>
      </c>
      <c r="K23" s="445">
        <f t="shared" si="11"/>
        <v>0</v>
      </c>
      <c r="L23" s="445">
        <f t="shared" ca="1" si="12"/>
        <v>0</v>
      </c>
      <c r="M23" s="445">
        <f t="shared" si="13"/>
        <v>0</v>
      </c>
      <c r="N23" s="445">
        <f t="shared" ca="1" si="14"/>
        <v>0</v>
      </c>
      <c r="O23" s="445">
        <f t="shared" si="15"/>
        <v>0</v>
      </c>
      <c r="P23" s="446">
        <f t="shared" si="16"/>
        <v>0</v>
      </c>
      <c r="Q23" s="444">
        <f t="shared" ref="Q23:Q31" ca="1" si="17">SUM(B23:P23)</f>
        <v>16151.162631353822</v>
      </c>
    </row>
    <row r="24" spans="1:17">
      <c r="A24" s="444" t="s">
        <v>187</v>
      </c>
      <c r="B24" s="445">
        <f t="shared" ca="1" si="2"/>
        <v>296.67262877354949</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296.67262877354949</v>
      </c>
    </row>
    <row r="25" spans="1:17">
      <c r="A25" s="444" t="s">
        <v>105</v>
      </c>
      <c r="B25" s="445">
        <f t="shared" ca="1" si="2"/>
        <v>165.02282562396707</v>
      </c>
      <c r="C25" s="445">
        <f t="shared" ca="1" si="3"/>
        <v>2340.4840336134457</v>
      </c>
      <c r="D25" s="445">
        <f t="shared" si="4"/>
        <v>297.60428785703056</v>
      </c>
      <c r="E25" s="445">
        <f t="shared" si="5"/>
        <v>7.6979376647845514</v>
      </c>
      <c r="F25" s="445">
        <f t="shared" si="6"/>
        <v>866.05208552242163</v>
      </c>
      <c r="G25" s="445">
        <f t="shared" si="7"/>
        <v>0</v>
      </c>
      <c r="H25" s="445">
        <f t="shared" si="8"/>
        <v>0</v>
      </c>
      <c r="I25" s="445">
        <f t="shared" si="9"/>
        <v>0</v>
      </c>
      <c r="J25" s="445">
        <f t="shared" si="10"/>
        <v>85.674809740423584</v>
      </c>
      <c r="K25" s="445">
        <f t="shared" si="11"/>
        <v>0</v>
      </c>
      <c r="L25" s="445">
        <f t="shared" si="12"/>
        <v>0</v>
      </c>
      <c r="M25" s="445">
        <f t="shared" si="13"/>
        <v>0</v>
      </c>
      <c r="N25" s="445">
        <f t="shared" si="14"/>
        <v>0</v>
      </c>
      <c r="O25" s="445">
        <f t="shared" si="15"/>
        <v>0</v>
      </c>
      <c r="P25" s="446">
        <f t="shared" si="16"/>
        <v>0</v>
      </c>
      <c r="Q25" s="444">
        <f t="shared" ca="1" si="17"/>
        <v>3762.5359800220731</v>
      </c>
    </row>
    <row r="26" spans="1:17">
      <c r="A26" s="444" t="s">
        <v>586</v>
      </c>
      <c r="B26" s="445">
        <f t="shared" ca="1" si="2"/>
        <v>26675.440406556398</v>
      </c>
      <c r="C26" s="445">
        <f t="shared" ca="1" si="3"/>
        <v>4997.2084033613446</v>
      </c>
      <c r="D26" s="445">
        <f t="shared" si="4"/>
        <v>27506.703510409418</v>
      </c>
      <c r="E26" s="445">
        <f t="shared" si="5"/>
        <v>3631.663499173389</v>
      </c>
      <c r="F26" s="445">
        <f t="shared" si="6"/>
        <v>2026.2110649489593</v>
      </c>
      <c r="G26" s="445">
        <f t="shared" si="7"/>
        <v>0</v>
      </c>
      <c r="H26" s="445">
        <f t="shared" si="8"/>
        <v>0</v>
      </c>
      <c r="I26" s="445">
        <f t="shared" si="9"/>
        <v>0</v>
      </c>
      <c r="J26" s="445">
        <f t="shared" si="10"/>
        <v>19.680807209862923</v>
      </c>
      <c r="K26" s="445">
        <f t="shared" si="11"/>
        <v>0</v>
      </c>
      <c r="L26" s="445">
        <f t="shared" si="12"/>
        <v>0</v>
      </c>
      <c r="M26" s="445">
        <f t="shared" si="13"/>
        <v>0</v>
      </c>
      <c r="N26" s="445">
        <f t="shared" si="14"/>
        <v>0</v>
      </c>
      <c r="O26" s="445">
        <f t="shared" si="15"/>
        <v>0</v>
      </c>
      <c r="P26" s="446">
        <f t="shared" si="16"/>
        <v>0</v>
      </c>
      <c r="Q26" s="444">
        <f t="shared" ca="1" si="17"/>
        <v>64856.907691659377</v>
      </c>
    </row>
    <row r="27" spans="1:17" s="450" customFormat="1">
      <c r="A27" s="448" t="s">
        <v>535</v>
      </c>
      <c r="B27" s="732">
        <f t="shared" ca="1" si="2"/>
        <v>197.12263762671813</v>
      </c>
      <c r="C27" s="449">
        <f t="shared" ca="1" si="3"/>
        <v>0</v>
      </c>
      <c r="D27" s="449">
        <f t="shared" si="4"/>
        <v>342.50065923144678</v>
      </c>
      <c r="E27" s="449">
        <f t="shared" si="5"/>
        <v>153.98250843201455</v>
      </c>
      <c r="F27" s="449">
        <f t="shared" si="6"/>
        <v>0</v>
      </c>
      <c r="G27" s="449">
        <f t="shared" si="7"/>
        <v>104189.47676241613</v>
      </c>
      <c r="H27" s="449">
        <f t="shared" si="8"/>
        <v>22563.98285583645</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127447.06542354276</v>
      </c>
    </row>
    <row r="28" spans="1:17" ht="16.5" customHeight="1">
      <c r="A28" s="444" t="s">
        <v>525</v>
      </c>
      <c r="B28" s="445">
        <f t="shared" ca="1" si="2"/>
        <v>4.7732909255937193</v>
      </c>
      <c r="C28" s="445">
        <f t="shared" ca="1" si="3"/>
        <v>0</v>
      </c>
      <c r="D28" s="445">
        <f t="shared" si="4"/>
        <v>0</v>
      </c>
      <c r="E28" s="445">
        <f t="shared" si="5"/>
        <v>0</v>
      </c>
      <c r="F28" s="445">
        <f t="shared" si="6"/>
        <v>0</v>
      </c>
      <c r="G28" s="445">
        <f t="shared" si="7"/>
        <v>460.19046859202882</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464.96375951762252</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177.59642916046235</v>
      </c>
      <c r="C32" s="445">
        <f t="shared" ca="1" si="3"/>
        <v>0</v>
      </c>
      <c r="D32" s="445">
        <f t="shared" si="4"/>
        <v>985.43128291053597</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1163.0277120709984</v>
      </c>
    </row>
    <row r="33" spans="1:17" s="456" customFormat="1">
      <c r="A33" s="454" t="s">
        <v>529</v>
      </c>
      <c r="B33" s="455">
        <f ca="1">SUM(B22:B32)</f>
        <v>40768.963170456271</v>
      </c>
      <c r="C33" s="455">
        <f t="shared" ref="C33:Q33" ca="1" si="19">SUM(C22:C32)</f>
        <v>7360.6084033613452</v>
      </c>
      <c r="D33" s="455">
        <f t="shared" ca="1" si="19"/>
        <v>59442.303281103632</v>
      </c>
      <c r="E33" s="455">
        <f t="shared" si="19"/>
        <v>4231.2644593472478</v>
      </c>
      <c r="F33" s="455">
        <f t="shared" ca="1" si="19"/>
        <v>13791.899928017217</v>
      </c>
      <c r="G33" s="455">
        <f t="shared" si="19"/>
        <v>104649.66723100816</v>
      </c>
      <c r="H33" s="455">
        <f t="shared" si="19"/>
        <v>22563.98285583645</v>
      </c>
      <c r="I33" s="455">
        <f t="shared" si="19"/>
        <v>0</v>
      </c>
      <c r="J33" s="455">
        <f t="shared" si="19"/>
        <v>176.70525343386615</v>
      </c>
      <c r="K33" s="455">
        <f t="shared" si="19"/>
        <v>0</v>
      </c>
      <c r="L33" s="455">
        <f t="shared" ca="1" si="19"/>
        <v>0</v>
      </c>
      <c r="M33" s="455">
        <f t="shared" si="19"/>
        <v>0</v>
      </c>
      <c r="N33" s="455">
        <f t="shared" ca="1" si="19"/>
        <v>0</v>
      </c>
      <c r="O33" s="455">
        <f t="shared" si="19"/>
        <v>0</v>
      </c>
      <c r="P33" s="455">
        <f t="shared" si="19"/>
        <v>0</v>
      </c>
      <c r="Q33" s="455">
        <f t="shared" ca="1" si="19"/>
        <v>252985.39458256419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36888.62620545525</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15418.393056778445</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21681</v>
      </c>
      <c r="D8" s="972">
        <f>'SEAP template'!D76</f>
        <v>25507.058823529413</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5152.4258823529417</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52307.019262233691</v>
      </c>
      <c r="C10" s="974">
        <f>SUM(C4:C9)</f>
        <v>21681</v>
      </c>
      <c r="D10" s="974">
        <f t="shared" ref="D10:H10" si="0">SUM(D8:D9)</f>
        <v>25507.058823529413</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5152.4258823529417</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0.17337515414896881</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0</v>
      </c>
      <c r="C17" s="975">
        <f>'SEAP template'!C87</f>
        <v>30972.857142857145</v>
      </c>
      <c r="D17" s="973">
        <f>'SEAP template'!D87</f>
        <v>36438.655462184877</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7360.6084033613461</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30972.857142857145</v>
      </c>
      <c r="D20" s="974">
        <f t="shared" ref="D20:H20" si="2">SUM(D17:D19)</f>
        <v>36438.655462184877</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7360.6084033613461</v>
      </c>
    </row>
    <row r="21" spans="1:16">
      <c r="B21" s="842"/>
    </row>
    <row r="22" spans="1:16">
      <c r="A22" s="457" t="s">
        <v>723</v>
      </c>
      <c r="B22" s="738" t="s">
        <v>721</v>
      </c>
      <c r="C22" s="738">
        <f ca="1">'EF ele_warmte'!B22</f>
        <v>0.23764705882352943</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0.17337515414896881</v>
      </c>
      <c r="C17" s="494">
        <f ca="1">'EF ele_warmte'!B22</f>
        <v>0.23764705882352943</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0</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2022-08-09T08:17:38Z</dcterms:modified>
</cp:coreProperties>
</file>