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A6D0C6DF-4016-4B9B-915F-F4DE568C1D7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8" i="18"/>
  <c r="E25" i="14"/>
  <c r="E55" i="14" s="1"/>
  <c r="C25" i="14"/>
  <c r="B14" i="48"/>
  <c r="R25" i="14"/>
  <c r="B5" i="17"/>
  <c r="N18" i="18"/>
  <c r="L88" i="14" s="1"/>
  <c r="M18" i="18"/>
  <c r="K88" i="14" s="1"/>
  <c r="K89" i="14"/>
  <c r="K19" i="59"/>
  <c r="L89" i="14"/>
  <c r="L19" i="59" s="1"/>
  <c r="L87" i="14"/>
  <c r="L17" i="59"/>
  <c r="K87" i="14"/>
  <c r="K17" i="59" s="1"/>
  <c r="K77" i="14"/>
  <c r="K9" i="59"/>
  <c r="L77" i="14"/>
  <c r="L9" i="59" s="1"/>
  <c r="L10" i="59" s="1"/>
  <c r="L76" i="14"/>
  <c r="K76" i="14"/>
  <c r="K8" i="59" s="1"/>
  <c r="K10" i="59" s="1"/>
  <c r="B75" i="14"/>
  <c r="B7" i="59"/>
  <c r="L78" i="14"/>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47" i="18"/>
  <c r="V47" i="18"/>
  <c r="U47" i="18"/>
  <c r="T47" i="18"/>
  <c r="S47" i="18"/>
  <c r="R47" i="18"/>
  <c r="Q47" i="18"/>
  <c r="P47" i="18"/>
  <c r="O47" i="18"/>
  <c r="C6" i="17" s="1"/>
  <c r="N47" i="18"/>
  <c r="M47" i="18"/>
  <c r="W46" i="18"/>
  <c r="V46" i="18"/>
  <c r="U46" i="18"/>
  <c r="T46" i="18"/>
  <c r="S46" i="18"/>
  <c r="R46" i="18"/>
  <c r="Q46" i="18"/>
  <c r="P46" i="18"/>
  <c r="O46" i="18"/>
  <c r="N46" i="18"/>
  <c r="M46" i="18"/>
  <c r="W45" i="18"/>
  <c r="V45" i="18"/>
  <c r="U45" i="18"/>
  <c r="T45" i="18"/>
  <c r="S45" i="18"/>
  <c r="R45" i="18"/>
  <c r="Q45" i="18"/>
  <c r="P45" i="18"/>
  <c r="O45" i="18"/>
  <c r="N45" i="18"/>
  <c r="M45" i="18"/>
  <c r="W44" i="18"/>
  <c r="H9" i="18"/>
  <c r="M77" i="14" s="1"/>
  <c r="M9" i="59" s="1"/>
  <c r="V44" i="18"/>
  <c r="U44" i="18"/>
  <c r="T44" i="18"/>
  <c r="S44" i="18"/>
  <c r="E9" i="18" s="1"/>
  <c r="F77" i="14" s="1"/>
  <c r="F9" i="59" s="1"/>
  <c r="R44" i="18"/>
  <c r="Q44" i="18"/>
  <c r="P44" i="18"/>
  <c r="O44" i="18"/>
  <c r="N44" i="18"/>
  <c r="B9" i="18" s="1"/>
  <c r="M44" i="18"/>
  <c r="W40" i="18"/>
  <c r="V40" i="18"/>
  <c r="U40" i="18"/>
  <c r="T40" i="18"/>
  <c r="L6" i="17" s="1"/>
  <c r="L5" i="17" s="1"/>
  <c r="S40" i="18"/>
  <c r="F6" i="17"/>
  <c r="R40" i="18"/>
  <c r="Q40" i="18"/>
  <c r="P40" i="18"/>
  <c r="O40" i="18"/>
  <c r="N40" i="18"/>
  <c r="M40" i="18"/>
  <c r="W39" i="18"/>
  <c r="V39" i="18"/>
  <c r="U39" i="18"/>
  <c r="T39" i="18"/>
  <c r="S39" i="18"/>
  <c r="R39" i="18"/>
  <c r="Q39" i="18"/>
  <c r="P39" i="18"/>
  <c r="O39" i="18"/>
  <c r="C13" i="15"/>
  <c r="N39" i="18"/>
  <c r="B13" i="15"/>
  <c r="M39" i="18"/>
  <c r="W38" i="18"/>
  <c r="V38" i="18"/>
  <c r="U38" i="18"/>
  <c r="T38" i="18"/>
  <c r="S38" i="18"/>
  <c r="F16" i="16" s="1"/>
  <c r="R38" i="18"/>
  <c r="Q38" i="18"/>
  <c r="P38" i="18"/>
  <c r="D16" i="16" s="1"/>
  <c r="D18" i="16" s="1"/>
  <c r="O38" i="18"/>
  <c r="N38" i="18"/>
  <c r="W37" i="18"/>
  <c r="V37" i="18"/>
  <c r="U37" i="18"/>
  <c r="T37" i="18"/>
  <c r="S37" i="18"/>
  <c r="R37" i="18"/>
  <c r="Q37" i="18"/>
  <c r="P37" i="18"/>
  <c r="O37" i="18"/>
  <c r="B17" i="18" s="1"/>
  <c r="B20" i="18" s="1"/>
  <c r="N37" i="18"/>
  <c r="B8" i="18" s="1"/>
  <c r="B10" i="18" s="1"/>
  <c r="M37" i="18"/>
  <c r="K22" i="18"/>
  <c r="J22" i="18"/>
  <c r="I22" i="18"/>
  <c r="H22" i="18"/>
  <c r="G22" i="18"/>
  <c r="F22" i="18"/>
  <c r="E22" i="18"/>
  <c r="D22" i="18"/>
  <c r="C22" i="18"/>
  <c r="L19" i="18"/>
  <c r="O89" i="14" s="1"/>
  <c r="O19" i="59" s="1"/>
  <c r="K19" i="18"/>
  <c r="N89" i="14"/>
  <c r="N19" i="59" s="1"/>
  <c r="J19" i="18"/>
  <c r="J89" i="14" s="1"/>
  <c r="I19" i="18"/>
  <c r="I89" i="14"/>
  <c r="I19" i="59" s="1"/>
  <c r="H19" i="18"/>
  <c r="M89" i="14" s="1"/>
  <c r="M19" i="59" s="1"/>
  <c r="G19" i="18"/>
  <c r="H89" i="14"/>
  <c r="H19" i="59" s="1"/>
  <c r="F19" i="18"/>
  <c r="G89" i="14" s="1"/>
  <c r="G19" i="59" s="1"/>
  <c r="E19" i="18"/>
  <c r="F89" i="14"/>
  <c r="F19" i="59" s="1"/>
  <c r="D19" i="18"/>
  <c r="E89" i="14" s="1"/>
  <c r="C19" i="18"/>
  <c r="B19" i="18"/>
  <c r="L18" i="18"/>
  <c r="O88" i="14"/>
  <c r="O18" i="59"/>
  <c r="K18" i="18"/>
  <c r="N88" i="14" s="1"/>
  <c r="N18" i="59" s="1"/>
  <c r="N20" i="59" s="1"/>
  <c r="J18" i="18"/>
  <c r="J88" i="14"/>
  <c r="J18" i="59" s="1"/>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N77" i="14" s="1"/>
  <c r="G9" i="18"/>
  <c r="G10" i="18"/>
  <c r="F9" i="18"/>
  <c r="F10" i="18"/>
  <c r="D9" i="18"/>
  <c r="D10" i="18"/>
  <c r="C9" i="18"/>
  <c r="D77" i="14"/>
  <c r="D9" i="59"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8" i="17"/>
  <c r="B51" i="16"/>
  <c r="P5" i="16"/>
  <c r="P18" i="16" s="1"/>
  <c r="P22" i="16" s="1"/>
  <c r="Q43" i="14" s="1"/>
  <c r="B45" i="16"/>
  <c r="B43" i="16"/>
  <c r="B37" i="16"/>
  <c r="C37" i="16"/>
  <c r="F15" i="16" s="1"/>
  <c r="B36" i="16"/>
  <c r="C36" i="16" s="1"/>
  <c r="B35" i="16"/>
  <c r="B13" i="16" s="1"/>
  <c r="B34" i="16"/>
  <c r="B12" i="16" s="1"/>
  <c r="B33" i="16"/>
  <c r="C33" i="16" s="1"/>
  <c r="B32" i="16"/>
  <c r="C32" i="16"/>
  <c r="J10" i="16" s="1"/>
  <c r="B31" i="16"/>
  <c r="C31" i="16" s="1"/>
  <c r="B30" i="16"/>
  <c r="C30" i="16"/>
  <c r="N8" i="16" s="1"/>
  <c r="B29" i="16"/>
  <c r="C29" i="16" s="1"/>
  <c r="N20" i="16"/>
  <c r="M20" i="16"/>
  <c r="M22" i="16"/>
  <c r="N43" i="14"/>
  <c r="L20" i="16"/>
  <c r="K20" i="16"/>
  <c r="J20" i="16"/>
  <c r="I20" i="16"/>
  <c r="H20" i="16"/>
  <c r="G20" i="16"/>
  <c r="F20" i="16"/>
  <c r="E20" i="16"/>
  <c r="D20" i="16"/>
  <c r="C5" i="16"/>
  <c r="B40" i="15"/>
  <c r="B32" i="15"/>
  <c r="C32" i="15"/>
  <c r="N12" i="15" s="1"/>
  <c r="B31" i="15"/>
  <c r="C31" i="15" s="1"/>
  <c r="B30" i="15"/>
  <c r="C30" i="15"/>
  <c r="E10" i="15" s="1"/>
  <c r="B29" i="15"/>
  <c r="C29" i="15" s="1"/>
  <c r="J9" i="15" s="1"/>
  <c r="B28" i="15"/>
  <c r="C28" i="15"/>
  <c r="N8" i="15" s="1"/>
  <c r="B27" i="15"/>
  <c r="C27" i="15" s="1"/>
  <c r="B26" i="15"/>
  <c r="C26" i="15"/>
  <c r="E6" i="15" s="1"/>
  <c r="N18" i="15"/>
  <c r="M18" i="15"/>
  <c r="L18" i="15"/>
  <c r="K18" i="15"/>
  <c r="J18" i="15"/>
  <c r="I18" i="15"/>
  <c r="H18" i="15"/>
  <c r="G18" i="15"/>
  <c r="F18" i="15"/>
  <c r="E18" i="15"/>
  <c r="D18" i="15"/>
  <c r="H10" i="14"/>
  <c r="P5" i="15"/>
  <c r="P16" i="15" s="1"/>
  <c r="P20" i="15" s="1"/>
  <c r="Q40" i="14" s="1"/>
  <c r="C5" i="15"/>
  <c r="B60" i="13"/>
  <c r="P5" i="13" s="1"/>
  <c r="P8" i="13" s="1"/>
  <c r="Q11" i="14" s="1"/>
  <c r="B37" i="13"/>
  <c r="B54" i="13"/>
  <c r="O5" i="13"/>
  <c r="O8" i="13" s="1"/>
  <c r="B27" i="13"/>
  <c r="B31" i="13"/>
  <c r="B26" i="13"/>
  <c r="B34" i="13" s="1"/>
  <c r="N5" i="13" s="1"/>
  <c r="N8"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8" i="9"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O20" i="59" s="1"/>
  <c r="N87" i="14"/>
  <c r="N17" i="59"/>
  <c r="H87" i="14"/>
  <c r="H17" i="59" s="1"/>
  <c r="G87" i="14"/>
  <c r="G17" i="59"/>
  <c r="E87" i="14"/>
  <c r="E17" i="59" s="1"/>
  <c r="O76" i="14"/>
  <c r="O8" i="59" s="1"/>
  <c r="N76" i="14"/>
  <c r="N8" i="59" s="1"/>
  <c r="N10" i="59" s="1"/>
  <c r="H76" i="14"/>
  <c r="H8" i="59"/>
  <c r="G76" i="14"/>
  <c r="G8" i="59" s="1"/>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s="1"/>
  <c r="E54" i="14" s="1"/>
  <c r="C34" i="13"/>
  <c r="J15" i="16"/>
  <c r="J30" i="48"/>
  <c r="J32" i="48"/>
  <c r="I9" i="18"/>
  <c r="I77" i="14" s="1"/>
  <c r="I9" i="59" s="1"/>
  <c r="F30" i="48"/>
  <c r="F32" i="48"/>
  <c r="N30" i="48"/>
  <c r="N32" i="48"/>
  <c r="D89" i="14"/>
  <c r="D19" i="59"/>
  <c r="O19" i="18"/>
  <c r="K10" i="18"/>
  <c r="L10" i="18"/>
  <c r="O77" i="14"/>
  <c r="H16" i="14"/>
  <c r="C16" i="15"/>
  <c r="L16" i="16"/>
  <c r="L18" i="16" s="1"/>
  <c r="I14" i="15"/>
  <c r="I16" i="15"/>
  <c r="J10" i="14"/>
  <c r="C35" i="16"/>
  <c r="E9" i="14"/>
  <c r="D14" i="15"/>
  <c r="N6" i="17"/>
  <c r="N5" i="17" s="1"/>
  <c r="J8" i="17"/>
  <c r="J12" i="17" s="1"/>
  <c r="K54" i="14" s="1"/>
  <c r="K56" i="14" s="1"/>
  <c r="N16" i="16"/>
  <c r="F8" i="17"/>
  <c r="G24" i="14" s="1"/>
  <c r="G26" i="14" s="1"/>
  <c r="N13" i="15"/>
  <c r="L13" i="15"/>
  <c r="L16" i="15" s="1"/>
  <c r="F13" i="15"/>
  <c r="D13" i="15"/>
  <c r="B67" i="22"/>
  <c r="M11" i="22"/>
  <c r="G10" i="22"/>
  <c r="M9" i="22"/>
  <c r="G8" i="22"/>
  <c r="M7" i="22"/>
  <c r="G6" i="22"/>
  <c r="G11" i="22"/>
  <c r="M8" i="22"/>
  <c r="G7" i="22"/>
  <c r="M10" i="22"/>
  <c r="G9" i="22"/>
  <c r="M6" i="22"/>
  <c r="B12" i="48"/>
  <c r="Q12" i="48"/>
  <c r="O9" i="14"/>
  <c r="B7" i="15"/>
  <c r="O5" i="16"/>
  <c r="C35" i="13"/>
  <c r="B11" i="15"/>
  <c r="B11" i="16"/>
  <c r="J9" i="14"/>
  <c r="J16" i="14"/>
  <c r="B53" i="18"/>
  <c r="B57" i="18"/>
  <c r="C17" i="18" s="1"/>
  <c r="B16" i="16"/>
  <c r="K9" i="14"/>
  <c r="H77" i="14"/>
  <c r="J11" i="48"/>
  <c r="J29" i="48"/>
  <c r="M9" i="14"/>
  <c r="L11" i="48"/>
  <c r="O19" i="14"/>
  <c r="O22" i="14"/>
  <c r="N10" i="48"/>
  <c r="N28" i="48"/>
  <c r="J19" i="14"/>
  <c r="J22" i="14"/>
  <c r="I10" i="48"/>
  <c r="I28" i="48"/>
  <c r="J19" i="19"/>
  <c r="K39" i="14"/>
  <c r="N19" i="19"/>
  <c r="O39" i="14"/>
  <c r="C53" i="18"/>
  <c r="I56" i="18" s="1"/>
  <c r="H8" i="18" s="1"/>
  <c r="J9" i="18"/>
  <c r="J77" i="14"/>
  <c r="J9" i="59"/>
  <c r="C16" i="16"/>
  <c r="C18" i="16" s="1"/>
  <c r="C8" i="48"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J7" i="15"/>
  <c r="N11" i="15"/>
  <c r="E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B7" i="48"/>
  <c r="C24" i="14"/>
  <c r="C26" i="14" s="1"/>
  <c r="B73" i="14"/>
  <c r="B5" i="59"/>
  <c r="F6" i="15"/>
  <c r="F8" i="15"/>
  <c r="N10" i="16"/>
  <c r="D5" i="15"/>
  <c r="B8" i="15"/>
  <c r="J8" i="15"/>
  <c r="F12" i="15"/>
  <c r="I20" i="15"/>
  <c r="J40" i="14"/>
  <c r="B9" i="16"/>
  <c r="N9" i="16"/>
  <c r="E8" i="15"/>
  <c r="B10" i="15"/>
  <c r="B6" i="15"/>
  <c r="B5" i="15" s="1"/>
  <c r="B16" i="15" s="1"/>
  <c r="N9" i="15"/>
  <c r="J10" i="15"/>
  <c r="D5" i="16"/>
  <c r="F10" i="16"/>
  <c r="J11" i="16"/>
  <c r="B15" i="16"/>
  <c r="J6" i="15"/>
  <c r="F10" i="15"/>
  <c r="B12" i="15"/>
  <c r="J12" i="15"/>
  <c r="B7" i="16"/>
  <c r="E10" i="16"/>
  <c r="N6" i="15"/>
  <c r="F9" i="15"/>
  <c r="N10" i="15"/>
  <c r="B8" i="16"/>
  <c r="J8" i="16"/>
  <c r="B10" i="16"/>
  <c r="B14" i="16"/>
  <c r="E15" i="16"/>
  <c r="E7" i="16"/>
  <c r="N7" i="16"/>
  <c r="E9" i="15"/>
  <c r="N15" i="16"/>
  <c r="C34" i="16"/>
  <c r="Q13" i="14"/>
  <c r="B9" i="15"/>
  <c r="E11" i="48"/>
  <c r="E29" i="48"/>
  <c r="F9" i="14"/>
  <c r="D9" i="14"/>
  <c r="E19" i="19"/>
  <c r="F39" i="14"/>
  <c r="C11" i="48"/>
  <c r="D19" i="19"/>
  <c r="E39" i="14"/>
  <c r="C9" i="14"/>
  <c r="B11" i="48"/>
  <c r="E5" i="22"/>
  <c r="E14" i="22" s="1"/>
  <c r="D5" i="22"/>
  <c r="D14" i="22" s="1"/>
  <c r="B5" i="22"/>
  <c r="B14" i="22" s="1"/>
  <c r="P11" i="48"/>
  <c r="P29" i="48"/>
  <c r="H5" i="48"/>
  <c r="O11" i="48"/>
  <c r="P9" i="14"/>
  <c r="M5" i="48"/>
  <c r="G29" i="48"/>
  <c r="C11" i="14"/>
  <c r="B4" i="48"/>
  <c r="E30" i="48"/>
  <c r="I31" i="48"/>
  <c r="I27" i="48"/>
  <c r="I30" i="48"/>
  <c r="K27" i="48"/>
  <c r="O30" i="48"/>
  <c r="K22" i="48"/>
  <c r="G22" i="48"/>
  <c r="M17" i="48"/>
  <c r="K30" i="48"/>
  <c r="F5" i="13"/>
  <c r="F8" i="13"/>
  <c r="G11" i="14"/>
  <c r="I22" i="48"/>
  <c r="G30" i="48"/>
  <c r="H25" i="48"/>
  <c r="L17" i="48"/>
  <c r="L32" i="48"/>
  <c r="H22" i="48"/>
  <c r="K25" i="48"/>
  <c r="K26" i="48"/>
  <c r="P12" i="13"/>
  <c r="Q41" i="14" s="1"/>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B10" i="48"/>
  <c r="C19" i="14"/>
  <c r="P25" i="48"/>
  <c r="E5" i="17"/>
  <c r="E8" i="17" s="1"/>
  <c r="C8" i="17"/>
  <c r="G25" i="48"/>
  <c r="I25" i="48"/>
  <c r="D88" i="14"/>
  <c r="D18" i="59" s="1"/>
  <c r="H88" i="14"/>
  <c r="N90" i="14"/>
  <c r="F88" i="14"/>
  <c r="F18" i="59" s="1"/>
  <c r="E77" i="14"/>
  <c r="D20" i="18"/>
  <c r="L20" i="18"/>
  <c r="G77" i="14"/>
  <c r="G9" i="59" s="1"/>
  <c r="O90" i="14"/>
  <c r="F20" i="18"/>
  <c r="D11" i="14"/>
  <c r="C4" i="48"/>
  <c r="O18" i="18"/>
  <c r="N46" i="14"/>
  <c r="G51" i="22"/>
  <c r="G50" i="22" s="1"/>
  <c r="G54" i="22" s="1"/>
  <c r="H19" i="14"/>
  <c r="M51" i="22"/>
  <c r="M50" i="22" s="1"/>
  <c r="M54" i="22" s="1"/>
  <c r="I5" i="48"/>
  <c r="J7" i="48"/>
  <c r="J25" i="48"/>
  <c r="K33" i="48"/>
  <c r="J27" i="14"/>
  <c r="M24" i="48"/>
  <c r="M32" i="48"/>
  <c r="K15" i="48"/>
  <c r="Q89" i="14"/>
  <c r="P19" i="59" s="1"/>
  <c r="H78" i="14"/>
  <c r="H9" i="59"/>
  <c r="H10" i="59" s="1"/>
  <c r="N78" i="14"/>
  <c r="N9" i="59"/>
  <c r="G78" i="14"/>
  <c r="G10" i="59"/>
  <c r="H90" i="14"/>
  <c r="H18" i="59"/>
  <c r="E78" i="14"/>
  <c r="E9" i="59"/>
  <c r="E10" i="59" s="1"/>
  <c r="O78" i="14"/>
  <c r="O9" i="59"/>
  <c r="O10" i="59" s="1"/>
  <c r="L22" i="16"/>
  <c r="M43" i="14" s="1"/>
  <c r="C20" i="18"/>
  <c r="D10" i="14"/>
  <c r="D16" i="14" s="1"/>
  <c r="D27" i="14" s="1"/>
  <c r="B20" i="6" s="1"/>
  <c r="B88" i="14"/>
  <c r="B18" i="59" s="1"/>
  <c r="C88" i="14"/>
  <c r="C18" i="59" s="1"/>
  <c r="B77" i="14"/>
  <c r="B9" i="59" s="1"/>
  <c r="J46" i="14"/>
  <c r="J61" i="14"/>
  <c r="C77" i="14"/>
  <c r="C9" i="59" s="1"/>
  <c r="L46" i="14"/>
  <c r="L61" i="14"/>
  <c r="L16" i="14"/>
  <c r="L27" i="14"/>
  <c r="P8" i="48"/>
  <c r="P26" i="48" s="1"/>
  <c r="G31" i="20"/>
  <c r="H48" i="14"/>
  <c r="G12" i="22"/>
  <c r="D16" i="15"/>
  <c r="K24" i="14"/>
  <c r="F24" i="14"/>
  <c r="F26" i="14" s="1"/>
  <c r="O18" i="16"/>
  <c r="H13" i="48"/>
  <c r="H31" i="48"/>
  <c r="H12" i="22"/>
  <c r="E5" i="13"/>
  <c r="E8" i="13" s="1"/>
  <c r="N8" i="17"/>
  <c r="N12" i="17"/>
  <c r="O54" i="14" s="1"/>
  <c r="O56" i="14" s="1"/>
  <c r="L8" i="17"/>
  <c r="L12" i="17" s="1"/>
  <c r="M54" i="14" s="1"/>
  <c r="M56" i="14" s="1"/>
  <c r="E24" i="14"/>
  <c r="E26" i="14" s="1"/>
  <c r="B9" i="48"/>
  <c r="F7" i="48"/>
  <c r="F25" i="48" s="1"/>
  <c r="D56" i="18"/>
  <c r="O9" i="18"/>
  <c r="M29" i="48"/>
  <c r="F12" i="17"/>
  <c r="G54" i="14"/>
  <c r="G56" i="14"/>
  <c r="C57" i="18"/>
  <c r="E57" i="18"/>
  <c r="E17" i="18"/>
  <c r="G57" i="18"/>
  <c r="D7" i="48"/>
  <c r="D25" i="48" s="1"/>
  <c r="G56" i="18"/>
  <c r="D57" i="18"/>
  <c r="J17" i="18" s="1"/>
  <c r="L28" i="48"/>
  <c r="H57" i="18"/>
  <c r="I57" i="18"/>
  <c r="H17" i="18" s="1"/>
  <c r="F57" i="18"/>
  <c r="B56" i="18"/>
  <c r="C8" i="18" s="1"/>
  <c r="D76" i="14" s="1"/>
  <c r="L31" i="48"/>
  <c r="L24" i="48"/>
  <c r="L22" i="48"/>
  <c r="M23" i="48"/>
  <c r="M22" i="48"/>
  <c r="I18" i="14"/>
  <c r="Q88" i="14"/>
  <c r="P18" i="59" s="1"/>
  <c r="D13" i="14"/>
  <c r="F20" i="14"/>
  <c r="F22" i="14" s="1"/>
  <c r="Q77" i="14"/>
  <c r="P9" i="59" s="1"/>
  <c r="L30" i="48"/>
  <c r="C7" i="48"/>
  <c r="D24" i="14"/>
  <c r="D26" i="14" s="1"/>
  <c r="L29" i="48"/>
  <c r="M31" i="20"/>
  <c r="N48" i="14"/>
  <c r="N18" i="14"/>
  <c r="M13" i="48"/>
  <c r="M31" i="48"/>
  <c r="H31" i="20"/>
  <c r="I48" i="14"/>
  <c r="G13" i="48"/>
  <c r="G31" i="48"/>
  <c r="H18" i="14"/>
  <c r="M5" i="22"/>
  <c r="M14" i="22" s="1"/>
  <c r="G5" i="22"/>
  <c r="H5" i="22"/>
  <c r="H14" i="22" s="1"/>
  <c r="O20" i="15"/>
  <c r="P40" i="14"/>
  <c r="P10" i="14"/>
  <c r="Q10" i="14"/>
  <c r="Q16" i="14" s="1"/>
  <c r="Q27" i="14" s="1"/>
  <c r="F4" i="48"/>
  <c r="B5" i="16"/>
  <c r="B18" i="16" s="1"/>
  <c r="B8" i="48" s="1"/>
  <c r="F12" i="13"/>
  <c r="G41" i="14"/>
  <c r="F13" i="16"/>
  <c r="E13" i="16"/>
  <c r="N13" i="16"/>
  <c r="J13" i="16"/>
  <c r="N12" i="16"/>
  <c r="J12" i="16"/>
  <c r="F12" i="16"/>
  <c r="E12" i="16"/>
  <c r="Q11" i="48"/>
  <c r="O5" i="48"/>
  <c r="O23" i="48" s="1"/>
  <c r="R9" i="14"/>
  <c r="O29" i="48"/>
  <c r="H23" i="48"/>
  <c r="L27" i="48"/>
  <c r="M30" i="48"/>
  <c r="M26" i="48"/>
  <c r="M25" i="48"/>
  <c r="J5" i="13"/>
  <c r="J8" i="13" s="1"/>
  <c r="C5" i="48"/>
  <c r="G14" i="22"/>
  <c r="I23" i="48"/>
  <c r="I33" i="48"/>
  <c r="I15" i="48"/>
  <c r="E12" i="17"/>
  <c r="F54" i="14" s="1"/>
  <c r="F56" i="14"/>
  <c r="E7" i="48"/>
  <c r="E25" i="48" s="1"/>
  <c r="C15" i="48"/>
  <c r="D87" i="14"/>
  <c r="D20" i="15"/>
  <c r="N7" i="48"/>
  <c r="N25" i="48" s="1"/>
  <c r="O24" i="14"/>
  <c r="O26" i="14" s="1"/>
  <c r="M24" i="14"/>
  <c r="M26" i="14" s="1"/>
  <c r="C20" i="14"/>
  <c r="C22" i="14" s="1"/>
  <c r="I17" i="18"/>
  <c r="E18" i="22"/>
  <c r="F50" i="14" s="1"/>
  <c r="F52" i="14" s="1"/>
  <c r="E9" i="48"/>
  <c r="E27" i="48" s="1"/>
  <c r="E10" i="14"/>
  <c r="D5" i="48"/>
  <c r="R18" i="14"/>
  <c r="Q13" i="48"/>
  <c r="M18" i="22"/>
  <c r="N50" i="14" s="1"/>
  <c r="M9" i="48"/>
  <c r="N20" i="14"/>
  <c r="J63" i="14"/>
  <c r="L63" i="14"/>
  <c r="L5" i="48"/>
  <c r="L23" i="48" s="1"/>
  <c r="M10" i="14"/>
  <c r="N12" i="13"/>
  <c r="O41" i="14" s="1"/>
  <c r="L20" i="15"/>
  <c r="D90" i="14"/>
  <c r="D17" i="59"/>
  <c r="D20" i="59"/>
  <c r="E40" i="14"/>
  <c r="D23" i="48"/>
  <c r="M40" i="14"/>
  <c r="M46" i="14"/>
  <c r="E56" i="14"/>
  <c r="C10" i="14" l="1"/>
  <c r="B5" i="48"/>
  <c r="D8" i="59"/>
  <c r="D10" i="59" s="1"/>
  <c r="D78" i="14"/>
  <c r="F87" i="14"/>
  <c r="O17" i="18"/>
  <c r="O20" i="18" s="1"/>
  <c r="E20" i="18"/>
  <c r="D9" i="48"/>
  <c r="D18" i="22"/>
  <c r="E50" i="14" s="1"/>
  <c r="E52" i="14" s="1"/>
  <c r="E20" i="14"/>
  <c r="N4" i="48"/>
  <c r="O11" i="14"/>
  <c r="Q46" i="14"/>
  <c r="Q61" i="14" s="1"/>
  <c r="Q63" i="14" s="1"/>
  <c r="N5" i="16"/>
  <c r="N18" i="16" s="1"/>
  <c r="D22" i="16"/>
  <c r="E43" i="14" s="1"/>
  <c r="D8" i="48"/>
  <c r="E46" i="14"/>
  <c r="E61" i="14" s="1"/>
  <c r="E16" i="14"/>
  <c r="E13" i="14"/>
  <c r="G18" i="22"/>
  <c r="H50" i="14" s="1"/>
  <c r="G9" i="48"/>
  <c r="H20" i="14"/>
  <c r="H22" i="14" s="1"/>
  <c r="H27" i="14" s="1"/>
  <c r="H20" i="18"/>
  <c r="M87" i="14"/>
  <c r="F11" i="14"/>
  <c r="E12" i="13"/>
  <c r="F41" i="14" s="1"/>
  <c r="E4" i="48"/>
  <c r="G10" i="48"/>
  <c r="G58" i="22"/>
  <c r="H49" i="14" s="1"/>
  <c r="H52" i="14" s="1"/>
  <c r="H61" i="14" s="1"/>
  <c r="H63" i="14" s="1"/>
  <c r="J20" i="18"/>
  <c r="J87" i="14"/>
  <c r="M61" i="14"/>
  <c r="M63" i="14" s="1"/>
  <c r="I87" i="14"/>
  <c r="I20" i="18"/>
  <c r="F22" i="48"/>
  <c r="C10" i="18"/>
  <c r="O22" i="16"/>
  <c r="P43" i="14" s="1"/>
  <c r="O8" i="48"/>
  <c r="O26" i="48" s="1"/>
  <c r="P13" i="14"/>
  <c r="P16" i="14" s="1"/>
  <c r="P27" i="14" s="1"/>
  <c r="M76" i="14"/>
  <c r="H10" i="18"/>
  <c r="K26" i="14"/>
  <c r="R24" i="14"/>
  <c r="R26" i="14" s="1"/>
  <c r="K11" i="14"/>
  <c r="J4" i="48"/>
  <c r="J12" i="13"/>
  <c r="K41" i="14" s="1"/>
  <c r="C13" i="14"/>
  <c r="I20" i="14"/>
  <c r="I22" i="14" s="1"/>
  <c r="I27" i="14" s="1"/>
  <c r="H18" i="22"/>
  <c r="I50" i="14" s="1"/>
  <c r="I52" i="14" s="1"/>
  <c r="I61" i="14" s="1"/>
  <c r="H9" i="48"/>
  <c r="N19" i="14"/>
  <c r="N22" i="14" s="1"/>
  <c r="N27" i="14" s="1"/>
  <c r="M10" i="48"/>
  <c r="M28" i="48" s="1"/>
  <c r="M58" i="22"/>
  <c r="N49" i="14" s="1"/>
  <c r="N52" i="14" s="1"/>
  <c r="N61" i="14" s="1"/>
  <c r="P22" i="48"/>
  <c r="N14" i="16"/>
  <c r="J14" i="16"/>
  <c r="F14" i="16"/>
  <c r="M27" i="48"/>
  <c r="L7" i="48"/>
  <c r="C89" i="14"/>
  <c r="C19" i="59" s="1"/>
  <c r="M13" i="14"/>
  <c r="M16" i="14" s="1"/>
  <c r="M27" i="14" s="1"/>
  <c r="L8" i="48"/>
  <c r="L26" i="48" s="1"/>
  <c r="H20" i="59"/>
  <c r="E11" i="15"/>
  <c r="E5" i="15" s="1"/>
  <c r="E16" i="15" s="1"/>
  <c r="J11" i="15"/>
  <c r="J5" i="15" s="1"/>
  <c r="J16" i="15" s="1"/>
  <c r="F11" i="15"/>
  <c r="F11" i="16"/>
  <c r="E11" i="16"/>
  <c r="N11" i="16"/>
  <c r="E90" i="14"/>
  <c r="E19" i="59"/>
  <c r="K18" i="59"/>
  <c r="K90" i="14"/>
  <c r="E56" i="18"/>
  <c r="E8" i="18" s="1"/>
  <c r="C56" i="18"/>
  <c r="H56" i="18"/>
  <c r="J8" i="18" s="1"/>
  <c r="F56" i="18"/>
  <c r="I8" i="18" s="1"/>
  <c r="E20" i="59"/>
  <c r="F9" i="16"/>
  <c r="J9" i="16"/>
  <c r="E9" i="16"/>
  <c r="J19" i="59"/>
  <c r="B89" i="14"/>
  <c r="B19" i="59" s="1"/>
  <c r="L18" i="59"/>
  <c r="L20" i="59" s="1"/>
  <c r="L90" i="14"/>
  <c r="P5" i="48"/>
  <c r="P23" i="48" s="1"/>
  <c r="G90" i="14"/>
  <c r="E14" i="16"/>
  <c r="G20" i="59"/>
  <c r="O4" i="48"/>
  <c r="O12" i="13"/>
  <c r="P41" i="14" s="1"/>
  <c r="F7" i="15"/>
  <c r="F5" i="15" s="1"/>
  <c r="F16" i="15" s="1"/>
  <c r="N7" i="15"/>
  <c r="N5" i="15" s="1"/>
  <c r="N16" i="15" s="1"/>
  <c r="J7" i="16"/>
  <c r="J5" i="16" s="1"/>
  <c r="J18" i="16" s="1"/>
  <c r="F7" i="16"/>
  <c r="K20" i="59"/>
  <c r="K78" i="14"/>
  <c r="D14" i="48"/>
  <c r="I10" i="18" l="1"/>
  <c r="I76" i="14"/>
  <c r="D32" i="48"/>
  <c r="Q14" i="48"/>
  <c r="K13" i="14"/>
  <c r="J22" i="16"/>
  <c r="K43" i="14" s="1"/>
  <c r="J8" i="48"/>
  <c r="J26" i="48" s="1"/>
  <c r="O15" i="48"/>
  <c r="O22" i="48"/>
  <c r="O33" i="48" s="1"/>
  <c r="F76" i="14"/>
  <c r="E10" i="18"/>
  <c r="L15" i="48"/>
  <c r="Q7" i="48"/>
  <c r="L25" i="48"/>
  <c r="L33" i="48" s="1"/>
  <c r="P15" i="48"/>
  <c r="R11" i="14"/>
  <c r="N22" i="16"/>
  <c r="O43" i="14" s="1"/>
  <c r="N8" i="48"/>
  <c r="N26" i="48" s="1"/>
  <c r="O13" i="14"/>
  <c r="R20" i="14"/>
  <c r="E22" i="14"/>
  <c r="E27" i="14" s="1"/>
  <c r="B15" i="48"/>
  <c r="Q5" i="48"/>
  <c r="O10" i="14"/>
  <c r="N5" i="48"/>
  <c r="N23" i="48" s="1"/>
  <c r="N20" i="15"/>
  <c r="O40" i="14" s="1"/>
  <c r="O46" i="14" s="1"/>
  <c r="O61" i="14" s="1"/>
  <c r="E5" i="16"/>
  <c r="E18" i="16" s="1"/>
  <c r="P33" i="48"/>
  <c r="R19" i="14"/>
  <c r="R22" i="14" s="1"/>
  <c r="M78" i="14"/>
  <c r="M8" i="59"/>
  <c r="M10" i="59" s="1"/>
  <c r="O8" i="18"/>
  <c r="O10" i="18" s="1"/>
  <c r="Q10" i="48"/>
  <c r="G28" i="48"/>
  <c r="G15" i="48"/>
  <c r="G27" i="48"/>
  <c r="E63" i="14"/>
  <c r="F90" i="14"/>
  <c r="Q87" i="14"/>
  <c r="F17" i="59"/>
  <c r="F20" i="59" s="1"/>
  <c r="C87" i="14"/>
  <c r="C16" i="14"/>
  <c r="C27" i="14" s="1"/>
  <c r="B3" i="6" s="1"/>
  <c r="F20" i="15"/>
  <c r="G40" i="14" s="1"/>
  <c r="G10" i="14"/>
  <c r="F5" i="48"/>
  <c r="J76" i="14"/>
  <c r="J10" i="18"/>
  <c r="J20" i="15"/>
  <c r="K40" i="14" s="1"/>
  <c r="K46" i="14" s="1"/>
  <c r="K61" i="14" s="1"/>
  <c r="K63" i="14" s="1"/>
  <c r="K10" i="14"/>
  <c r="K16" i="14" s="1"/>
  <c r="K27" i="14" s="1"/>
  <c r="J5" i="48"/>
  <c r="J23" i="48" s="1"/>
  <c r="M33" i="48"/>
  <c r="H15" i="48"/>
  <c r="H27" i="48"/>
  <c r="H33" i="48" s="1"/>
  <c r="I90" i="14"/>
  <c r="I17" i="59"/>
  <c r="I20" i="59" s="1"/>
  <c r="B87" i="14"/>
  <c r="J17" i="59"/>
  <c r="J20" i="59" s="1"/>
  <c r="J90" i="14"/>
  <c r="E22" i="48"/>
  <c r="Q4" i="48"/>
  <c r="M17" i="59"/>
  <c r="M20" i="59" s="1"/>
  <c r="M90" i="14"/>
  <c r="D26" i="48"/>
  <c r="D33" i="48" s="1"/>
  <c r="D15" i="48"/>
  <c r="D27" i="48"/>
  <c r="Q9" i="48"/>
  <c r="F5" i="16"/>
  <c r="F18" i="16" s="1"/>
  <c r="P46" i="14"/>
  <c r="P61" i="14" s="1"/>
  <c r="P63" i="14" s="1"/>
  <c r="E5" i="48"/>
  <c r="E23" i="48" s="1"/>
  <c r="F10" i="14"/>
  <c r="R10" i="14" s="1"/>
  <c r="E20" i="15"/>
  <c r="F40" i="14" s="1"/>
  <c r="N63" i="14"/>
  <c r="I63" i="14"/>
  <c r="J22" i="48"/>
  <c r="J33" i="48" s="1"/>
  <c r="J15" i="48"/>
  <c r="M15" i="48"/>
  <c r="N15" i="48"/>
  <c r="N22" i="48"/>
  <c r="N33" i="48" s="1"/>
  <c r="G33" i="48" l="1"/>
  <c r="B90" i="14"/>
  <c r="B17" i="59"/>
  <c r="B20" i="59" s="1"/>
  <c r="C90" i="14"/>
  <c r="C17" i="59"/>
  <c r="C20" i="59" s="1"/>
  <c r="O63" i="14"/>
  <c r="J8" i="59"/>
  <c r="J10" i="59" s="1"/>
  <c r="J78" i="14"/>
  <c r="P17" i="59"/>
  <c r="P20" i="59" s="1"/>
  <c r="Q90" i="14"/>
  <c r="B17" i="6" s="1"/>
  <c r="B22" i="6" s="1"/>
  <c r="O16" i="14"/>
  <c r="O27" i="14" s="1"/>
  <c r="F8" i="59"/>
  <c r="F10" i="59" s="1"/>
  <c r="F78" i="14"/>
  <c r="C76" i="14"/>
  <c r="Q76" i="14"/>
  <c r="I8" i="59"/>
  <c r="I10" i="59" s="1"/>
  <c r="I78" i="14"/>
  <c r="B76" i="14"/>
  <c r="G13" i="14"/>
  <c r="G16" i="14" s="1"/>
  <c r="G27" i="14" s="1"/>
  <c r="F8" i="48"/>
  <c r="F26" i="48" s="1"/>
  <c r="F22" i="16"/>
  <c r="G43" i="14" s="1"/>
  <c r="G46" i="14" s="1"/>
  <c r="G61" i="14" s="1"/>
  <c r="F23" i="48"/>
  <c r="F13" i="14"/>
  <c r="R13" i="14" s="1"/>
  <c r="R16" i="14" s="1"/>
  <c r="R27" i="14" s="1"/>
  <c r="E8" i="48"/>
  <c r="E22" i="16"/>
  <c r="F43" i="14" s="1"/>
  <c r="F46" i="14" s="1"/>
  <c r="F61" i="14" s="1"/>
  <c r="G63" i="14" l="1"/>
  <c r="B8" i="59"/>
  <c r="B10" i="59" s="1"/>
  <c r="B78" i="14"/>
  <c r="B4" i="6" s="1"/>
  <c r="B12" i="6" s="1"/>
  <c r="C17" i="19"/>
  <c r="C19" i="19" s="1"/>
  <c r="D39" i="14" s="1"/>
  <c r="C56" i="22"/>
  <c r="C58" i="22" s="1"/>
  <c r="D49" i="14" s="1"/>
  <c r="D52" i="14" s="1"/>
  <c r="C20" i="16"/>
  <c r="C22" i="16" s="1"/>
  <c r="D43" i="14" s="1"/>
  <c r="C22" i="59"/>
  <c r="C10" i="13"/>
  <c r="C16" i="22"/>
  <c r="C29" i="20"/>
  <c r="C17" i="49"/>
  <c r="C10" i="17"/>
  <c r="C12" i="17" s="1"/>
  <c r="D54" i="14" s="1"/>
  <c r="D56" i="14" s="1"/>
  <c r="C18" i="15"/>
  <c r="C20" i="15" s="1"/>
  <c r="D40" i="14" s="1"/>
  <c r="F15" i="48"/>
  <c r="C8" i="59"/>
  <c r="C10" i="59" s="1"/>
  <c r="C78" i="14"/>
  <c r="F33" i="48"/>
  <c r="E26" i="48"/>
  <c r="E33" i="48" s="1"/>
  <c r="E15" i="48"/>
  <c r="Q8" i="48"/>
  <c r="Q15" i="48" s="1"/>
  <c r="F16" i="14"/>
  <c r="F27" i="14" s="1"/>
  <c r="F63" i="14" s="1"/>
  <c r="Q78" i="14"/>
  <c r="B9" i="6" s="1"/>
  <c r="P8" i="59"/>
  <c r="P10" i="59" s="1"/>
  <c r="B18" i="15" l="1"/>
  <c r="B20" i="15" s="1"/>
  <c r="B56" i="22"/>
  <c r="B58" i="22" s="1"/>
  <c r="C49" i="14" s="1"/>
  <c r="R49" i="14" s="1"/>
  <c r="B20" i="16"/>
  <c r="B22" i="16" s="1"/>
  <c r="C43" i="14" s="1"/>
  <c r="R43" i="14" s="1"/>
  <c r="B10" i="13"/>
  <c r="B10" i="17"/>
  <c r="B12" i="17" s="1"/>
  <c r="C54" i="14" s="1"/>
  <c r="B29" i="20"/>
  <c r="B31" i="20" s="1"/>
  <c r="C48" i="14" s="1"/>
  <c r="B17" i="19"/>
  <c r="B19" i="19" s="1"/>
  <c r="C39" i="14" s="1"/>
  <c r="B16" i="22"/>
  <c r="B18" i="22" s="1"/>
  <c r="C50" i="14" s="1"/>
  <c r="R50" i="14" s="1"/>
  <c r="C12" i="59"/>
  <c r="B10" i="9"/>
  <c r="B12" i="9" s="1"/>
  <c r="B17" i="49"/>
  <c r="B19" i="49" s="1"/>
  <c r="C42" i="14" s="1"/>
  <c r="R42" i="14" s="1"/>
  <c r="C55" i="14"/>
  <c r="R55" i="14" s="1"/>
  <c r="C12" i="13"/>
  <c r="D41" i="14" s="1"/>
  <c r="C17" i="48"/>
  <c r="D46" i="14"/>
  <c r="D61" i="14" s="1"/>
  <c r="D63" i="14" s="1"/>
  <c r="R39" i="14" l="1"/>
  <c r="C24" i="48"/>
  <c r="C29" i="48"/>
  <c r="C26" i="48"/>
  <c r="C27" i="48"/>
  <c r="C22" i="48"/>
  <c r="C31" i="48"/>
  <c r="C32" i="48"/>
  <c r="C23" i="48"/>
  <c r="C28" i="48"/>
  <c r="C25" i="48"/>
  <c r="C30" i="48"/>
  <c r="C52" i="14"/>
  <c r="R48" i="14"/>
  <c r="R52" i="14" s="1"/>
  <c r="B17" i="48"/>
  <c r="B12" i="13"/>
  <c r="C41" i="14" s="1"/>
  <c r="R41" i="14" s="1"/>
  <c r="C56" i="14"/>
  <c r="R54" i="14"/>
  <c r="R56" i="14" s="1"/>
  <c r="C40" i="14"/>
  <c r="R40" i="14" s="1"/>
  <c r="C33" i="48" l="1"/>
  <c r="R46" i="14"/>
  <c r="R61" i="14" s="1"/>
  <c r="B32" i="48"/>
  <c r="Q32" i="48" s="1"/>
  <c r="B29" i="48"/>
  <c r="Q29" i="48" s="1"/>
  <c r="B25" i="48"/>
  <c r="Q25" i="48" s="1"/>
  <c r="B27" i="48"/>
  <c r="Q27" i="48" s="1"/>
  <c r="B22" i="48"/>
  <c r="B31" i="48"/>
  <c r="Q31" i="48" s="1"/>
  <c r="B24" i="48"/>
  <c r="Q24" i="48" s="1"/>
  <c r="B28" i="48"/>
  <c r="Q28" i="48" s="1"/>
  <c r="B30" i="48"/>
  <c r="Q30" i="48" s="1"/>
  <c r="B26" i="48"/>
  <c r="Q26" i="48" s="1"/>
  <c r="B23" i="48"/>
  <c r="Q23" i="48"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<sst xmlns="http://schemas.openxmlformats.org/spreadsheetml/2006/main" count="2410" uniqueCount="861">
  <si>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</si>
  <si>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</si>
  <si>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</si>
  <si>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</si>
  <si>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</si>
  <si>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</si>
  <si>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</si>
  <si>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</si>
  <si>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</si>
  <si>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</si>
  <si>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</si>
  <si>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</si>
  <si>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</si>
  <si>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</si>
  <si>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</si>
  <si>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</si>
  <si>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</si>
  <si>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</si>
  <si>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</si>
  <si>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</si>
  <si>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</si>
  <si>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</si>
  <si>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</si>
  <si>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</si>
  <si>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</si>
  <si>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</si>
  <si>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</si>
  <si>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</si>
  <si>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</si>
  <si>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</si>
  <si>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</si>
  <si>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</si>
  <si>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</si>
  <si>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</si>
  <si>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</si>
  <si>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</si>
  <si>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</si>
  <si>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</si>
  <si>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</si>
  <si>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</si>
  <si>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</si>
  <si>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</si>
  <si>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</si>
  <si>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</si>
  <si>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</si>
  <si>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</si>
  <si>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</si>
  <si>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</si>
  <si>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</si>
  <si>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</si>
  <si>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</si>
  <si>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</si>
  <si>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</si>
  <si>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</si>
  <si>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</si>
  <si>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</si>
  <si>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</si>
  <si>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</si>
  <si>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</si>
  <si>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</si>
  <si>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</si>
  <si>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</si>
  <si>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</si>
  <si>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</si>
  <si>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</si>
  <si>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</si>
  <si>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</si>
  <si>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</si>
  <si>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</si>
  <si>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</si>
  <si>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</si>
  <si>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</si>
  <si>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</si>
  <si>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</si>
  <si>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</si>
  <si>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</si>
  <si>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</si>
  <si>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</si>
  <si>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</si>
  <si>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</si>
  <si>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</si>
  <si>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</si>
  <si>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</si>
  <si>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</si>
  <si>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</si>
  <si>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</si>
  <si>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</si>
  <si>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</si>
  <si>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</si>
  <si>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</si>
  <si>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</si>
  <si>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</si>
  <si>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</si>
  <si>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</si>
  <si>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</si>
  <si>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</si>
  <si>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</si>
  <si>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</si>
  <si>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</si>
  <si>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</si>
  <si>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</si>
  <si>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</si>
  <si>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</si>
  <si>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</si>
  <si>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</si>
  <si>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</si>
  <si>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</si>
  <si>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</si>
  <si>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</si>
  <si>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</si>
  <si>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</si>
  <si>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</si>
  <si>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</si>
  <si>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</si>
  <si>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</si>
  <si>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</si>
  <si>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</si>
  <si>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</si>
  <si>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</si>
  <si>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</si>
  <si>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</si>
  <si>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</si>
  <si>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</si>
  <si>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</si>
  <si>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</si>
  <si>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</si>
  <si>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</si>
  <si>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</si>
  <si>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</si>
  <si>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</si>
  <si>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</si>
  <si>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</si>
  <si>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</si>
  <si>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</si>
  <si>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</si>
  <si>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</si>
  <si>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</si>
  <si>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</si>
  <si>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</si>
  <si>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</si>
  <si>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</si>
  <si>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</si>
  <si>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</si>
  <si>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</si>
  <si>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</si>
  <si>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</si>
  <si>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</si>
  <si>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</si>
  <si>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</si>
  <si>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</si>
  <si>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</si>
  <si>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</si>
  <si>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</si>
  <si>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</si>
  <si>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</si>
  <si>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</si>
  <si>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</si>
  <si>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</si>
  <si>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</si>
  <si>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</si>
  <si>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</si>
  <si>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</si>
  <si>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</si>
  <si>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</si>
  <si>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</si>
  <si>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</si>
  <si>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</si>
  <si>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</si>
  <si>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</si>
  <si>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</si>
  <si>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</si>
  <si>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</si>
  <si>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</si>
  <si>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</si>
  <si>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</si>
  <si>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</si>
  <si>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</si>
  <si>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</si>
  <si>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</si>
  <si>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</si>
  <si>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</si>
  <si>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</si>
  <si>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</si>
  <si>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</si>
  <si>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</si>
  <si>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</si>
  <si>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</si>
  <si>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</si>
  <si>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</si>
  <si>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</si>
  <si>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</si>
  <si>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</si>
  <si>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</si>
  <si>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</si>
  <si>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</si>
  <si>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</si>
  <si>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</si>
  <si>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</si>
  <si>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</si>
  <si>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</si>
  <si>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</si>
  <si>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</si>
  <si>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</si>
  <si>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</si>
  <si>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</si>
  <si>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</si>
  <si>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</si>
  <si>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</si>
  <si>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</si>
  <si>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</si>
  <si>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</si>
  <si>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</si>
  <si>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</si>
  <si>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</si>
  <si>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</si>
  <si>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</si>
  <si>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</si>
  <si>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</si>
  <si>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</si>
  <si>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</si>
  <si>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</si>
  <si>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</si>
  <si>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</si>
  <si>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</si>
  <si>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</si>
  <si>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</si>
  <si>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</si>
  <si>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</si>
  <si>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</si>
  <si>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</si>
  <si>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</si>
  <si>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</si>
  <si>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</si>
  <si>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</si>
  <si>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</si>
  <si>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</si>
  <si>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</si>
  <si>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</si>
  <si>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</si>
  <si>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</si>
  <si>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</si>
  <si>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</si>
  <si>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</si>
  <si>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</si>
  <si>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</si>
  <si>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</si>
  <si>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</si>
  <si>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</si>
  <si>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</si>
  <si>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</si>
  <si>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</si>
  <si>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</si>
  <si>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</si>
  <si>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</si>
  <si>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</si>
  <si>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</si>
  <si>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</si>
  <si>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</si>
  <si>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</si>
  <si>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</si>
  <si>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</si>
  <si>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</si>
  <si>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</si>
  <si>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</si>
  <si>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</si>
  <si>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</si>
  <si>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</si>
  <si>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</si>
  <si>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</si>
  <si>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</si>
  <si>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</si>
  <si>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</si>
  <si>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</si>
  <si>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</si>
  <si>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</si>
  <si>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</si>
  <si>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</si>
  <si>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</si>
  <si>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</si>
  <si>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</si>
  <si>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</si>
  <si>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</si>
  <si>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</si>
  <si>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</si>
  <si>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</si>
  <si>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</si>
  <si>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</si>
  <si>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</si>
  <si>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</si>
  <si>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</si>
  <si>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</si>
  <si>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</si>
  <si>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</si>
  <si>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</si>
  <si>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</si>
  <si>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</si>
  <si>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</si>
  <si>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</si>
  <si>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</si>
  <si>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</si>
  <si>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</si>
  <si>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</si>
  <si>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</si>
  <si>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</si>
  <si>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</si>
  <si>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</si>
  <si>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</si>
  <si>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</si>
  <si>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</si>
  <si>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</si>
  <si>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</si>
  <si>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</si>
  <si>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</si>
  <si>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</si>
  <si>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</si>
  <si>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</si>
  <si>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</si>
  <si>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</si>
  <si>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</si>
  <si>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</si>
  <si>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</si>
  <si>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</si>
  <si>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</si>
  <si>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</si>
  <si>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</si>
  <si>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</si>
  <si>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</si>
  <si>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</si>
  <si>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</si>
  <si>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</si>
  <si>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</si>
  <si>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</si>
  <si>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</si>
  <si>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</si>
  <si>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</si>
  <si>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</si>
  <si>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</si>
  <si>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</si>
  <si>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</si>
  <si>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</si>
  <si>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</si>
  <si>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</si>
  <si>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</si>
  <si>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</si>
  <si>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</si>
  <si>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</si>
  <si>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</si>
  <si>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</si>
  <si>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</si>
  <si>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</si>
  <si>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</si>
  <si>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</si>
  <si>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</si>
  <si>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</si>
  <si>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</si>
  <si>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</si>
  <si>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</si>
  <si>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</si>
  <si>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</si>
  <si>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</si>
  <si>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</si>
  <si>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</si>
  <si>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</si>
  <si>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</si>
  <si>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</si>
  <si>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</si>
  <si>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</si>
  <si>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</si>
  <si>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</si>
  <si>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</si>
  <si>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</si>
  <si>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</si>
  <si>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</si>
  <si>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</si>
  <si>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</si>
  <si>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</si>
  <si>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</si>
  <si>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</si>
  <si>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</si>
  <si>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</si>
  <si>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</si>
  <si>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</si>
  <si>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</si>
  <si>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</si>
  <si>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</si>
  <si>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</si>
  <si>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</si>
  <si>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</si>
  <si>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</si>
  <si>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</si>
  <si>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</si>
  <si>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</si>
  <si>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</si>
  <si>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</si>
  <si>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</si>
  <si>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</si>
  <si>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</si>
  <si>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</si>
  <si>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</si>
  <si>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</si>
  <si>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</si>
  <si>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</si>
  <si>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</si>
  <si>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</si>
  <si>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</si>
  <si>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</si>
  <si>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</si>
  <si>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</si>
  <si>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</si>
  <si>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</si>
  <si>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</si>
  <si>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</si>
  <si>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</si>
  <si>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</si>
  <si>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</si>
  <si>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</si>
  <si>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</si>
  <si>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</si>
  <si>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</si>
  <si>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</si>
  <si>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</si>
  <si>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</si>
  <si>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</si>
  <si>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</si>
  <si>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</si>
  <si>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</si>
  <si>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</si>
  <si>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</si>
  <si>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</si>
  <si>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</si>
  <si>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</si>
  <si>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</si>
  <si>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</si>
  <si>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</si>
  <si>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</si>
  <si>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</si>
  <si>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</si>
  <si>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</si>
  <si>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</si>
  <si>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</si>
  <si>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</si>
  <si>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</si>
  <si>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</si>
  <si>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</si>
  <si>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</si>
  <si>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</si>
  <si>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</si>
  <si>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</si>
  <si>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</si>
  <si>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</si>
  <si>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</si>
  <si>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</si>
  <si>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</si>
  <si>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</si>
  <si>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</si>
  <si>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</si>
  <si>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</si>
  <si>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</si>
  <si>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</si>
  <si>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</si>
  <si>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</si>
  <si>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</si>
  <si>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</si>
  <si>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</si>
  <si>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</si>
  <si>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</si>
  <si>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</si>
  <si>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</si>
  <si>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</si>
  <si>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</si>
  <si>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</si>
  <si>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</si>
  <si>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</si>
  <si>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</si>
  <si>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</si>
  <si>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</si>
  <si>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</si>
  <si>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</si>
  <si>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</si>
  <si>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</si>
  <si>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</si>
  <si>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</si>
  <si>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</si>
  <si>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</si>
  <si>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</si>
  <si>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</si>
  <si>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</si>
  <si>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</si>
  <si>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</si>
  <si>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</si>
  <si>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</si>
  <si>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</si>
  <si>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</si>
  <si>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</si>
  <si>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</si>
  <si>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</si>
  <si>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</si>
  <si>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</si>
  <si>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</si>
  <si>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</si>
  <si>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</si>
  <si>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</si>
  <si>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</si>
  <si>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</si>
  <si>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</si>
  <si>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</si>
  <si>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</si>
  <si>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</si>
  <si>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</si>
  <si>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</si>
  <si>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</si>
  <si>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</si>
  <si>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</si>
  <si>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</si>
  <si>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</si>
  <si>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</si>
  <si>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</si>
  <si>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</si>
  <si>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</si>
  <si>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</si>
  <si>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</si>
  <si>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</si>
  <si>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</si>
  <si>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</si>
  <si>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</si>
  <si>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</si>
  <si>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</si>
  <si>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</si>
  <si>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</si>
  <si>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</si>
  <si>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</si>
  <si>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</si>
  <si>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</si>
  <si>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</si>
  <si>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</si>
  <si>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</si>
  <si>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</si>
  <si>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</si>
  <si>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</si>
  <si>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</si>
  <si>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</si>
  <si>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</si>
  <si>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</si>
  <si>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</si>
  <si>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</si>
  <si>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</si>
  <si>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</si>
  <si>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</si>
  <si>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</si>
  <si>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</si>
  <si>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</si>
  <si>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</si>
  <si>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</si>
  <si>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</si>
  <si>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</si>
  <si>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</si>
  <si>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</si>
  <si>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</si>
  <si>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</si>
  <si>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</si>
  <si>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</si>
  <si>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</si>
  <si>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</si>
  <si>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</si>
  <si>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</si>
  <si>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</si>
  <si>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</si>
  <si>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</si>
  <si>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</si>
  <si>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</si>
  <si>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</si>
  <si>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</si>
  <si>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</si>
  <si>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</si>
  <si>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</si>
  <si>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</si>
  <si>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</si>
  <si>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</si>
  <si>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</si>
  <si>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</si>
  <si>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</si>
  <si>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</si>
  <si>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</si>
  <si>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</si>
  <si>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</si>
  <si>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</si>
  <si>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</si>
  <si>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</si>
  <si>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</si>
  <si>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</si>
  <si>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</si>
  <si>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</si>
  <si>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</si>
  <si>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</si>
  <si>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</si>
  <si>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</si>
  <si>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</si>
  <si>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</si>
  <si>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</si>
  <si>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</si>
  <si>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</si>
  <si>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</si>
  <si>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</si>
  <si>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</si>
  <si>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</si>
  <si>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</si>
  <si>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</si>
  <si>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</si>
  <si>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</si>
  <si>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</si>
  <si>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</si>
  <si>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</si>
  <si>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</si>
  <si>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</si>
  <si>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</si>
  <si>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</si>
  <si>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</si>
  <si>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</si>
  <si>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</si>
  <si>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</si>
  <si>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</si>
  <si>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</si>
  <si>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</si>
  <si>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</si>
  <si>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</si>
  <si>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</si>
  <si>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</si>
  <si>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</si>
  <si>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</si>
  <si>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</si>
  <si>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</si>
  <si>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</si>
  <si>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</si>
  <si>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</si>
  <si>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</si>
  <si>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</si>
  <si>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</si>
  <si>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</si>
  <si>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</si>
  <si>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</si>
  <si>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</si>
  <si>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</si>
  <si>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</si>
  <si>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</si>
  <si>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</si>
  <si>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</si>
  <si>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</si>
  <si>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</si>
  <si>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</si>
  <si>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</si>
  <si>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</si>
  <si>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</si>
  <si>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</si>
  <si>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</si>
  <si>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</si>
  <si>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</si>
  <si>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</si>
  <si>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</si>
  <si>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</si>
  <si>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</si>
  <si>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</si>
  <si>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</si>
  <si>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</si>
  <si>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</si>
  <si>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</si>
  <si>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</si>
  <si>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</si>
  <si>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</si>
  <si>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</si>
  <si>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</si>
  <si>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</si>
  <si>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</si>
  <si>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</si>
  <si>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</si>
  <si>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</si>
  <si>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</si>
  <si>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</si>
  <si>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</si>
  <si>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</si>
  <si>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</si>
  <si>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</si>
  <si>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</si>
  <si>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</si>
  <si>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</si>
  <si>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</si>
  <si>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</si>
  <si>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</si>
  <si>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</si>
  <si>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</si>
  <si>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</si>
  <si>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</si>
  <si>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</si>
  <si>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</si>
  <si>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</si>
  <si>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</si>
  <si>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</si>
  <si>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</si>
  <si>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</si>
  <si>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</si>
  <si>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</si>
  <si>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</si>
  <si>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</si>
  <si>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</si>
  <si>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</si>
  <si>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</si>
  <si>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</si>
  <si>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</si>
  <si>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</si>
  <si>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</si>
  <si>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</si>
  <si>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</si>
  <si>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</si>
  <si>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</si>
  <si>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</si>
  <si>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</si>
  <si>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</si>
  <si>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</si>
  <si>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</si>
  <si>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</si>
  <si>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</si>
  <si>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</si>
  <si>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</si>
  <si>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</si>
  <si>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</si>
  <si>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</si>
  <si>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</si>
  <si>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</si>
  <si>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</si>
  <si>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</si>
  <si>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</si>
  <si>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</si>
  <si>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</si>
  <si>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</si>
  <si>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</si>
  <si>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</si>
  <si>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</si>
  <si>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</si>
  <si>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</si>
  <si>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</si>
  <si>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</si>
  <si>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</si>
  <si>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</si>
  <si>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</si>
  <si>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</si>
  <si>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</si>
  <si>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</si>
  <si>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</si>
  <si>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</si>
  <si>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</si>
  <si>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</si>
  <si>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</si>
  <si>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</si>
  <si>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</si>
  <si>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</si>
  <si>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</si>
  <si>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</si>
  <si>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</si>
  <si>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</si>
  <si>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</si>
  <si>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</si>
  <si>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</si>
  <si>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</si>
  <si>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</si>
  <si>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</si>
  <si>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</si>
  <si>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</si>
  <si>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</si>
  <si>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</si>
  <si>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</si>
  <si>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</si>
  <si>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</si>
  <si>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</si>
  <si>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</si>
  <si>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</si>
  <si>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</si>
  <si>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</si>
  <si>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</si>
  <si>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</si>
  <si>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</si>
  <si>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</si>
  <si>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</si>
  <si>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</si>
  <si>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</si>
  <si>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</si>
  <si>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</si>
  <si>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</si>
  <si>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</si>
  <si>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</si>
  <si>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</si>
  <si>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</si>
  <si>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</si>
  <si>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</si>
  <si>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</si>
  <si>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</si>
  <si>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</si>
  <si>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</si>
  <si>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</si>
  <si>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</si>
  <si>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</si>
  <si>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</si>
  <si>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</si>
  <si>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</si>
  <si>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</si>
  <si>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</si>
  <si>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</si>
  <si>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</si>
  <si>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</si>
  <si>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</si>
  <si>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</si>
  <si>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</si>
  <si>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</si>
  <si>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</si>
  <si>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</si>
  <si>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</si>
  <si>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</si>
  <si>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</si>
  <si>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</si>
  <si>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</si>
  <si>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</si>
  <si>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</si>
  <si>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</si>
  <si>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</si>
  <si>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</si>
  <si>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</si>
  <si>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</si>
  <si>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</si>
  <si>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</si>
  <si>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</si>
  <si>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</si>
  <si>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</si>
  <si>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</si>
  <si>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</si>
  <si>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</si>
  <si>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</si>
  <si>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</si>
  <si>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</si>
  <si>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</si>
  <si>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</si>
  <si>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</si>
  <si>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</si>
  <si>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</si>
  <si>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</si>
  <si>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</si>
  <si>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</si>
  <si>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</si>
  <si>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</si>
  <si>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</si>
  <si>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</si>
  <si>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</si>
  <si>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</si>
  <si>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</si>
  <si>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</si>
  <si>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11053</t>
  </si>
  <si>
    <t>WUUSTWEZEL</t>
  </si>
  <si>
    <t>waterkracht</t>
  </si>
  <si>
    <t>vloeibaar gas (MWh)</t>
  </si>
  <si>
    <t>interne verbrandingsmotor</t>
  </si>
  <si>
    <t>WKK interne verbrandinsgmotor (gas)</t>
  </si>
  <si>
    <t>IVEKA</t>
  </si>
  <si>
    <t>IVEKA (via EANDIS)</t>
  </si>
  <si>
    <t>Interne verbrandingsmotor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</si>
</sst>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467DD4FF-63F4-4BD8-BAAD-CAB93562D3C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171041.74674913287</c:v>
                </c:pt>
                <c:pt idx="1">
                  <c:v>33094.210917240671</c:v>
                </c:pt>
                <c:pt idx="2">
                  <c:v>938.15</c:v>
                </c:pt>
                <c:pt idx="3">
                  <c:v>170459.86031028311</c:v>
                </c:pt>
                <c:pt idx="4">
                  <c:v>11320.313827265079</c:v>
                </c:pt>
                <c:pt idx="5">
                  <c:v>209952.71264911181</c:v>
                </c:pt>
                <c:pt idx="6">
                  <c:v>1835.9846217730865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171041.74674913287</c:v>
                </c:pt>
                <c:pt idx="1">
                  <c:v>33094.210917240671</c:v>
                </c:pt>
                <c:pt idx="2">
                  <c:v>938.15</c:v>
                </c:pt>
                <c:pt idx="3">
                  <c:v>170459.86031028311</c:v>
                </c:pt>
                <c:pt idx="4">
                  <c:v>11320.313827265079</c:v>
                </c:pt>
                <c:pt idx="5">
                  <c:v>209952.71264911181</c:v>
                </c:pt>
                <c:pt idx="6">
                  <c:v>1835.9846217730865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31053.683627936512</c:v>
                </c:pt>
                <c:pt idx="1">
                  <c:v>5453.1222643871861</c:v>
                </c:pt>
                <c:pt idx="2">
                  <c:v>111.93414374083677</c:v>
                </c:pt>
                <c:pt idx="3">
                  <c:v>40604.88461483529</c:v>
                </c:pt>
                <c:pt idx="4">
                  <c:v>1938.1134849311748</c:v>
                </c:pt>
                <c:pt idx="5">
                  <c:v>52182.974437650686</c:v>
                </c:pt>
                <c:pt idx="6">
                  <c:v>459.95061123552779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31053.683627936512</c:v>
                </c:pt>
                <c:pt idx="1">
                  <c:v>5453.1222643871861</c:v>
                </c:pt>
                <c:pt idx="2">
                  <c:v>111.93414374083677</c:v>
                </c:pt>
                <c:pt idx="3">
                  <c:v>40604.88461483529</c:v>
                </c:pt>
                <c:pt idx="4">
                  <c:v>1938.1134849311748</c:v>
                </c:pt>
                <c:pt idx="5">
                  <c:v>52182.974437650686</c:v>
                </c:pt>
                <c:pt idx="6">
                  <c:v>459.95061123552779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11053</v>
      </c>
      <c r="B6" s="382"/>
      <c r="C6" s="383"/>
    </row>
    <row r="7" spans="1:7" s="380" customFormat="1" ht="15.75" customHeight="1">
      <c r="A7" s="384" t="str">
        <f>txtMunicipality</f>
        <v>WUUSTWEZEL</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0.1193136958277853</v>
      </c>
      <c r="C17" s="494">
        <f ca="1">'EF ele_warmte'!B22</f>
        <v>0.23724329359011875</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0.1193136958277853</v>
      </c>
      <c r="C29" s="495">
        <f ca="1">'EF ele_warmte'!B22</f>
        <v>0.23724329359011875</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8430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5852.2</v>
      </c>
      <c r="C14" s="324"/>
      <c r="D14" s="324"/>
      <c r="E14" s="324"/>
      <c r="F14" s="324"/>
    </row>
    <row r="15" spans="1:6">
      <c r="A15" s="1265" t="s">
        <v>177</v>
      </c>
      <c r="B15" s="1266">
        <v>4777</v>
      </c>
      <c r="C15" s="324"/>
      <c r="D15" s="324"/>
      <c r="E15" s="324"/>
      <c r="F15" s="324"/>
    </row>
    <row r="16" spans="1:6">
      <c r="A16" s="1265" t="s">
        <v>6</v>
      </c>
      <c r="B16" s="1266">
        <v>8135</v>
      </c>
      <c r="C16" s="324"/>
      <c r="D16" s="324"/>
      <c r="E16" s="324"/>
      <c r="F16" s="324"/>
    </row>
    <row r="17" spans="1:6">
      <c r="A17" s="1265" t="s">
        <v>7</v>
      </c>
      <c r="B17" s="1266">
        <v>654</v>
      </c>
      <c r="C17" s="324"/>
      <c r="D17" s="324"/>
      <c r="E17" s="324"/>
      <c r="F17" s="324"/>
    </row>
    <row r="18" spans="1:6">
      <c r="A18" s="1265" t="s">
        <v>8</v>
      </c>
      <c r="B18" s="1266">
        <v>4122</v>
      </c>
      <c r="C18" s="324"/>
      <c r="D18" s="324"/>
      <c r="E18" s="324"/>
      <c r="F18" s="324"/>
    </row>
    <row r="19" spans="1:6">
      <c r="A19" s="1265" t="s">
        <v>9</v>
      </c>
      <c r="B19" s="1266">
        <v>3956</v>
      </c>
      <c r="C19" s="324"/>
      <c r="D19" s="324"/>
      <c r="E19" s="324"/>
      <c r="F19" s="324"/>
    </row>
    <row r="20" spans="1:6">
      <c r="A20" s="1265" t="s">
        <v>10</v>
      </c>
      <c r="B20" s="1266">
        <v>2032</v>
      </c>
      <c r="C20" s="324"/>
      <c r="D20" s="324"/>
      <c r="E20" s="324"/>
      <c r="F20" s="324"/>
    </row>
    <row r="21" spans="1:6">
      <c r="A21" s="1265" t="s">
        <v>11</v>
      </c>
      <c r="B21" s="1266">
        <v>46862</v>
      </c>
      <c r="C21" s="324"/>
      <c r="D21" s="324"/>
      <c r="E21" s="324"/>
      <c r="F21" s="324"/>
    </row>
    <row r="22" spans="1:6">
      <c r="A22" s="1265" t="s">
        <v>12</v>
      </c>
      <c r="B22" s="1266">
        <v>97888</v>
      </c>
      <c r="C22" s="324"/>
      <c r="D22" s="324"/>
      <c r="E22" s="324"/>
      <c r="F22" s="324"/>
    </row>
    <row r="23" spans="1:6">
      <c r="A23" s="1265" t="s">
        <v>13</v>
      </c>
      <c r="B23" s="1266">
        <v>2172</v>
      </c>
      <c r="C23" s="324"/>
      <c r="D23" s="324"/>
      <c r="E23" s="324"/>
      <c r="F23" s="324"/>
    </row>
    <row r="24" spans="1:6">
      <c r="A24" s="1265" t="s">
        <v>14</v>
      </c>
      <c r="B24" s="1266">
        <v>60</v>
      </c>
      <c r="C24" s="324"/>
      <c r="D24" s="324"/>
      <c r="E24" s="324"/>
      <c r="F24" s="324"/>
    </row>
    <row r="25" spans="1:6">
      <c r="A25" s="1265" t="s">
        <v>15</v>
      </c>
      <c r="B25" s="1266">
        <v>10645</v>
      </c>
      <c r="C25" s="324"/>
      <c r="D25" s="324"/>
      <c r="E25" s="324"/>
      <c r="F25" s="324"/>
    </row>
    <row r="26" spans="1:6">
      <c r="A26" s="1265" t="s">
        <v>16</v>
      </c>
      <c r="B26" s="1266">
        <v>450</v>
      </c>
      <c r="C26" s="324"/>
      <c r="D26" s="324"/>
      <c r="E26" s="324"/>
      <c r="F26" s="324"/>
    </row>
    <row r="27" spans="1:6">
      <c r="A27" s="1265" t="s">
        <v>17</v>
      </c>
      <c r="B27" s="1266">
        <v>4148</v>
      </c>
      <c r="C27" s="324"/>
      <c r="D27" s="324"/>
      <c r="E27" s="324"/>
      <c r="F27" s="324"/>
    </row>
    <row r="28" spans="1:6">
      <c r="A28" s="1265" t="s">
        <v>18</v>
      </c>
      <c r="B28" s="1267">
        <v>1792008</v>
      </c>
      <c r="C28" s="324"/>
      <c r="D28" s="324"/>
      <c r="E28" s="324"/>
      <c r="F28" s="324"/>
    </row>
    <row r="29" spans="1:6">
      <c r="A29" s="1265" t="s">
        <v>653</v>
      </c>
      <c r="B29" s="1267">
        <v>516</v>
      </c>
      <c r="C29" s="324"/>
      <c r="D29" s="324"/>
      <c r="E29" s="324"/>
      <c r="F29" s="324"/>
    </row>
    <row r="30" spans="1:6">
      <c r="A30" s="1260" t="s">
        <v>654</v>
      </c>
      <c r="B30" s="1268">
        <v>118</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5</v>
      </c>
      <c r="F35" s="1266">
        <v>6341314.9596073702</v>
      </c>
    </row>
    <row r="36" spans="1:6">
      <c r="A36" s="1265" t="s">
        <v>24</v>
      </c>
      <c r="B36" s="1265" t="s">
        <v>26</v>
      </c>
      <c r="C36" s="1266">
        <v>5</v>
      </c>
      <c r="D36" s="1266">
        <v>54089102.5861421</v>
      </c>
      <c r="E36" s="1266">
        <v>8</v>
      </c>
      <c r="F36" s="1266">
        <v>1298555.02350247</v>
      </c>
    </row>
    <row r="37" spans="1:6">
      <c r="A37" s="1265" t="s">
        <v>24</v>
      </c>
      <c r="B37" s="1265" t="s">
        <v>27</v>
      </c>
      <c r="C37" s="1266">
        <v>0</v>
      </c>
      <c r="D37" s="1266">
        <v>0</v>
      </c>
      <c r="E37" s="1266">
        <v>0</v>
      </c>
      <c r="F37" s="1266">
        <v>0</v>
      </c>
    </row>
    <row r="38" spans="1:6">
      <c r="A38" s="1265" t="s">
        <v>24</v>
      </c>
      <c r="B38" s="1265" t="s">
        <v>28</v>
      </c>
      <c r="C38" s="1266">
        <v>0</v>
      </c>
      <c r="D38" s="1266">
        <v>0</v>
      </c>
      <c r="E38" s="1266">
        <v>0</v>
      </c>
      <c r="F38" s="1266">
        <v>0</v>
      </c>
    </row>
    <row r="39" spans="1:6">
      <c r="A39" s="1265" t="s">
        <v>29</v>
      </c>
      <c r="B39" s="1265" t="s">
        <v>30</v>
      </c>
      <c r="C39" s="1266">
        <v>5649</v>
      </c>
      <c r="D39" s="1266">
        <v>89422949.628910705</v>
      </c>
      <c r="E39" s="1266">
        <v>8096</v>
      </c>
      <c r="F39" s="1266">
        <v>30967542.064728301</v>
      </c>
    </row>
    <row r="40" spans="1:6">
      <c r="A40" s="1265" t="s">
        <v>29</v>
      </c>
      <c r="B40" s="1265" t="s">
        <v>28</v>
      </c>
      <c r="C40" s="1266">
        <v>0</v>
      </c>
      <c r="D40" s="1266">
        <v>0</v>
      </c>
      <c r="E40" s="1266">
        <v>0</v>
      </c>
      <c r="F40" s="1266">
        <v>0</v>
      </c>
    </row>
    <row r="41" spans="1:6">
      <c r="A41" s="1265" t="s">
        <v>31</v>
      </c>
      <c r="B41" s="1265" t="s">
        <v>32</v>
      </c>
      <c r="C41" s="1266">
        <v>105</v>
      </c>
      <c r="D41" s="1266">
        <v>2283861.8009392698</v>
      </c>
      <c r="E41" s="1266">
        <v>249</v>
      </c>
      <c r="F41" s="1266">
        <v>3368544.8080380601</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20</v>
      </c>
      <c r="D44" s="1266">
        <v>847614.75342996104</v>
      </c>
      <c r="E44" s="1266">
        <v>47</v>
      </c>
      <c r="F44" s="1266">
        <v>1831957.5757939301</v>
      </c>
    </row>
    <row r="45" spans="1:6">
      <c r="A45" s="1265" t="s">
        <v>31</v>
      </c>
      <c r="B45" s="1265" t="s">
        <v>36</v>
      </c>
      <c r="C45" s="1266">
        <v>0</v>
      </c>
      <c r="D45" s="1266">
        <v>0</v>
      </c>
      <c r="E45" s="1266">
        <v>3</v>
      </c>
      <c r="F45" s="1266">
        <v>6519.3439525047997</v>
      </c>
    </row>
    <row r="46" spans="1:6">
      <c r="A46" s="1265" t="s">
        <v>31</v>
      </c>
      <c r="B46" s="1265" t="s">
        <v>37</v>
      </c>
      <c r="C46" s="1266">
        <v>0</v>
      </c>
      <c r="D46" s="1266">
        <v>0</v>
      </c>
      <c r="E46" s="1266">
        <v>0</v>
      </c>
      <c r="F46" s="1266">
        <v>0</v>
      </c>
    </row>
    <row r="47" spans="1:6">
      <c r="A47" s="1265" t="s">
        <v>31</v>
      </c>
      <c r="B47" s="1265" t="s">
        <v>38</v>
      </c>
      <c r="C47" s="1266">
        <v>0</v>
      </c>
      <c r="D47" s="1266">
        <v>0</v>
      </c>
      <c r="E47" s="1266">
        <v>4</v>
      </c>
      <c r="F47" s="1266">
        <v>34129.826862304399</v>
      </c>
    </row>
    <row r="48" spans="1:6">
      <c r="A48" s="1265" t="s">
        <v>31</v>
      </c>
      <c r="B48" s="1265" t="s">
        <v>28</v>
      </c>
      <c r="C48" s="1266">
        <v>3</v>
      </c>
      <c r="D48" s="1266">
        <v>66277.563288054604</v>
      </c>
      <c r="E48" s="1266">
        <v>2</v>
      </c>
      <c r="F48" s="1266">
        <v>12283.312795088001</v>
      </c>
    </row>
    <row r="49" spans="1:6">
      <c r="A49" s="1265" t="s">
        <v>31</v>
      </c>
      <c r="B49" s="1265" t="s">
        <v>39</v>
      </c>
      <c r="C49" s="1266">
        <v>0</v>
      </c>
      <c r="D49" s="1266">
        <v>0</v>
      </c>
      <c r="E49" s="1266">
        <v>0</v>
      </c>
      <c r="F49" s="1266">
        <v>0</v>
      </c>
    </row>
    <row r="50" spans="1:6">
      <c r="A50" s="1265" t="s">
        <v>31</v>
      </c>
      <c r="B50" s="1265" t="s">
        <v>40</v>
      </c>
      <c r="C50" s="1266">
        <v>8</v>
      </c>
      <c r="D50" s="1266">
        <v>375179.413172837</v>
      </c>
      <c r="E50" s="1266">
        <v>15</v>
      </c>
      <c r="F50" s="1266">
        <v>320312.333470629</v>
      </c>
    </row>
    <row r="51" spans="1:6">
      <c r="A51" s="1265" t="s">
        <v>41</v>
      </c>
      <c r="B51" s="1265" t="s">
        <v>42</v>
      </c>
      <c r="C51" s="1266">
        <v>38</v>
      </c>
      <c r="D51" s="1266">
        <v>161435209.870148</v>
      </c>
      <c r="E51" s="1266">
        <v>349</v>
      </c>
      <c r="F51" s="1266">
        <v>12847511.246601</v>
      </c>
    </row>
    <row r="52" spans="1:6">
      <c r="A52" s="1265" t="s">
        <v>41</v>
      </c>
      <c r="B52" s="1265" t="s">
        <v>28</v>
      </c>
      <c r="C52" s="1266">
        <v>0</v>
      </c>
      <c r="D52" s="1266">
        <v>0</v>
      </c>
      <c r="E52" s="1266">
        <v>0</v>
      </c>
      <c r="F52" s="1266">
        <v>0</v>
      </c>
    </row>
    <row r="53" spans="1:6">
      <c r="A53" s="1265" t="s">
        <v>43</v>
      </c>
      <c r="B53" s="1265" t="s">
        <v>44</v>
      </c>
      <c r="C53" s="1266">
        <v>87</v>
      </c>
      <c r="D53" s="1266">
        <v>2759366.05384346</v>
      </c>
      <c r="E53" s="1266">
        <v>275</v>
      </c>
      <c r="F53" s="1266">
        <v>1684393.3677370001</v>
      </c>
    </row>
    <row r="54" spans="1:6">
      <c r="A54" s="1265" t="s">
        <v>45</v>
      </c>
      <c r="B54" s="1265" t="s">
        <v>46</v>
      </c>
      <c r="C54" s="1266">
        <v>0</v>
      </c>
      <c r="D54" s="1266">
        <v>0</v>
      </c>
      <c r="E54" s="1266">
        <v>1</v>
      </c>
      <c r="F54" s="1266">
        <v>938150</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45</v>
      </c>
      <c r="D57" s="1266">
        <v>1270993.12699836</v>
      </c>
      <c r="E57" s="1266">
        <v>97</v>
      </c>
      <c r="F57" s="1266">
        <v>1814290.0940918601</v>
      </c>
    </row>
    <row r="58" spans="1:6">
      <c r="A58" s="1265" t="s">
        <v>48</v>
      </c>
      <c r="B58" s="1265" t="s">
        <v>50</v>
      </c>
      <c r="C58" s="1266">
        <v>35</v>
      </c>
      <c r="D58" s="1266">
        <v>1637996.9130746601</v>
      </c>
      <c r="E58" s="1266">
        <v>46</v>
      </c>
      <c r="F58" s="1266">
        <v>630433.23780446802</v>
      </c>
    </row>
    <row r="59" spans="1:6">
      <c r="A59" s="1265" t="s">
        <v>48</v>
      </c>
      <c r="B59" s="1265" t="s">
        <v>51</v>
      </c>
      <c r="C59" s="1266">
        <v>116</v>
      </c>
      <c r="D59" s="1266">
        <v>3463228.4778766902</v>
      </c>
      <c r="E59" s="1266">
        <v>228</v>
      </c>
      <c r="F59" s="1266">
        <v>6059308.7966567399</v>
      </c>
    </row>
    <row r="60" spans="1:6">
      <c r="A60" s="1265" t="s">
        <v>48</v>
      </c>
      <c r="B60" s="1265" t="s">
        <v>52</v>
      </c>
      <c r="C60" s="1266">
        <v>56</v>
      </c>
      <c r="D60" s="1266">
        <v>2519109.2314848499</v>
      </c>
      <c r="E60" s="1266">
        <v>64</v>
      </c>
      <c r="F60" s="1266">
        <v>1656018.16041137</v>
      </c>
    </row>
    <row r="61" spans="1:6">
      <c r="A61" s="1265" t="s">
        <v>48</v>
      </c>
      <c r="B61" s="1265" t="s">
        <v>53</v>
      </c>
      <c r="C61" s="1266">
        <v>162</v>
      </c>
      <c r="D61" s="1266">
        <v>5738870.50837998</v>
      </c>
      <c r="E61" s="1266">
        <v>386</v>
      </c>
      <c r="F61" s="1266">
        <v>3877156.6145100598</v>
      </c>
    </row>
    <row r="62" spans="1:6">
      <c r="A62" s="1265" t="s">
        <v>48</v>
      </c>
      <c r="B62" s="1265" t="s">
        <v>54</v>
      </c>
      <c r="C62" s="1266">
        <v>17</v>
      </c>
      <c r="D62" s="1266">
        <v>1445463.15573654</v>
      </c>
      <c r="E62" s="1266">
        <v>20</v>
      </c>
      <c r="F62" s="1266">
        <v>554703.78122608794</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0</v>
      </c>
      <c r="D66" s="1266">
        <v>0</v>
      </c>
      <c r="E66" s="1266">
        <v>18</v>
      </c>
      <c r="F66" s="1266">
        <v>651229.54468962899</v>
      </c>
    </row>
    <row r="67" spans="1:6">
      <c r="A67" s="1265" t="s">
        <v>55</v>
      </c>
      <c r="B67" s="1265" t="s">
        <v>58</v>
      </c>
      <c r="C67" s="1266">
        <v>0</v>
      </c>
      <c r="D67" s="1266">
        <v>0</v>
      </c>
      <c r="E67" s="1266">
        <v>0</v>
      </c>
      <c r="F67" s="1266">
        <v>0</v>
      </c>
    </row>
    <row r="68" spans="1:6">
      <c r="A68" s="1260" t="s">
        <v>55</v>
      </c>
      <c r="B68" s="1260" t="s">
        <v>59</v>
      </c>
      <c r="C68" s="1268">
        <v>6</v>
      </c>
      <c r="D68" s="1268">
        <v>141923.722616518</v>
      </c>
      <c r="E68" s="1268">
        <v>21</v>
      </c>
      <c r="F68" s="1268">
        <v>544841.57173613901</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70391024</v>
      </c>
      <c r="E73" s="443"/>
      <c r="F73" s="324"/>
    </row>
    <row r="74" spans="1:6">
      <c r="A74" s="1265" t="s">
        <v>63</v>
      </c>
      <c r="B74" s="1265" t="s">
        <v>607</v>
      </c>
      <c r="C74" s="1278" t="s">
        <v>609</v>
      </c>
      <c r="D74" s="1266">
        <v>5211839.7734998502</v>
      </c>
      <c r="E74" s="443"/>
      <c r="F74" s="324"/>
    </row>
    <row r="75" spans="1:6">
      <c r="A75" s="1265" t="s">
        <v>64</v>
      </c>
      <c r="B75" s="1265" t="s">
        <v>606</v>
      </c>
      <c r="C75" s="1278" t="s">
        <v>610</v>
      </c>
      <c r="D75" s="1266">
        <v>13625215</v>
      </c>
      <c r="E75" s="443"/>
      <c r="F75" s="324"/>
    </row>
    <row r="76" spans="1:6">
      <c r="A76" s="1265" t="s">
        <v>64</v>
      </c>
      <c r="B76" s="1265" t="s">
        <v>607</v>
      </c>
      <c r="C76" s="1278" t="s">
        <v>611</v>
      </c>
      <c r="D76" s="1266">
        <v>365702.77349985001</v>
      </c>
      <c r="E76" s="443"/>
      <c r="F76" s="324"/>
    </row>
    <row r="77" spans="1:6">
      <c r="A77" s="1265" t="s">
        <v>65</v>
      </c>
      <c r="B77" s="1265" t="s">
        <v>606</v>
      </c>
      <c r="C77" s="1278" t="s">
        <v>612</v>
      </c>
      <c r="D77" s="1266">
        <v>97386852</v>
      </c>
      <c r="E77" s="443"/>
      <c r="F77" s="324"/>
    </row>
    <row r="78" spans="1:6">
      <c r="A78" s="1260" t="s">
        <v>65</v>
      </c>
      <c r="B78" s="1260" t="s">
        <v>607</v>
      </c>
      <c r="C78" s="1260" t="s">
        <v>613</v>
      </c>
      <c r="D78" s="1268">
        <v>27502636</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509618.45300029998</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64244.236649950166</v>
      </c>
      <c r="C90" s="324"/>
      <c r="D90" s="324"/>
      <c r="E90" s="324"/>
      <c r="F90" s="324"/>
    </row>
    <row r="91" spans="1:6">
      <c r="A91" s="1265" t="s">
        <v>67</v>
      </c>
      <c r="B91" s="1266">
        <v>7943.4213289950276</v>
      </c>
      <c r="C91" s="324"/>
      <c r="D91" s="324"/>
      <c r="E91" s="324"/>
      <c r="F91" s="324"/>
    </row>
    <row r="92" spans="1:6">
      <c r="A92" s="1260" t="s">
        <v>68</v>
      </c>
      <c r="B92" s="1261">
        <v>3992.4430630422721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3580</v>
      </c>
      <c r="C97" s="324"/>
      <c r="D97" s="324"/>
      <c r="E97" s="324"/>
      <c r="F97" s="324"/>
    </row>
    <row r="98" spans="1:6">
      <c r="A98" s="1265" t="s">
        <v>71</v>
      </c>
      <c r="B98" s="1266">
        <v>5</v>
      </c>
      <c r="C98" s="324"/>
      <c r="D98" s="324"/>
      <c r="E98" s="324"/>
      <c r="F98" s="324"/>
    </row>
    <row r="99" spans="1:6">
      <c r="A99" s="1265" t="s">
        <v>72</v>
      </c>
      <c r="B99" s="1266">
        <v>229</v>
      </c>
      <c r="C99" s="324"/>
      <c r="D99" s="324"/>
      <c r="E99" s="324"/>
      <c r="F99" s="324"/>
    </row>
    <row r="100" spans="1:6">
      <c r="A100" s="1265" t="s">
        <v>73</v>
      </c>
      <c r="B100" s="1266">
        <v>824</v>
      </c>
      <c r="C100" s="324"/>
      <c r="D100" s="324"/>
      <c r="E100" s="324"/>
      <c r="F100" s="324"/>
    </row>
    <row r="101" spans="1:6">
      <c r="A101" s="1265" t="s">
        <v>74</v>
      </c>
      <c r="B101" s="1266">
        <v>181</v>
      </c>
      <c r="C101" s="324"/>
      <c r="D101" s="324"/>
      <c r="E101" s="324"/>
      <c r="F101" s="324"/>
    </row>
    <row r="102" spans="1:6">
      <c r="A102" s="1265" t="s">
        <v>75</v>
      </c>
      <c r="B102" s="1266">
        <v>79</v>
      </c>
      <c r="C102" s="324"/>
      <c r="D102" s="324"/>
      <c r="E102" s="324"/>
      <c r="F102" s="324"/>
    </row>
    <row r="103" spans="1:6">
      <c r="A103" s="1265" t="s">
        <v>76</v>
      </c>
      <c r="B103" s="1266">
        <v>142</v>
      </c>
      <c r="C103" s="324"/>
      <c r="D103" s="324"/>
      <c r="E103" s="324"/>
      <c r="F103" s="324"/>
    </row>
    <row r="104" spans="1:6">
      <c r="A104" s="1265" t="s">
        <v>77</v>
      </c>
      <c r="B104" s="1266">
        <v>1224</v>
      </c>
      <c r="C104" s="324"/>
      <c r="D104" s="324"/>
      <c r="E104" s="324"/>
      <c r="F104" s="324"/>
    </row>
    <row r="105" spans="1:6">
      <c r="A105" s="1260" t="s">
        <v>78</v>
      </c>
      <c r="B105" s="1268">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3</v>
      </c>
      <c r="C110" s="324"/>
      <c r="D110" s="324"/>
      <c r="E110" s="324"/>
      <c r="F110" s="324"/>
    </row>
    <row r="111" spans="1:6">
      <c r="A111" s="1283" t="s">
        <v>598</v>
      </c>
      <c r="B111" s="1284">
        <v>1</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2</v>
      </c>
      <c r="C121" s="1266">
        <v>0</v>
      </c>
      <c r="D121" s="324"/>
      <c r="E121" s="324"/>
      <c r="F121" s="324"/>
    </row>
    <row r="122" spans="1:6">
      <c r="A122" s="1265" t="s">
        <v>86</v>
      </c>
      <c r="B122" s="1266">
        <v>0</v>
      </c>
      <c r="C122" s="1266">
        <v>0</v>
      </c>
      <c r="D122" s="324"/>
      <c r="E122" s="324"/>
      <c r="F122" s="324"/>
    </row>
    <row r="123" spans="1:6">
      <c r="A123" s="1265" t="s">
        <v>87</v>
      </c>
      <c r="B123" s="1266">
        <v>137</v>
      </c>
      <c r="C123" s="1266">
        <v>39</v>
      </c>
      <c r="D123" s="324"/>
      <c r="E123" s="324"/>
      <c r="F123" s="324"/>
    </row>
    <row r="124" spans="1:6">
      <c r="A124" s="1265" t="s">
        <v>88</v>
      </c>
      <c r="B124" s="1266">
        <v>3</v>
      </c>
      <c r="C124" s="1266">
        <v>2</v>
      </c>
      <c r="D124" s="324"/>
      <c r="E124" s="324"/>
      <c r="F124" s="324"/>
    </row>
    <row r="125" spans="1:6">
      <c r="A125" s="1260" t="s">
        <v>753</v>
      </c>
      <c r="B125" s="1266">
        <v>0</v>
      </c>
      <c r="C125" s="1266">
        <v>1</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185</v>
      </c>
      <c r="C129" s="324"/>
      <c r="D129" s="324"/>
      <c r="E129" s="324"/>
      <c r="F129" s="324"/>
    </row>
    <row r="130" spans="1:6">
      <c r="A130" s="1265" t="s">
        <v>284</v>
      </c>
      <c r="B130" s="1266">
        <v>3</v>
      </c>
      <c r="C130" s="324"/>
      <c r="D130" s="324"/>
      <c r="E130" s="324"/>
      <c r="F130" s="324"/>
    </row>
    <row r="131" spans="1:6">
      <c r="A131" s="1265" t="s">
        <v>285</v>
      </c>
      <c r="B131" s="1266">
        <v>4</v>
      </c>
      <c r="C131" s="324"/>
      <c r="D131" s="324"/>
      <c r="E131" s="324"/>
      <c r="F131" s="324"/>
    </row>
    <row r="132" spans="1:6">
      <c r="A132" s="1260" t="s">
        <v>286</v>
      </c>
      <c r="B132" s="1261">
        <v>71</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75044.039081601848</v>
      </c>
      <c r="C3" s="43" t="s">
        <v>163</v>
      </c>
      <c r="D3" s="43"/>
      <c r="E3" s="153"/>
      <c r="F3" s="43"/>
      <c r="G3" s="43"/>
      <c r="H3" s="43"/>
      <c r="I3" s="43"/>
      <c r="J3" s="43"/>
      <c r="K3" s="96"/>
    </row>
    <row r="4" spans="1:11">
      <c r="A4" s="350" t="s">
        <v>164</v>
      </c>
      <c r="B4" s="49">
        <f>IF(ISERROR('SEAP template'!B78+'SEAP template'!C78),0,'SEAP template'!B78+'SEAP template'!C78)</f>
        <v>153254.30104198749</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18285.337058823534</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0.1193136958277853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26121.910084033614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110106</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0.23724329359011875</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938.15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938.15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0.1193136958277853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111.93414374083677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30967.542064728303</v>
      </c>
      <c r="C5" s="17">
        <f>IF(ISERROR('Eigen informatie GS &amp; warmtenet'!B59),0,'Eigen informatie GS &amp; warmtenet'!B59)</f>
        <v>0</v>
      </c>
      <c r="D5" s="30">
        <f>(SUM(HH_hh_gas_kWh,HH_rest_gas_kWh)/1000)*0.903</f>
        <v>80748.923514906375</v>
      </c>
      <c r="E5" s="17">
        <f>B32*B41</f>
        <v>1978.6808250900426</v>
      </c>
      <c r="F5" s="17">
        <f>B36*B45</f>
        <v>35844.069976472267</v>
      </c>
      <c r="G5" s="18"/>
      <c r="H5" s="17"/>
      <c r="I5" s="17"/>
      <c r="J5" s="17">
        <f>B35*B44+C35*C44</f>
        <v>226.73162764716585</v>
      </c>
      <c r="K5" s="17"/>
      <c r="L5" s="17"/>
      <c r="M5" s="17"/>
      <c r="N5" s="17">
        <f>B34*B43+C34*C43</f>
        <v>10661.337439790703</v>
      </c>
      <c r="O5" s="17">
        <f>B52*B53*B54</f>
        <v>448.37455758146922</v>
      </c>
      <c r="P5" s="17">
        <f>B60*B61*B62/1000-B60*B61*B62/1000/B63</f>
        <v>2222.6654139215398</v>
      </c>
    </row>
    <row r="6" spans="1:16">
      <c r="A6" s="16" t="s">
        <v>572</v>
      </c>
      <c r="B6" s="740">
        <f>kWh_PV_kleiner_dan_10kW</f>
        <v>7943.4213289950276</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38910.96339372333</v>
      </c>
      <c r="C8" s="21">
        <f>C5</f>
        <v>0</v>
      </c>
      <c r="D8" s="21">
        <f>D5</f>
        <v>80748.923514906375</v>
      </c>
      <c r="E8" s="21">
        <f>E5</f>
        <v>1978.6808250900426</v>
      </c>
      <c r="F8" s="21">
        <f>F5</f>
        <v>35844.069976472267</v>
      </c>
      <c r="G8" s="21"/>
      <c r="H8" s="21"/>
      <c r="I8" s="21"/>
      <c r="J8" s="21">
        <f>J5</f>
        <v>226.73162764716585</v>
      </c>
      <c r="K8" s="21"/>
      <c r="L8" s="21">
        <f>L5</f>
        <v>0</v>
      </c>
      <c r="M8" s="21">
        <f>M5</f>
        <v>0</v>
      </c>
      <c r="N8" s="21">
        <f>N5</f>
        <v>10661.337439790703</v>
      </c>
      <c r="O8" s="21">
        <f>O5</f>
        <v>448.37455758146922</v>
      </c>
      <c r="P8" s="21">
        <f>P5</f>
        <v>2222.6654139215398</v>
      </c>
    </row>
    <row r="9" spans="1:16">
      <c r="B9" s="19"/>
      <c r="C9" s="19"/>
      <c r="D9" s="253"/>
      <c r="E9" s="19"/>
      <c r="F9" s="19"/>
      <c r="G9" s="19"/>
      <c r="H9" s="19"/>
      <c r="I9" s="19"/>
      <c r="J9" s="19"/>
      <c r="K9" s="19"/>
      <c r="L9" s="19"/>
      <c r="M9" s="19"/>
      <c r="N9" s="19"/>
      <c r="O9" s="19"/>
      <c r="P9" s="19"/>
    </row>
    <row r="10" spans="1:16">
      <c r="A10" s="24" t="s">
        <v>207</v>
      </c>
      <c r="B10" s="25">
        <f ca="1">'EF ele_warmte'!B12</f>
        <v>0.1193136958277853</v>
      </c>
      <c r="C10" s="25">
        <f ca="1">'EF ele_warmte'!B22</f>
        <v>0.23724329359011875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4642.6108507247936</v>
      </c>
      <c r="C12" s="23">
        <f ca="1">C10*C8</f>
        <v>0</v>
      </c>
      <c r="D12" s="23">
        <f>D8*D10</f>
        <v>16311.282550011088</v>
      </c>
      <c r="E12" s="23">
        <f>E10*E8</f>
        <v>449.1605472954397</v>
      </c>
      <c r="F12" s="23">
        <f>F10*F8</f>
        <v>9570.3666837180954</v>
      </c>
      <c r="G12" s="23"/>
      <c r="H12" s="23"/>
      <c r="I12" s="23"/>
      <c r="J12" s="23">
        <f>J10*J8</f>
        <v>80.262996187096704</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8430</v>
      </c>
      <c r="C26" s="36"/>
      <c r="D26" s="224"/>
    </row>
    <row r="27" spans="1:5" s="15" customFormat="1">
      <c r="A27" s="226" t="s">
        <v>826</v>
      </c>
      <c r="B27" s="37">
        <f>SUM(HH_hh_gas_aantal,HH_rest_gas_aantal)</f>
        <v>5649</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5366.55</v>
      </c>
      <c r="C31" s="34" t="s">
        <v>104</v>
      </c>
      <c r="D31" s="170"/>
    </row>
    <row r="32" spans="1:5">
      <c r="A32" s="167" t="s">
        <v>72</v>
      </c>
      <c r="B32" s="33">
        <f>IF((B21*($B$26-($B$27-0.05*$B$27)-$B$60))&lt;0,0,(B21*($B$26-($B$27-0.05*$B$27)-$B$60)))</f>
        <v>45.41848341552047</v>
      </c>
      <c r="C32" s="34" t="s">
        <v>104</v>
      </c>
      <c r="D32" s="170"/>
    </row>
    <row r="33" spans="1:6">
      <c r="A33" s="167" t="s">
        <v>73</v>
      </c>
      <c r="B33" s="33">
        <f>IF((B22*($B$26-($B$27-0.05*$B$27)-$B$60))&lt;0,0,B22*($B$26-($B$27-0.05*$B$27)-$B$60))</f>
        <v>737.50621837434176</v>
      </c>
      <c r="C33" s="34" t="s">
        <v>104</v>
      </c>
      <c r="D33" s="170"/>
    </row>
    <row r="34" spans="1:6">
      <c r="A34" s="167" t="s">
        <v>74</v>
      </c>
      <c r="B34" s="33">
        <f>IF((B24*($B$26-($B$27-0.05*$B$27)-$B$60))&lt;0,0,B24*($B$26-($B$27-0.05*$B$27)-$B$60))</f>
        <v>322.4786808250899</v>
      </c>
      <c r="C34" s="33">
        <f>B26*C24</f>
        <v>1416.2385284292236</v>
      </c>
      <c r="D34" s="229"/>
    </row>
    <row r="35" spans="1:6">
      <c r="A35" s="167" t="s">
        <v>76</v>
      </c>
      <c r="B35" s="33">
        <f>IF((B19*($B$26-($B$27-0.05*$B$27)-$B$60))&lt;0,0,B19*($B$26-($B$27-0.05*$B$27)-$B$60))</f>
        <v>19.743306460098495</v>
      </c>
      <c r="C35" s="33">
        <f>B35/2</f>
        <v>9.8716532300492474</v>
      </c>
      <c r="D35" s="229"/>
    </row>
    <row r="36" spans="1:6">
      <c r="A36" s="167" t="s">
        <v>77</v>
      </c>
      <c r="B36" s="33">
        <f>IF((B18*($B$26-($B$27-0.05*$B$27)-$B$60))&lt;0,0,B18*($B$26-($B$27-0.05*$B$27)-$B$60))</f>
        <v>1727.3033109249486</v>
      </c>
      <c r="C36" s="34" t="s">
        <v>104</v>
      </c>
      <c r="D36" s="170"/>
    </row>
    <row r="37" spans="1:6">
      <c r="A37" s="167" t="s">
        <v>78</v>
      </c>
      <c r="B37" s="33">
        <f>B60</f>
        <v>211</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226</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211</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14591.910684700586</v>
      </c>
      <c r="C5" s="17">
        <f>IF(ISERROR('Eigen informatie GS &amp; warmtenet'!B60),0,'Eigen informatie GS &amp; warmtenet'!B60)</f>
        <v>0</v>
      </c>
      <c r="D5" s="30">
        <f>SUM(D6:D12)</f>
        <v>14516.322256436626</v>
      </c>
      <c r="E5" s="17">
        <f>SUM(E6:E12)</f>
        <v>72.880902365383434</v>
      </c>
      <c r="F5" s="17">
        <f>SUM(F6:F12)</f>
        <v>2858.6513664962549</v>
      </c>
      <c r="G5" s="18"/>
      <c r="H5" s="17"/>
      <c r="I5" s="17"/>
      <c r="J5" s="17">
        <f>SUM(J6:J12)</f>
        <v>1.8350042282968264E-2</v>
      </c>
      <c r="K5" s="17"/>
      <c r="L5" s="17"/>
      <c r="M5" s="17"/>
      <c r="N5" s="17">
        <f>SUM(N6:N12)</f>
        <v>719.60348429720068</v>
      </c>
      <c r="O5" s="17">
        <f>B38*B39*B40</f>
        <v>19.589043063364617</v>
      </c>
      <c r="P5" s="17">
        <f>B46*B47*B48/1000-B46*B47*B48/1000/B49</f>
        <v>315.23482983897009</v>
      </c>
      <c r="R5" s="32"/>
    </row>
    <row r="6" spans="1:18">
      <c r="A6" s="32" t="s">
        <v>53</v>
      </c>
      <c r="B6" s="37">
        <f>B26</f>
        <v>3877.1566145100596</v>
      </c>
      <c r="C6" s="33"/>
      <c r="D6" s="37">
        <f>IF(ISERROR(TER_kantoor_gas_kWh/1000),0,TER_kantoor_gas_kWh/1000)*0.903</f>
        <v>5182.2000690671221</v>
      </c>
      <c r="E6" s="33">
        <f>$C$26*'E Balans VL '!I12/100/3.6*1000000</f>
        <v>0.92374991614212743</v>
      </c>
      <c r="F6" s="33">
        <f>$C$26*('E Balans VL '!L12+'E Balans VL '!N12)/100/3.6*1000000</f>
        <v>378.59340939428375</v>
      </c>
      <c r="G6" s="34"/>
      <c r="H6" s="33"/>
      <c r="I6" s="33"/>
      <c r="J6" s="33">
        <f>$C$26*('E Balans VL '!D12+'E Balans VL '!E12)/100/3.6*1000000</f>
        <v>0</v>
      </c>
      <c r="K6" s="33"/>
      <c r="L6" s="33"/>
      <c r="M6" s="33"/>
      <c r="N6" s="33">
        <f>$C$26*'E Balans VL '!Y12/100/3.6*1000000</f>
        <v>5.1841983058977927</v>
      </c>
      <c r="O6" s="33"/>
      <c r="P6" s="33"/>
      <c r="R6" s="32"/>
    </row>
    <row r="7" spans="1:18">
      <c r="A7" s="32" t="s">
        <v>52</v>
      </c>
      <c r="B7" s="37">
        <f t="shared" ref="B7:B12" si="0">B27</f>
        <v>1656.01816041137</v>
      </c>
      <c r="C7" s="33"/>
      <c r="D7" s="37">
        <f>IF(ISERROR(TER_horeca_gas_kWh/1000),0,TER_horeca_gas_kWh/1000)*0.903</f>
        <v>2274.7556360308195</v>
      </c>
      <c r="E7" s="33">
        <f>$C$27*'E Balans VL '!I9/100/3.6*1000000</f>
        <v>0</v>
      </c>
      <c r="F7" s="33">
        <f>$C$27*('E Balans VL '!L9+'E Balans VL '!N9)/100/3.6*1000000</f>
        <v>134.93551042589013</v>
      </c>
      <c r="G7" s="34"/>
      <c r="H7" s="33"/>
      <c r="I7" s="33"/>
      <c r="J7" s="33">
        <f>$C$27*('E Balans VL '!D9+'E Balans VL '!E9)/100/3.6*1000000</f>
        <v>0</v>
      </c>
      <c r="K7" s="33"/>
      <c r="L7" s="33"/>
      <c r="M7" s="33"/>
      <c r="N7" s="33">
        <f>$C$27*'E Balans VL '!Y9/100/3.6*1000000</f>
        <v>11.935630731384876</v>
      </c>
      <c r="O7" s="33"/>
      <c r="P7" s="33"/>
      <c r="R7" s="32"/>
    </row>
    <row r="8" spans="1:18">
      <c r="A8" s="6" t="s">
        <v>51</v>
      </c>
      <c r="B8" s="37">
        <f t="shared" si="0"/>
        <v>6059.30879665674</v>
      </c>
      <c r="C8" s="33"/>
      <c r="D8" s="37">
        <f>IF(ISERROR(TER_handel_gas_kWh/1000),0,TER_handel_gas_kWh/1000)*0.903</f>
        <v>3127.2953155226514</v>
      </c>
      <c r="E8" s="33">
        <f>$C$28*'E Balans VL '!I13/100/3.6*1000000</f>
        <v>48.435779254498968</v>
      </c>
      <c r="F8" s="33">
        <f>$C$28*('E Balans VL '!L13+'E Balans VL '!N13)/100/3.6*1000000</f>
        <v>601.95466208670098</v>
      </c>
      <c r="G8" s="34"/>
      <c r="H8" s="33"/>
      <c r="I8" s="33"/>
      <c r="J8" s="33">
        <f>$C$28*('E Balans VL '!D13+'E Balans VL '!E13)/100/3.6*1000000</f>
        <v>0</v>
      </c>
      <c r="K8" s="33"/>
      <c r="L8" s="33"/>
      <c r="M8" s="33"/>
      <c r="N8" s="33">
        <f>$C$28*'E Balans VL '!Y13/100/3.6*1000000</f>
        <v>2.2635125096185966</v>
      </c>
      <c r="O8" s="33"/>
      <c r="P8" s="33"/>
      <c r="R8" s="32"/>
    </row>
    <row r="9" spans="1:18">
      <c r="A9" s="32" t="s">
        <v>50</v>
      </c>
      <c r="B9" s="37">
        <f t="shared" si="0"/>
        <v>630.43323780446804</v>
      </c>
      <c r="C9" s="33"/>
      <c r="D9" s="37">
        <f>IF(ISERROR(TER_gezond_gas_kWh/1000),0,TER_gezond_gas_kWh/1000)*0.903</f>
        <v>1479.111212506418</v>
      </c>
      <c r="E9" s="33">
        <f>$C$29*'E Balans VL '!I10/100/3.6*1000000</f>
        <v>0</v>
      </c>
      <c r="F9" s="33">
        <f>$C$29*('E Balans VL '!L10+'E Balans VL '!N10)/100/3.6*1000000</f>
        <v>57.474262974680911</v>
      </c>
      <c r="G9" s="34"/>
      <c r="H9" s="33"/>
      <c r="I9" s="33"/>
      <c r="J9" s="33">
        <f>$C$29*('E Balans VL '!D10+'E Balans VL '!E10)/100/3.6*1000000</f>
        <v>0</v>
      </c>
      <c r="K9" s="33"/>
      <c r="L9" s="33"/>
      <c r="M9" s="33"/>
      <c r="N9" s="33">
        <f>$C$29*'E Balans VL '!Y10/100/3.6*1000000</f>
        <v>4.6079019992726948</v>
      </c>
      <c r="O9" s="33"/>
      <c r="P9" s="33"/>
      <c r="R9" s="32"/>
    </row>
    <row r="10" spans="1:18">
      <c r="A10" s="32" t="s">
        <v>49</v>
      </c>
      <c r="B10" s="37">
        <f t="shared" si="0"/>
        <v>1814.2900940918601</v>
      </c>
      <c r="C10" s="33"/>
      <c r="D10" s="37">
        <f>IF(ISERROR(TER_ander_gas_kWh/1000),0,TER_ander_gas_kWh/1000)*0.903</f>
        <v>1147.7067936795193</v>
      </c>
      <c r="E10" s="33">
        <f>$C$30*'E Balans VL '!I14/100/3.6*1000000</f>
        <v>23.521373194742335</v>
      </c>
      <c r="F10" s="33">
        <f>$C$30*('E Balans VL '!L14+'E Balans VL '!N14)/100/3.6*1000000</f>
        <v>1663.9587474480797</v>
      </c>
      <c r="G10" s="34"/>
      <c r="H10" s="33"/>
      <c r="I10" s="33"/>
      <c r="J10" s="33">
        <f>$C$30*('E Balans VL '!D14+'E Balans VL '!E14)/100/3.6*1000000</f>
        <v>1.8350042282968264E-2</v>
      </c>
      <c r="K10" s="33"/>
      <c r="L10" s="33"/>
      <c r="M10" s="33"/>
      <c r="N10" s="33">
        <f>$C$30*'E Balans VL '!Y14/100/3.6*1000000</f>
        <v>693.86534149171473</v>
      </c>
      <c r="O10" s="33"/>
      <c r="P10" s="33"/>
      <c r="R10" s="32"/>
    </row>
    <row r="11" spans="1:18">
      <c r="A11" s="32" t="s">
        <v>54</v>
      </c>
      <c r="B11" s="37">
        <f t="shared" si="0"/>
        <v>554.70378122608793</v>
      </c>
      <c r="C11" s="33"/>
      <c r="D11" s="37">
        <f>IF(ISERROR(TER_onderwijs_gas_kWh/1000),0,TER_onderwijs_gas_kWh/1000)*0.903</f>
        <v>1305.2532296300956</v>
      </c>
      <c r="E11" s="33">
        <f>$C$31*'E Balans VL '!I11/100/3.6*1000000</f>
        <v>0</v>
      </c>
      <c r="F11" s="33">
        <f>$C$31*('E Balans VL '!L11+'E Balans VL '!N11)/100/3.6*1000000</f>
        <v>21.734774166619342</v>
      </c>
      <c r="G11" s="34"/>
      <c r="H11" s="33"/>
      <c r="I11" s="33"/>
      <c r="J11" s="33">
        <f>$C$31*('E Balans VL '!D11+'E Balans VL '!E11)/100/3.6*1000000</f>
        <v>0</v>
      </c>
      <c r="K11" s="33"/>
      <c r="L11" s="33"/>
      <c r="M11" s="33"/>
      <c r="N11" s="33">
        <f>$C$31*'E Balans VL '!Y11/100/3.6*1000000</f>
        <v>1.746899259311991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energieproductie'!N46+'lokale energieproductie'!N39</f>
        <v>0</v>
      </c>
      <c r="C13" s="242">
        <f ca="1">'lokale energieproductie'!O46+'lokale energieproductie'!O39</f>
        <v>0</v>
      </c>
      <c r="D13" s="302">
        <f ca="1">('lokale energieproductie'!P39+'lokale energieproductie'!P46)*(-1)</f>
        <v>0</v>
      </c>
      <c r="E13" s="243"/>
      <c r="F13" s="302">
        <f ca="1">('lokale energieproductie'!S39+'lokale energieproductie'!S46)*(-1)</f>
        <v>0</v>
      </c>
      <c r="G13" s="244"/>
      <c r="H13" s="243"/>
      <c r="I13" s="243"/>
      <c r="J13" s="243"/>
      <c r="K13" s="243"/>
      <c r="L13" s="302">
        <f ca="1">('lokale energieproductie'!U39+'lokale energieproductie'!T39+'lokale energieproductie'!U46+'lokale energieproductie'!T46)*(-1)</f>
        <v>0</v>
      </c>
      <c r="M13" s="243"/>
      <c r="N13" s="302">
        <f ca="1">('lokale energieproductie'!Q39+'lokale energieproductie'!R39+'lokale energieproductie'!V39+'lokale energieproductie'!Q46+'lokale energieproductie'!R46+'lokale energieproductie'!V46)*(-1)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14591.910684700586</v>
      </c>
      <c r="C16" s="21">
        <f t="shared" ca="1" si="1"/>
        <v>0</v>
      </c>
      <c r="D16" s="21">
        <f t="shared" ca="1" si="1"/>
        <v>14516.322256436626</v>
      </c>
      <c r="E16" s="21">
        <f t="shared" si="1"/>
        <v>72.880902365383434</v>
      </c>
      <c r="F16" s="21">
        <f t="shared" ca="1" si="1"/>
        <v>2858.6513664962549</v>
      </c>
      <c r="G16" s="21">
        <f t="shared" si="1"/>
        <v>0</v>
      </c>
      <c r="H16" s="21">
        <f t="shared" si="1"/>
        <v>0</v>
      </c>
      <c r="I16" s="21">
        <f t="shared" si="1"/>
        <v>0</v>
      </c>
      <c r="J16" s="21">
        <f t="shared" si="1"/>
        <v>1.8350042282968264E-2</v>
      </c>
      <c r="K16" s="21">
        <f t="shared" si="1"/>
        <v>0</v>
      </c>
      <c r="L16" s="21">
        <f t="shared" ca="1" si="1"/>
        <v>0</v>
      </c>
      <c r="M16" s="21">
        <f t="shared" si="1"/>
        <v>0</v>
      </c>
      <c r="N16" s="21">
        <f t="shared" ca="1" si="1"/>
        <v>719.60348429720068</v>
      </c>
      <c r="O16" s="21">
        <f>O5</f>
        <v>19.589043063364617</v>
      </c>
      <c r="P16" s="21">
        <f>P5</f>
        <v>315.23482983897009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0.1193136958277853</v>
      </c>
      <c r="C18" s="25">
        <f ca="1">'EF ele_warmte'!B22</f>
        <v>0.23724329359011875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1741.014792980576</v>
      </c>
      <c r="C20" s="23">
        <f t="shared" ref="C20:P20" ca="1" si="2">C16*C18</f>
        <v>0</v>
      </c>
      <c r="D20" s="23">
        <f t="shared" ca="1" si="2"/>
        <v>2932.2970958001988</v>
      </c>
      <c r="E20" s="23">
        <f t="shared" si="2"/>
        <v>16.543964836942042</v>
      </c>
      <c r="F20" s="23">
        <f t="shared" ca="1" si="2"/>
        <v>763.25991485450015</v>
      </c>
      <c r="G20" s="23">
        <f t="shared" si="2"/>
        <v>0</v>
      </c>
      <c r="H20" s="23">
        <f t="shared" si="2"/>
        <v>0</v>
      </c>
      <c r="I20" s="23">
        <f t="shared" si="2"/>
        <v>0</v>
      </c>
      <c r="J20" s="23">
        <f t="shared" si="2"/>
        <v>6.4959149681707651E-3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3877.1566145100596</v>
      </c>
      <c r="C26" s="39">
        <f>IF(ISERROR(B26*3.6/1000000/'E Balans VL '!Z12*100),0,B26*3.6/1000000/'E Balans VL '!Z12*100)</f>
        <v>0.11127466830410003</v>
      </c>
      <c r="D26" s="232" t="s">
        <v>802</v>
      </c>
      <c r="F26" s="6"/>
    </row>
    <row r="27" spans="1:18" ht="30">
      <c r="A27" s="227" t="s">
        <v>52</v>
      </c>
      <c r="B27" s="33">
        <f>IF(ISERROR(TER_horeca_ele_kWh/1000),0,TER_horeca_ele_kWh/1000)</f>
        <v>1656.01816041137</v>
      </c>
      <c r="C27" s="39">
        <f>IF(ISERROR(B27*3.6/1000000/'E Balans VL '!Z9*100),0,B27*3.6/1000000/'E Balans VL '!Z9*100)</f>
        <v>0.1213204767210538</v>
      </c>
      <c r="D27" s="232" t="s">
        <v>802</v>
      </c>
      <c r="F27" s="6"/>
    </row>
    <row r="28" spans="1:18" ht="30">
      <c r="A28" s="167" t="s">
        <v>51</v>
      </c>
      <c r="B28" s="33">
        <f>IF(ISERROR(TER_handel_ele_kWh/1000),0,TER_handel_ele_kWh/1000)</f>
        <v>6059.30879665674</v>
      </c>
      <c r="C28" s="39">
        <f>IF(ISERROR(B28*3.6/1000000/'E Balans VL '!Z13*100),0,B28*3.6/1000000/'E Balans VL '!Z13*100)</f>
        <v>0.18723775254879726</v>
      </c>
      <c r="D28" s="232" t="s">
        <v>802</v>
      </c>
      <c r="F28" s="6"/>
    </row>
    <row r="29" spans="1:18" ht="30">
      <c r="A29" s="227" t="s">
        <v>50</v>
      </c>
      <c r="B29" s="33">
        <f>IF(ISERROR(TER_gezond_ele_kWh/1000),0,TER_gezond_ele_kWh/1000)</f>
        <v>630.43323780446804</v>
      </c>
      <c r="C29" s="39">
        <f>IF(ISERROR(B29*3.6/1000000/'E Balans VL '!Z10*100),0,B29*3.6/1000000/'E Balans VL '!Z10*100)</f>
        <v>6.178633381044684E-2</v>
      </c>
      <c r="D29" s="232" t="s">
        <v>802</v>
      </c>
      <c r="F29" s="6"/>
    </row>
    <row r="30" spans="1:18" ht="30">
      <c r="A30" s="227" t="s">
        <v>49</v>
      </c>
      <c r="B30" s="33">
        <f>IF(ISERROR(TER_ander_ele_kWh/1000),0,TER_ander_ele_kWh/1000)</f>
        <v>1814.2900940918601</v>
      </c>
      <c r="C30" s="39">
        <f>IF(ISERROR(B30*3.6/1000000/'E Balans VL '!Z14*100),0,B30*3.6/1000000/'E Balans VL '!Z14*100)</f>
        <v>7.5153756790313692E-2</v>
      </c>
      <c r="D30" s="232" t="s">
        <v>802</v>
      </c>
      <c r="F30" s="6"/>
    </row>
    <row r="31" spans="1:18" ht="30">
      <c r="A31" s="227" t="s">
        <v>54</v>
      </c>
      <c r="B31" s="33">
        <f>IF(ISERROR(TER_onderwijs_ele_kWh/1000),0,TER_onderwijs_ele_kWh/1000)</f>
        <v>554.70378122608793</v>
      </c>
      <c r="C31" s="39">
        <f>IF(ISERROR(B31*3.6/1000000/'E Balans VL '!Z11*100),0,B31*3.6/1000000/'E Balans VL '!Z11*100)</f>
        <v>0.1704436075224563</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4</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6</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5573.7472009125158</v>
      </c>
      <c r="C5" s="17">
        <f>IF(ISERROR('Eigen informatie GS &amp; warmtenet'!B61),0,'Eigen informatie GS &amp; warmtenet'!B61)</f>
        <v>0</v>
      </c>
      <c r="D5" s="30">
        <f>SUM(D6:D15)</f>
        <v>3226.3589783396005</v>
      </c>
      <c r="E5" s="17">
        <f>SUM(E6:E15)</f>
        <v>22.36575795712962</v>
      </c>
      <c r="F5" s="17">
        <f>SUM(F6:F15)</f>
        <v>2305.7968760200579</v>
      </c>
      <c r="G5" s="18"/>
      <c r="H5" s="17"/>
      <c r="I5" s="17"/>
      <c r="J5" s="17">
        <f>SUM(J6:J15)</f>
        <v>1.8073452042546476</v>
      </c>
      <c r="K5" s="17"/>
      <c r="L5" s="17"/>
      <c r="M5" s="17"/>
      <c r="N5" s="17">
        <f>SUM(N6:N15)</f>
        <v>190.23766883151896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1831.9575757939301</v>
      </c>
      <c r="C8" s="33"/>
      <c r="D8" s="37">
        <f>IF( ISERROR(IND_metaal_Gas_kWH/1000),0,IND_metaal_Gas_kWH/1000)*0.903</f>
        <v>765.39612234725485</v>
      </c>
      <c r="E8" s="33">
        <f>C30*'E Balans VL '!I18/100/3.6*1000000</f>
        <v>9.9862864531250857</v>
      </c>
      <c r="F8" s="33">
        <f>C30*'E Balans VL '!L18/100/3.6*1000000+C30*'E Balans VL '!N18/100/3.6*1000000</f>
        <v>117.97820781099783</v>
      </c>
      <c r="G8" s="34"/>
      <c r="H8" s="33"/>
      <c r="I8" s="33"/>
      <c r="J8" s="40">
        <f>C30*'E Balans VL '!D18/100/3.6*1000000+C30*'E Balans VL '!E18/100/3.6*1000000</f>
        <v>1.5005967138438701</v>
      </c>
      <c r="K8" s="33"/>
      <c r="L8" s="33"/>
      <c r="M8" s="33"/>
      <c r="N8" s="33">
        <f>C30*'E Balans VL '!Y18/100/3.6*1000000</f>
        <v>39.285284035400984</v>
      </c>
      <c r="O8" s="33"/>
      <c r="P8" s="33"/>
      <c r="R8" s="32"/>
    </row>
    <row r="9" spans="1:18">
      <c r="A9" s="6" t="s">
        <v>32</v>
      </c>
      <c r="B9" s="37">
        <f t="shared" si="0"/>
        <v>3368.5448080380602</v>
      </c>
      <c r="C9" s="33"/>
      <c r="D9" s="37">
        <f>IF( ISERROR(IND_andere_gas_kWh/1000),0,IND_andere_gas_kWh/1000)*0.903</f>
        <v>2062.3272062481606</v>
      </c>
      <c r="E9" s="33">
        <f>C31*'E Balans VL '!I19/100/3.6*1000000</f>
        <v>10.874236305399357</v>
      </c>
      <c r="F9" s="33">
        <f>C31*'E Balans VL '!L19/100/3.6*1000000+C31*'E Balans VL '!N19/100/3.6*1000000</f>
        <v>2178.1275161610442</v>
      </c>
      <c r="G9" s="34"/>
      <c r="H9" s="33"/>
      <c r="I9" s="33"/>
      <c r="J9" s="40">
        <f>C31*'E Balans VL '!D19/100/3.6*1000000+C31*'E Balans VL '!E19/100/3.6*1000000</f>
        <v>0</v>
      </c>
      <c r="K9" s="33"/>
      <c r="L9" s="33"/>
      <c r="M9" s="33"/>
      <c r="N9" s="33">
        <f>C31*'E Balans VL '!Y19/100/3.6*1000000</f>
        <v>136.7771790291041</v>
      </c>
      <c r="O9" s="33"/>
      <c r="P9" s="33"/>
      <c r="R9" s="32"/>
    </row>
    <row r="10" spans="1:18">
      <c r="A10" s="6" t="s">
        <v>40</v>
      </c>
      <c r="B10" s="37">
        <f t="shared" si="0"/>
        <v>320.31233347062903</v>
      </c>
      <c r="C10" s="33"/>
      <c r="D10" s="37">
        <f>IF( ISERROR(IND_voed_gas_kWh/1000),0,IND_voed_gas_kWh/1000)*0.903</f>
        <v>338.78701009507182</v>
      </c>
      <c r="E10" s="33">
        <f>C32*'E Balans VL '!I20/100/3.6*1000000</f>
        <v>0.67535407844253237</v>
      </c>
      <c r="F10" s="33">
        <f>C32*'E Balans VL '!L20/100/3.6*1000000+C32*'E Balans VL '!N20/100/3.6*1000000</f>
        <v>6.8114277671286789</v>
      </c>
      <c r="G10" s="34"/>
      <c r="H10" s="33"/>
      <c r="I10" s="33"/>
      <c r="J10" s="40">
        <f>C32*'E Balans VL '!D20/100/3.6*1000000+C32*'E Balans VL '!E20/100/3.6*1000000</f>
        <v>0</v>
      </c>
      <c r="K10" s="33"/>
      <c r="L10" s="33"/>
      <c r="M10" s="33"/>
      <c r="N10" s="33">
        <f>C32*'E Balans VL '!Y20/100/3.6*1000000</f>
        <v>12.741136589524521</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6.5193439525047996</v>
      </c>
      <c r="C12" s="33"/>
      <c r="D12" s="37">
        <f>IF( ISERROR(IND_min_gas_kWh/1000),0,IND_min_gas_kWh/1000)*0.903</f>
        <v>0</v>
      </c>
      <c r="E12" s="33">
        <f>C34*'E Balans VL '!I22/100/3.6*1000000</f>
        <v>0.10668944768212221</v>
      </c>
      <c r="F12" s="33">
        <f>C34*'E Balans VL '!L22/100/3.6*1000000+C34*'E Balans VL '!N22/100/3.6*1000000</f>
        <v>0.9950756847115082</v>
      </c>
      <c r="G12" s="34"/>
      <c r="H12" s="33"/>
      <c r="I12" s="33"/>
      <c r="J12" s="40">
        <f>C34*'E Balans VL '!D22/100/3.6*1000000+C34*'E Balans VL '!E22/100/3.6*1000000</f>
        <v>0.23330493035620614</v>
      </c>
      <c r="K12" s="33"/>
      <c r="L12" s="33"/>
      <c r="M12" s="33"/>
      <c r="N12" s="33">
        <f>C34*'E Balans VL '!Y22/100/3.6*1000000</f>
        <v>3.572738851638674</v>
      </c>
      <c r="O12" s="33"/>
      <c r="P12" s="33"/>
      <c r="R12" s="32"/>
    </row>
    <row r="13" spans="1:18">
      <c r="A13" s="6" t="s">
        <v>38</v>
      </c>
      <c r="B13" s="37">
        <f t="shared" si="0"/>
        <v>34.129826862304398</v>
      </c>
      <c r="C13" s="33"/>
      <c r="D13" s="37">
        <f>IF( ISERROR(IND_papier_gas_kWh/1000),0,IND_papier_gas_kWh/1000)*0.903</f>
        <v>0</v>
      </c>
      <c r="E13" s="33">
        <f>C35*'E Balans VL '!I23/100/3.6*1000000</f>
        <v>0</v>
      </c>
      <c r="F13" s="33">
        <f>C35*'E Balans VL '!L23/100/3.6*1000000+C35*'E Balans VL '!N23/100/3.6*1000000</f>
        <v>4.5717979081217252E-3</v>
      </c>
      <c r="G13" s="34"/>
      <c r="H13" s="33"/>
      <c r="I13" s="33"/>
      <c r="J13" s="40">
        <f>C35*'E Balans VL '!D23/100/3.6*1000000+C35*'E Balans VL '!E23/100/3.6*1000000</f>
        <v>6.751094497231663E-3</v>
      </c>
      <c r="K13" s="33"/>
      <c r="L13" s="33"/>
      <c r="M13" s="33"/>
      <c r="N13" s="33">
        <f>C35*'E Balans VL '!Y23/100/3.6*1000000</f>
        <v>-2.5269618524180522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12.283312795088001</v>
      </c>
      <c r="C15" s="33"/>
      <c r="D15" s="37">
        <f>IF( ISERROR(IND_rest_gas_kWh/1000),0,IND_rest_gas_kWh/1000)*0.903</f>
        <v>59.848639649113316</v>
      </c>
      <c r="E15" s="33">
        <f>C37*'E Balans VL '!I15/100/3.6*1000000</f>
        <v>0.72319167248052318</v>
      </c>
      <c r="F15" s="33">
        <f>C37*'E Balans VL '!L15/100/3.6*1000000+C37*'E Balans VL '!N15/100/3.6*1000000</f>
        <v>1.8800767982669082</v>
      </c>
      <c r="G15" s="34"/>
      <c r="H15" s="33"/>
      <c r="I15" s="33"/>
      <c r="J15" s="40">
        <f>C37*'E Balans VL '!D15/100/3.6*1000000+C37*'E Balans VL '!E15/100/3.6*1000000</f>
        <v>6.6692465557339639E-2</v>
      </c>
      <c r="K15" s="33"/>
      <c r="L15" s="33"/>
      <c r="M15" s="33"/>
      <c r="N15" s="33">
        <f>C37*'E Balans VL '!Y15/100/3.6*1000000</f>
        <v>0.38829217826871354</v>
      </c>
      <c r="O15" s="33"/>
      <c r="P15" s="33"/>
      <c r="R15" s="32"/>
    </row>
    <row r="16" spans="1:18">
      <c r="A16" s="16" t="s">
        <v>466</v>
      </c>
      <c r="B16" s="242">
        <f>'lokale energieproductie'!N45+'lokale energieproductie'!N38</f>
        <v>0</v>
      </c>
      <c r="C16" s="242">
        <f>'lokale energieproductie'!O45+'lokale energieproductie'!O38</f>
        <v>0</v>
      </c>
      <c r="D16" s="302">
        <f>('lokale energieproductie'!P38+'lokale energieproductie'!P45)*(-1)</f>
        <v>0</v>
      </c>
      <c r="E16" s="243"/>
      <c r="F16" s="302">
        <f>('lokale energieproductie'!S38+'lokale energieproductie'!S45)*(-1)</f>
        <v>0</v>
      </c>
      <c r="G16" s="244"/>
      <c r="H16" s="243"/>
      <c r="I16" s="243"/>
      <c r="J16" s="243"/>
      <c r="K16" s="243"/>
      <c r="L16" s="302">
        <f>('lokale energieproductie'!T38+'lokale energieproductie'!U38+'lokale energieproductie'!T45+'lokale energieproductie'!U45)*(-1)</f>
        <v>0</v>
      </c>
      <c r="M16" s="243"/>
      <c r="N16" s="302">
        <f>('lokale energieproductie'!Q38+'lokale energieproductie'!R38+'lokale energieproductie'!V38+'lokale energieproductie'!Q45+'lokale energieproductie'!R45+'lokale energieproductie'!V45)*(-1)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5573.7472009125158</v>
      </c>
      <c r="C18" s="21">
        <f>C5+C16</f>
        <v>0</v>
      </c>
      <c r="D18" s="21">
        <f>MAX((D5+D16),0)</f>
        <v>3226.3589783396005</v>
      </c>
      <c r="E18" s="21">
        <f>MAX((E5+E16),0)</f>
        <v>22.36575795712962</v>
      </c>
      <c r="F18" s="21">
        <f>MAX((F5+F16),0)</f>
        <v>2305.7968760200579</v>
      </c>
      <c r="G18" s="21"/>
      <c r="H18" s="21"/>
      <c r="I18" s="21"/>
      <c r="J18" s="21">
        <f>MAX((J5+J16),0)</f>
        <v>1.8073452042546476</v>
      </c>
      <c r="K18" s="21"/>
      <c r="L18" s="21">
        <f>MAX((L5+L16),0)</f>
        <v>0</v>
      </c>
      <c r="M18" s="21"/>
      <c r="N18" s="21">
        <f>MAX((N5+N16),0)</f>
        <v>190.23766883151896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0.1193136958277853</v>
      </c>
      <c r="C20" s="25">
        <f ca="1">'EF ele_warmte'!B22</f>
        <v>0.23724329359011875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665.02437815064559</v>
      </c>
      <c r="C22" s="23">
        <f ca="1">C18*C20</f>
        <v>0</v>
      </c>
      <c r="D22" s="23">
        <f>D18*D20</f>
        <v>651.72451362459935</v>
      </c>
      <c r="E22" s="23">
        <f>E18*E20</f>
        <v>5.0770270562684239</v>
      </c>
      <c r="F22" s="23">
        <f>F18*F20</f>
        <v>615.6477658973555</v>
      </c>
      <c r="G22" s="23"/>
      <c r="H22" s="23"/>
      <c r="I22" s="23"/>
      <c r="J22" s="23">
        <f>J18*J20</f>
        <v>0.6398002023061452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1831.9575757939301</v>
      </c>
      <c r="C30" s="39">
        <f>IF(ISERROR(B30*3.6/1000000/'E Balans VL '!Z18*100),0,B30*3.6/1000000/'E Balans VL '!Z18*100)</f>
        <v>0.11031546191214926</v>
      </c>
      <c r="D30" s="232" t="s">
        <v>802</v>
      </c>
    </row>
    <row r="31" spans="1:18" ht="30">
      <c r="A31" s="6" t="s">
        <v>32</v>
      </c>
      <c r="B31" s="37">
        <f>IF( ISERROR(IND_ander_ele_kWh/1000),0,IND_ander_ele_kWh/1000)</f>
        <v>3368.5448080380602</v>
      </c>
      <c r="C31" s="39">
        <f>IF(ISERROR(B31*3.6/1000000/'E Balans VL '!Z19*100),0,B31*3.6/1000000/'E Balans VL '!Z19*100)</f>
        <v>0.13724148916976439</v>
      </c>
      <c r="D31" s="232" t="s">
        <v>802</v>
      </c>
    </row>
    <row r="32" spans="1:18" ht="30">
      <c r="A32" s="167" t="s">
        <v>40</v>
      </c>
      <c r="B32" s="37">
        <f>IF( ISERROR(IND_voed_ele_kWh/1000),0,IND_voed_ele_kWh/1000)</f>
        <v>320.31233347062903</v>
      </c>
      <c r="C32" s="39">
        <f>IF(ISERROR(B32*3.6/1000000/'E Balans VL '!Z20*100),0,B32*3.6/1000000/'E Balans VL '!Z20*100)</f>
        <v>9.261518593785904E-3</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6.5193439525047996</v>
      </c>
      <c r="C34" s="39">
        <f>IF(ISERROR(B34*3.6/1000000/'E Balans VL '!Z22*100),0,B34*3.6/1000000/'E Balans VL '!Z22*100)</f>
        <v>2.7836992883545713E-3</v>
      </c>
      <c r="D34" s="232" t="s">
        <v>802</v>
      </c>
    </row>
    <row r="35" spans="1:5" ht="30">
      <c r="A35" s="167" t="s">
        <v>38</v>
      </c>
      <c r="B35" s="37">
        <f>IF( ISERROR(IND_papier_ele_kWh/1000),0,IND_papier_ele_kWh/1000)</f>
        <v>34.129826862304398</v>
      </c>
      <c r="C35" s="39">
        <f>IF(ISERROR(B35*3.6/1000000/'E Balans VL '!Z22*100),0,B35*3.6/1000000/'E Balans VL '!Z22*100)</f>
        <v>1.4573118927366723E-2</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12.283312795088001</v>
      </c>
      <c r="C37" s="39">
        <f>IF(ISERROR(B37*3.6/1000000/'E Balans VL '!Z15*100),0,B37*3.6/1000000/'E Balans VL '!Z15*100)</f>
        <v>1.008553016937495E-4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12847.511246601</v>
      </c>
      <c r="C5" s="17">
        <f>'Eigen informatie GS &amp; warmtenet'!B62</f>
        <v>0</v>
      </c>
      <c r="D5" s="30">
        <f>IF(ISERROR(SUM(LB_lb_gas_kWh,LB_rest_gas_kWh)/1000),0,SUM(LB_lb_gas_kWh,LB_rest_gas_kWh)/1000)*0.903</f>
        <v>145775.99451274367</v>
      </c>
      <c r="E5" s="17">
        <f>B17*'E Balans VL '!I25/3.6*1000000/100</f>
        <v>457.73105721345638</v>
      </c>
      <c r="F5" s="17">
        <f>B17*('E Balans VL '!L25/3.6*1000000+'E Balans VL '!N25/3.6*1000000)/100</f>
        <v>43781.899339042371</v>
      </c>
      <c r="G5" s="18"/>
      <c r="H5" s="17"/>
      <c r="I5" s="17"/>
      <c r="J5" s="17">
        <f>('E Balans VL '!D25+'E Balans VL '!E25)/3.6*1000000*landbouw!B17/100</f>
        <v>3266.7186674262844</v>
      </c>
      <c r="K5" s="17"/>
      <c r="L5" s="17">
        <f>L6*(-1)</f>
        <v>0</v>
      </c>
      <c r="M5" s="17"/>
      <c r="N5" s="17">
        <f>N6*(-1)</f>
        <v>374.14285714285711</v>
      </c>
      <c r="O5" s="17"/>
      <c r="P5" s="17"/>
      <c r="R5" s="32"/>
    </row>
    <row r="6" spans="1:18">
      <c r="A6" s="16" t="s">
        <v>466</v>
      </c>
      <c r="B6" s="17" t="s">
        <v>204</v>
      </c>
      <c r="C6" s="17">
        <f>'lokale energieproductie'!O47+'lokale energieproductie'!O40</f>
        <v>110106</v>
      </c>
      <c r="D6" s="302">
        <f>('lokale energieproductie'!P40+'lokale energieproductie'!P47)*(-1)</f>
        <v>-219837.85714285716</v>
      </c>
      <c r="E6" s="243"/>
      <c r="F6" s="302">
        <f>('lokale energieproductie'!S40+'lokale energieproductie'!S47)*(-1)</f>
        <v>0</v>
      </c>
      <c r="G6" s="244"/>
      <c r="H6" s="243"/>
      <c r="I6" s="243"/>
      <c r="J6" s="243"/>
      <c r="K6" s="243"/>
      <c r="L6" s="302">
        <f>('lokale energieproductie'!T40+'lokale energieproductie'!U40+'lokale energieproductie'!T47+'lokale energieproductie'!U47)*(-1)</f>
        <v>0</v>
      </c>
      <c r="M6" s="243"/>
      <c r="N6" s="302">
        <f>('lokale energieproductie'!V40+'lokale energieproductie'!R40+'lokale energieproductie'!Q40+'lokale energieproductie'!Q47+'lokale energieproductie'!R47+'lokale energieproductie'!V47)*(-1)</f>
        <v>-374.14285714285711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12847.511246601</v>
      </c>
      <c r="C8" s="21">
        <f>C5+C6</f>
        <v>110106</v>
      </c>
      <c r="D8" s="21">
        <f>MAX((D5+D6),0)</f>
        <v>0</v>
      </c>
      <c r="E8" s="21">
        <f>MAX((E5+E6),0)</f>
        <v>457.73105721345638</v>
      </c>
      <c r="F8" s="21">
        <f>MAX((F5+F6),0)</f>
        <v>43781.899339042371</v>
      </c>
      <c r="G8" s="21"/>
      <c r="H8" s="21"/>
      <c r="I8" s="21"/>
      <c r="J8" s="21">
        <f>MAX((J5+J6),0)</f>
        <v>3266.7186674262844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0.1193136958277853</v>
      </c>
      <c r="C10" s="31">
        <f ca="1">'EF ele_warmte'!B22</f>
        <v>0.23724329359011875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1532.8840490210023</v>
      </c>
      <c r="C12" s="23">
        <f ca="1">C8*C10</f>
        <v>26121.910084033614</v>
      </c>
      <c r="D12" s="23">
        <f>D8*D10</f>
        <v>0</v>
      </c>
      <c r="E12" s="23">
        <f>E8*E10</f>
        <v>103.9049499874546</v>
      </c>
      <c r="F12" s="23">
        <f>F8*F10</f>
        <v>11689.767123524314</v>
      </c>
      <c r="G12" s="23"/>
      <c r="H12" s="23"/>
      <c r="I12" s="23"/>
      <c r="J12" s="23">
        <f>J8*J10</f>
        <v>1156.4184082689046</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1.7790888554410016</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1815.4022356172654</v>
      </c>
      <c r="C26" s="242">
        <f>B26*'GWP N2O_CH4'!B5</f>
        <v>38123.446947962577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1056.3192100504923</v>
      </c>
      <c r="C27" s="242">
        <f>B27*'GWP N2O_CH4'!B5</f>
        <v>22182.703411060338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28.428563180928094</v>
      </c>
      <c r="C28" s="242">
        <f>B28*'GWP N2O_CH4'!B4</f>
        <v>8812.8545860877093</v>
      </c>
      <c r="D28" s="50"/>
    </row>
    <row r="29" spans="1:4">
      <c r="A29" s="41" t="s">
        <v>266</v>
      </c>
      <c r="B29" s="242">
        <f>B34*'ha_N2O bodem landbouw'!B4</f>
        <v>38.166307194685515</v>
      </c>
      <c r="C29" s="242">
        <f>B29*'GWP N2O_CH4'!B4</f>
        <v>11831.555230352509</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8.6707019216342007E-3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1.6921475732719511E-3</v>
      </c>
      <c r="C5" s="430" t="s">
        <v>204</v>
      </c>
      <c r="D5" s="415">
        <f>SUM(D6:D11)</f>
        <v>2.2470748226663144E-3</v>
      </c>
      <c r="E5" s="415">
        <f>SUM(E6:E11)</f>
        <v>9.8078950859278803E-4</v>
      </c>
      <c r="F5" s="428" t="s">
        <v>204</v>
      </c>
      <c r="G5" s="415">
        <f>SUM(G6:G11)</f>
        <v>0.58588195394012998</v>
      </c>
      <c r="H5" s="415">
        <f>SUM(H6:H11)</f>
        <v>0.1226898857833152</v>
      </c>
      <c r="I5" s="430" t="s">
        <v>204</v>
      </c>
      <c r="J5" s="430" t="s">
        <v>204</v>
      </c>
      <c r="K5" s="430" t="s">
        <v>204</v>
      </c>
      <c r="L5" s="430" t="s">
        <v>204</v>
      </c>
      <c r="M5" s="415">
        <f>SUM(M6:M11)</f>
        <v>4.2337913908826311E-2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5.6894511561432558E-4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8.2603331103439745E-4</v>
      </c>
      <c r="E6" s="845">
        <f>vkm_GW_PW*SUMIFS(TableVerdeelsleutelVkm[LPG],TableVerdeelsleutelVkm[Voertuigtype],"Lichte voertuigen")*SUMIFS(TableECFTransport[EnergieConsumptieFactor (PJ per km)],TableECFTransport[Index],CONCATENATE($A6,"_LPG_LPG"))</f>
        <v>3.2378042846728706E-4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9.9589952216404251E-2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4.3966149820914541E-2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8.8351322900603046E-3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1.2621108015926701E-6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5.0265901827066937E-2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4.241373408835285E-7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2.8861868509209225E-3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1.4440375578186852E-4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2.7280026131539648E-4</v>
      </c>
      <c r="E8" s="418">
        <f>vkm_NGW_PW*SUMIFS(TableVerdeelsleutelVkm[LPG],TableVerdeelsleutelVkm[Voertuigtype],"Lichte voertuigen")*SUMIFS(TableECFTransport[EnergieConsumptieFactor (PJ per km)],TableECFTransport[Index],CONCATENATE($A8,"_LPG_LPG"))</f>
        <v>1.0211727726558458E-4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2.888542368704106E-2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1.4335069684845875E-2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2.6747949541886477E-3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8.8559403332657273E-8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4.5420162603968727E-3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3.5921970652748093E-8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2.6079506321116034E-4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9.7078793169148012E-4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1.1482412503165203E-3</v>
      </c>
      <c r="E10" s="418">
        <f>vkm_SW_PW*SUMIFS(TableVerdeelsleutelVkm[LPG],TableVerdeelsleutelVkm[Voertuigtype],"Lichte voertuigen")*SUMIFS(TableECFTransport[EnergieConsumptieFactor (PJ per km)],TableECFTransport[Index],CONCATENATE($A10,"_LPG_LPG"))</f>
        <v>5.5489180285991642E-4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0.15297925942760135</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6.4385902548524027E-2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1.3348248173623817E-2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6.6600999793518346E-6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0.24961940052161954</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2.3036697192225897E-6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1.4332756576821464E-2</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470.04099257554202</v>
      </c>
      <c r="C14" s="21"/>
      <c r="D14" s="21">
        <f t="shared" ref="D14:M14" si="0">((D5)*10^9/3600)+D12</f>
        <v>624.18745074064293</v>
      </c>
      <c r="E14" s="21">
        <f t="shared" si="0"/>
        <v>272.44153016466333</v>
      </c>
      <c r="F14" s="21"/>
      <c r="G14" s="21">
        <f t="shared" si="0"/>
        <v>162744.98720559166</v>
      </c>
      <c r="H14" s="21">
        <f t="shared" si="0"/>
        <v>34080.523828698664</v>
      </c>
      <c r="I14" s="21"/>
      <c r="J14" s="21"/>
      <c r="K14" s="21"/>
      <c r="L14" s="21"/>
      <c r="M14" s="21">
        <f t="shared" si="0"/>
        <v>11760.531641340644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0.1193136958277853</v>
      </c>
      <c r="C16" s="56">
        <f ca="1">'EF ele_warmte'!B22</f>
        <v>0.23724329359011875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56.082328014748505</v>
      </c>
      <c r="C18" s="23"/>
      <c r="D18" s="23">
        <f t="shared" ref="D18:M18" si="1">D14*D16</f>
        <v>126.08586504960988</v>
      </c>
      <c r="E18" s="23">
        <f t="shared" si="1"/>
        <v>61.844227347378578</v>
      </c>
      <c r="F18" s="23"/>
      <c r="G18" s="23">
        <f t="shared" si="1"/>
        <v>43452.911583892979</v>
      </c>
      <c r="H18" s="23">
        <f t="shared" si="1"/>
        <v>8486.0504333459667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9.8359903266731632E-5</v>
      </c>
      <c r="C50" s="313">
        <f t="shared" ref="C50:P50" si="2">SUM(C51:C52)</f>
        <v>0</v>
      </c>
      <c r="D50" s="313">
        <f t="shared" si="2"/>
        <v>0</v>
      </c>
      <c r="E50" s="313">
        <f t="shared" si="2"/>
        <v>0</v>
      </c>
      <c r="F50" s="313">
        <f t="shared" si="2"/>
        <v>0</v>
      </c>
      <c r="G50" s="313">
        <f t="shared" si="2"/>
        <v>6.157627403999561E-3</v>
      </c>
      <c r="H50" s="313">
        <f t="shared" si="2"/>
        <v>0</v>
      </c>
      <c r="I50" s="313">
        <f t="shared" si="2"/>
        <v>0</v>
      </c>
      <c r="J50" s="313">
        <f t="shared" si="2"/>
        <v>0</v>
      </c>
      <c r="K50" s="313">
        <f t="shared" si="2"/>
        <v>0</v>
      </c>
      <c r="L50" s="313">
        <f t="shared" si="2"/>
        <v>0</v>
      </c>
      <c r="M50" s="313">
        <f t="shared" si="2"/>
        <v>3.5355733111681946E-4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9.8359903266731632E-5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6.157627403999561E-3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3.5355733111681946E-4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27.322195351869897</v>
      </c>
      <c r="C54" s="21">
        <f t="shared" ref="C54:P54" si="3">(C50)*10^9/3600</f>
        <v>0</v>
      </c>
      <c r="D54" s="21">
        <f t="shared" si="3"/>
        <v>0</v>
      </c>
      <c r="E54" s="21">
        <f t="shared" si="3"/>
        <v>0</v>
      </c>
      <c r="F54" s="21">
        <f t="shared" si="3"/>
        <v>0</v>
      </c>
      <c r="G54" s="21">
        <f t="shared" si="3"/>
        <v>1710.4520566665446</v>
      </c>
      <c r="H54" s="21">
        <f t="shared" si="3"/>
        <v>0</v>
      </c>
      <c r="I54" s="21">
        <f t="shared" si="3"/>
        <v>0</v>
      </c>
      <c r="J54" s="21">
        <f t="shared" si="3"/>
        <v>0</v>
      </c>
      <c r="K54" s="21">
        <f t="shared" si="3"/>
        <v>0</v>
      </c>
      <c r="L54" s="21">
        <f t="shared" si="3"/>
        <v>0</v>
      </c>
      <c r="M54" s="21">
        <f t="shared" si="3"/>
        <v>98.210369754672072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0.1193136958277853</v>
      </c>
      <c r="C56" s="56">
        <f ca="1">'EF ele_warmte'!B22</f>
        <v>0.23724329359011875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3.2599121055603342</v>
      </c>
      <c r="C58" s="23">
        <f t="shared" ref="C58:P58" ca="1" si="4">C54*C56</f>
        <v>0</v>
      </c>
      <c r="D58" s="23">
        <f t="shared" si="4"/>
        <v>0</v>
      </c>
      <c r="E58" s="23">
        <f t="shared" si="4"/>
        <v>0</v>
      </c>
      <c r="F58" s="23">
        <f t="shared" si="4"/>
        <v>0</v>
      </c>
      <c r="G58" s="23">
        <f t="shared" si="4"/>
        <v>456.69069912996747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7"/>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64244.236649950166</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11935.8643920373</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N37</f>
        <v>77074.200000000012</v>
      </c>
      <c r="C8" s="541">
        <f>B56</f>
        <v>90521.470588235316</v>
      </c>
      <c r="D8" s="542"/>
      <c r="E8" s="542">
        <f>E56</f>
        <v>0</v>
      </c>
      <c r="F8" s="543"/>
      <c r="G8" s="544"/>
      <c r="H8" s="542">
        <f>I56</f>
        <v>0</v>
      </c>
      <c r="I8" s="542">
        <f>G56+F56</f>
        <v>0</v>
      </c>
      <c r="J8" s="542">
        <f>H56+D56+C56</f>
        <v>154.05882352941177</v>
      </c>
      <c r="K8" s="542"/>
      <c r="L8" s="542"/>
      <c r="M8" s="542"/>
      <c r="N8" s="545"/>
      <c r="O8" s="546">
        <f>C8*$C$12+D8*$D$12+E8*$E$12+F8*$F$12+G8*$G$12+H8*$H$12+I8*$I$12+J8*$J$12</f>
        <v>18285.337058823534</v>
      </c>
      <c r="P8" s="1211"/>
      <c r="Q8" s="1212"/>
      <c r="S8" s="536"/>
      <c r="T8" s="1199"/>
      <c r="U8" s="1199"/>
    </row>
    <row r="9" spans="1:21" s="527" customFormat="1" ht="17.45" customHeight="1" thickBot="1">
      <c r="A9" s="547" t="s">
        <v>237</v>
      </c>
      <c r="B9" s="548">
        <f>N44+'Eigen informatie GS &amp; warmtenet'!B12</f>
        <v>0</v>
      </c>
      <c r="C9" s="549">
        <f>P44+IF(ISERROR(('Eigen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S44+IF(ISERROR('Eigen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W44+IF(ISERROR('Eigen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(T44+U44)+IF(ISERROR('Eigen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V44+Q44+R44+IF(ISERROR('Eigen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153254.30104198749</v>
      </c>
      <c r="C10" s="556">
        <f t="shared" ref="C10:L10" si="0">SUM(C8:C9)</f>
        <v>90521.470588235316</v>
      </c>
      <c r="D10" s="556">
        <f t="shared" si="0"/>
        <v>0</v>
      </c>
      <c r="E10" s="556">
        <f t="shared" si="0"/>
        <v>0</v>
      </c>
      <c r="F10" s="556">
        <f t="shared" si="0"/>
        <v>0</v>
      </c>
      <c r="G10" s="556">
        <f t="shared" si="0"/>
        <v>0</v>
      </c>
      <c r="H10" s="556">
        <f t="shared" si="0"/>
        <v>0</v>
      </c>
      <c r="I10" s="556">
        <f t="shared" si="0"/>
        <v>0</v>
      </c>
      <c r="J10" s="556">
        <f t="shared" si="0"/>
        <v>154.05882352941177</v>
      </c>
      <c r="K10" s="556">
        <f t="shared" si="0"/>
        <v>0</v>
      </c>
      <c r="L10" s="556">
        <f t="shared" si="0"/>
        <v>0</v>
      </c>
      <c r="M10" s="917"/>
      <c r="N10" s="917"/>
      <c r="O10" s="557">
        <f>SUM(O4:O9)</f>
        <v>18285.337058823534</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O37</f>
        <v>110106</v>
      </c>
      <c r="C17" s="572">
        <f>B57</f>
        <v>129316.38655462184</v>
      </c>
      <c r="D17" s="573"/>
      <c r="E17" s="573">
        <f>E57</f>
        <v>0</v>
      </c>
      <c r="F17" s="574"/>
      <c r="G17" s="575"/>
      <c r="H17" s="572">
        <f>I57</f>
        <v>0</v>
      </c>
      <c r="I17" s="573">
        <f>G57+F57</f>
        <v>0</v>
      </c>
      <c r="J17" s="573">
        <f>H57+D57+C57</f>
        <v>220.08403361344531</v>
      </c>
      <c r="K17" s="573"/>
      <c r="L17" s="573"/>
      <c r="M17" s="573"/>
      <c r="N17" s="918"/>
      <c r="O17" s="576">
        <f>C17*$C$22+E17*$E$22+H17*$H$22+I17*$I$22+J17*$J$22+D17*$D$22+F17*$F$22+G17*$G$22+K17*$K$22+L17*$L$22</f>
        <v>26121.910084033614</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110106</v>
      </c>
      <c r="C20" s="555">
        <f>SUM(C17:C19)</f>
        <v>129316.38655462184</v>
      </c>
      <c r="D20" s="555">
        <f t="shared" ref="D20:L20" si="1">SUM(D17:D19)</f>
        <v>0</v>
      </c>
      <c r="E20" s="555">
        <f t="shared" si="1"/>
        <v>0</v>
      </c>
      <c r="F20" s="555">
        <f t="shared" si="1"/>
        <v>0</v>
      </c>
      <c r="G20" s="555">
        <f t="shared" si="1"/>
        <v>0</v>
      </c>
      <c r="H20" s="555">
        <f t="shared" si="1"/>
        <v>0</v>
      </c>
      <c r="I20" s="555">
        <f t="shared" si="1"/>
        <v>0</v>
      </c>
      <c r="J20" s="555">
        <f t="shared" si="1"/>
        <v>220.08403361344531</v>
      </c>
      <c r="K20" s="555">
        <f t="shared" si="1"/>
        <v>0</v>
      </c>
      <c r="L20" s="555">
        <f t="shared" si="1"/>
        <v>0</v>
      </c>
      <c r="M20" s="555"/>
      <c r="N20" s="555"/>
      <c r="O20" s="581">
        <f>SUM(O17:O19)</f>
        <v>26121.910084033614</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11053</v>
      </c>
      <c r="C28" s="747">
        <v>2990</v>
      </c>
      <c r="D28" s="633"/>
      <c r="E28" s="632"/>
      <c r="F28" s="632"/>
      <c r="G28" s="632" t="s">
        <v>856</v>
      </c>
      <c r="H28" s="632" t="s">
        <v>857</v>
      </c>
      <c r="I28" s="632"/>
      <c r="J28" s="746"/>
      <c r="K28" s="746"/>
      <c r="L28" s="632" t="s">
        <v>858</v>
      </c>
      <c r="M28" s="632">
        <v>3435</v>
      </c>
      <c r="N28" s="632">
        <v>15457.5</v>
      </c>
      <c r="O28" s="632">
        <v>22082.142857142859</v>
      </c>
      <c r="P28" s="632">
        <v>44164.285714285717</v>
      </c>
      <c r="Q28" s="632">
        <v>0</v>
      </c>
      <c r="R28" s="632">
        <v>0</v>
      </c>
      <c r="S28" s="632">
        <v>0</v>
      </c>
      <c r="T28" s="632">
        <v>0</v>
      </c>
      <c r="U28" s="632">
        <v>0</v>
      </c>
      <c r="V28" s="632">
        <v>0</v>
      </c>
      <c r="W28" s="632">
        <v>0</v>
      </c>
      <c r="X28" s="632"/>
      <c r="Y28" s="632">
        <v>10</v>
      </c>
      <c r="Z28" s="632" t="s">
        <v>105</v>
      </c>
      <c r="AA28" s="634" t="s">
        <v>105</v>
      </c>
    </row>
    <row r="29" spans="1:27" s="586" customFormat="1" ht="25.5" hidden="1">
      <c r="A29" s="585"/>
      <c r="B29" s="747">
        <v>11053</v>
      </c>
      <c r="C29" s="747">
        <v>2990</v>
      </c>
      <c r="D29" s="633"/>
      <c r="E29" s="632"/>
      <c r="F29" s="632"/>
      <c r="G29" s="632" t="s">
        <v>856</v>
      </c>
      <c r="H29" s="632" t="s">
        <v>857</v>
      </c>
      <c r="I29" s="632"/>
      <c r="J29" s="746"/>
      <c r="K29" s="746"/>
      <c r="L29" s="632" t="s">
        <v>858</v>
      </c>
      <c r="M29" s="632">
        <v>5140</v>
      </c>
      <c r="N29" s="632">
        <v>23130</v>
      </c>
      <c r="O29" s="632">
        <v>33042.857142857145</v>
      </c>
      <c r="P29" s="632">
        <v>66085.71428571429</v>
      </c>
      <c r="Q29" s="632">
        <v>0</v>
      </c>
      <c r="R29" s="632">
        <v>0</v>
      </c>
      <c r="S29" s="632">
        <v>0</v>
      </c>
      <c r="T29" s="632">
        <v>0</v>
      </c>
      <c r="U29" s="632">
        <v>0</v>
      </c>
      <c r="V29" s="632">
        <v>0</v>
      </c>
      <c r="W29" s="632">
        <v>0</v>
      </c>
      <c r="X29" s="632"/>
      <c r="Y29" s="632">
        <v>10</v>
      </c>
      <c r="Z29" s="632" t="s">
        <v>105</v>
      </c>
      <c r="AA29" s="634" t="s">
        <v>105</v>
      </c>
    </row>
    <row r="30" spans="1:27" s="586" customFormat="1" ht="25.5" hidden="1">
      <c r="A30" s="585"/>
      <c r="B30" s="747">
        <v>11053</v>
      </c>
      <c r="C30" s="747">
        <v>2990</v>
      </c>
      <c r="D30" s="633"/>
      <c r="E30" s="632"/>
      <c r="F30" s="632"/>
      <c r="G30" s="632" t="s">
        <v>856</v>
      </c>
      <c r="H30" s="632" t="s">
        <v>857</v>
      </c>
      <c r="I30" s="632"/>
      <c r="J30" s="746"/>
      <c r="K30" s="746"/>
      <c r="L30" s="632" t="s">
        <v>859</v>
      </c>
      <c r="M30" s="632">
        <v>1560</v>
      </c>
      <c r="N30" s="632">
        <v>7020</v>
      </c>
      <c r="O30" s="632">
        <v>10028.571428571429</v>
      </c>
      <c r="P30" s="632">
        <v>20057.142857142859</v>
      </c>
      <c r="Q30" s="632">
        <v>0</v>
      </c>
      <c r="R30" s="632">
        <v>0</v>
      </c>
      <c r="S30" s="632">
        <v>0</v>
      </c>
      <c r="T30" s="632">
        <v>0</v>
      </c>
      <c r="U30" s="632">
        <v>0</v>
      </c>
      <c r="V30" s="632">
        <v>0</v>
      </c>
      <c r="W30" s="632">
        <v>0</v>
      </c>
      <c r="X30" s="632"/>
      <c r="Y30" s="632">
        <v>10</v>
      </c>
      <c r="Z30" s="632" t="s">
        <v>105</v>
      </c>
      <c r="AA30" s="634" t="s">
        <v>105</v>
      </c>
    </row>
    <row r="31" spans="1:27" s="586" customFormat="1" ht="25.5" hidden="1">
      <c r="A31" s="585"/>
      <c r="B31" s="747">
        <v>11053</v>
      </c>
      <c r="C31" s="747">
        <v>2990</v>
      </c>
      <c r="D31" s="633"/>
      <c r="E31" s="632"/>
      <c r="F31" s="632"/>
      <c r="G31" s="632" t="s">
        <v>856</v>
      </c>
      <c r="H31" s="632" t="s">
        <v>857</v>
      </c>
      <c r="I31" s="632"/>
      <c r="J31" s="746"/>
      <c r="K31" s="746"/>
      <c r="L31" s="632" t="s">
        <v>858</v>
      </c>
      <c r="M31" s="632">
        <v>801</v>
      </c>
      <c r="N31" s="632">
        <v>3604.5</v>
      </c>
      <c r="O31" s="632">
        <v>5149.2857142857147</v>
      </c>
      <c r="P31" s="632">
        <v>10298.571428571429</v>
      </c>
      <c r="Q31" s="632">
        <v>0</v>
      </c>
      <c r="R31" s="632">
        <v>0</v>
      </c>
      <c r="S31" s="632">
        <v>0</v>
      </c>
      <c r="T31" s="632">
        <v>0</v>
      </c>
      <c r="U31" s="632">
        <v>0</v>
      </c>
      <c r="V31" s="632">
        <v>0</v>
      </c>
      <c r="W31" s="632">
        <v>0</v>
      </c>
      <c r="X31" s="632"/>
      <c r="Y31" s="632">
        <v>10</v>
      </c>
      <c r="Z31" s="632" t="s">
        <v>105</v>
      </c>
      <c r="AA31" s="634" t="s">
        <v>105</v>
      </c>
    </row>
    <row r="32" spans="1:27" s="586" customFormat="1" ht="25.5" hidden="1">
      <c r="A32" s="585"/>
      <c r="B32" s="747">
        <v>11053</v>
      </c>
      <c r="C32" s="747">
        <v>2990</v>
      </c>
      <c r="D32" s="633"/>
      <c r="E32" s="632"/>
      <c r="F32" s="632"/>
      <c r="G32" s="632" t="s">
        <v>856</v>
      </c>
      <c r="H32" s="632" t="s">
        <v>857</v>
      </c>
      <c r="I32" s="632"/>
      <c r="J32" s="746"/>
      <c r="K32" s="746"/>
      <c r="L32" s="632" t="s">
        <v>858</v>
      </c>
      <c r="M32" s="632">
        <v>2000</v>
      </c>
      <c r="N32" s="632">
        <v>9000</v>
      </c>
      <c r="O32" s="632">
        <v>12857.142857142857</v>
      </c>
      <c r="P32" s="632">
        <v>25714.285714285717</v>
      </c>
      <c r="Q32" s="632">
        <v>0</v>
      </c>
      <c r="R32" s="632">
        <v>0</v>
      </c>
      <c r="S32" s="632">
        <v>0</v>
      </c>
      <c r="T32" s="632">
        <v>0</v>
      </c>
      <c r="U32" s="632">
        <v>0</v>
      </c>
      <c r="V32" s="632">
        <v>0</v>
      </c>
      <c r="W32" s="632">
        <v>0</v>
      </c>
      <c r="X32" s="632"/>
      <c r="Y32" s="632">
        <v>10</v>
      </c>
      <c r="Z32" s="632" t="s">
        <v>105</v>
      </c>
      <c r="AA32" s="634" t="s">
        <v>105</v>
      </c>
    </row>
    <row r="33" spans="1:27" s="586" customFormat="1" ht="25.5" hidden="1">
      <c r="A33" s="585"/>
      <c r="B33" s="747">
        <v>11053</v>
      </c>
      <c r="C33" s="747">
        <v>2990</v>
      </c>
      <c r="D33" s="633"/>
      <c r="E33" s="632"/>
      <c r="F33" s="632"/>
      <c r="G33" s="632" t="s">
        <v>856</v>
      </c>
      <c r="H33" s="632" t="s">
        <v>857</v>
      </c>
      <c r="I33" s="632"/>
      <c r="J33" s="746"/>
      <c r="K33" s="746"/>
      <c r="L33" s="632" t="s">
        <v>858</v>
      </c>
      <c r="M33" s="632">
        <v>9.6999999999999993</v>
      </c>
      <c r="N33" s="632">
        <v>43.649999999999991</v>
      </c>
      <c r="O33" s="632">
        <v>62.357142857142847</v>
      </c>
      <c r="P33" s="632">
        <v>0</v>
      </c>
      <c r="Q33" s="632">
        <v>124.71428571428569</v>
      </c>
      <c r="R33" s="632">
        <v>0</v>
      </c>
      <c r="S33" s="632">
        <v>0</v>
      </c>
      <c r="T33" s="632">
        <v>0</v>
      </c>
      <c r="U33" s="632">
        <v>0</v>
      </c>
      <c r="V33" s="632">
        <v>0</v>
      </c>
      <c r="W33" s="632">
        <v>0</v>
      </c>
      <c r="X33" s="632"/>
      <c r="Y33" s="632">
        <v>10</v>
      </c>
      <c r="Z33" s="632" t="s">
        <v>105</v>
      </c>
      <c r="AA33" s="634" t="s">
        <v>105</v>
      </c>
    </row>
    <row r="34" spans="1:27" s="586" customFormat="1" ht="25.5" hidden="1">
      <c r="A34" s="585"/>
      <c r="B34" s="747">
        <v>11053</v>
      </c>
      <c r="C34" s="747">
        <v>2990</v>
      </c>
      <c r="D34" s="633"/>
      <c r="E34" s="632"/>
      <c r="F34" s="632"/>
      <c r="G34" s="632" t="s">
        <v>856</v>
      </c>
      <c r="H34" s="632" t="s">
        <v>857</v>
      </c>
      <c r="I34" s="632"/>
      <c r="J34" s="746"/>
      <c r="K34" s="746"/>
      <c r="L34" s="632" t="s">
        <v>858</v>
      </c>
      <c r="M34" s="632">
        <v>9.6999999999999993</v>
      </c>
      <c r="N34" s="632">
        <v>43.649999999999991</v>
      </c>
      <c r="O34" s="632">
        <v>62.357142857142847</v>
      </c>
      <c r="P34" s="632">
        <v>0</v>
      </c>
      <c r="Q34" s="632">
        <v>124.71428571428569</v>
      </c>
      <c r="R34" s="632">
        <v>0</v>
      </c>
      <c r="S34" s="632">
        <v>0</v>
      </c>
      <c r="T34" s="632">
        <v>0</v>
      </c>
      <c r="U34" s="632">
        <v>0</v>
      </c>
      <c r="V34" s="632">
        <v>0</v>
      </c>
      <c r="W34" s="632">
        <v>0</v>
      </c>
      <c r="X34" s="632"/>
      <c r="Y34" s="632">
        <v>10</v>
      </c>
      <c r="Z34" s="632" t="s">
        <v>105</v>
      </c>
      <c r="AA34" s="634" t="s">
        <v>105</v>
      </c>
    </row>
    <row r="35" spans="1:27" s="586" customFormat="1" ht="25.5" hidden="1">
      <c r="A35" s="585"/>
      <c r="B35" s="747">
        <v>11053</v>
      </c>
      <c r="C35" s="747">
        <v>2990</v>
      </c>
      <c r="D35" s="633"/>
      <c r="E35" s="632"/>
      <c r="F35" s="632"/>
      <c r="G35" s="632" t="s">
        <v>856</v>
      </c>
      <c r="H35" s="632" t="s">
        <v>857</v>
      </c>
      <c r="I35" s="632"/>
      <c r="J35" s="746"/>
      <c r="K35" s="746"/>
      <c r="L35" s="632" t="s">
        <v>858</v>
      </c>
      <c r="M35" s="632">
        <v>9.6999999999999993</v>
      </c>
      <c r="N35" s="632">
        <v>43.649999999999991</v>
      </c>
      <c r="O35" s="632">
        <v>62.357142857142847</v>
      </c>
      <c r="P35" s="632">
        <v>0</v>
      </c>
      <c r="Q35" s="632">
        <v>124.71428571428569</v>
      </c>
      <c r="R35" s="632">
        <v>0</v>
      </c>
      <c r="S35" s="632">
        <v>0</v>
      </c>
      <c r="T35" s="632">
        <v>0</v>
      </c>
      <c r="U35" s="632">
        <v>0</v>
      </c>
      <c r="V35" s="632">
        <v>0</v>
      </c>
      <c r="W35" s="632">
        <v>0</v>
      </c>
      <c r="X35" s="632"/>
      <c r="Y35" s="632">
        <v>10</v>
      </c>
      <c r="Z35" s="632" t="s">
        <v>105</v>
      </c>
      <c r="AA35" s="634" t="s">
        <v>105</v>
      </c>
    </row>
    <row r="36" spans="1:27" s="586" customFormat="1" ht="25.5" hidden="1">
      <c r="A36" s="585"/>
      <c r="B36" s="747">
        <v>11053</v>
      </c>
      <c r="C36" s="747">
        <v>2990</v>
      </c>
      <c r="D36" s="633"/>
      <c r="E36" s="632"/>
      <c r="F36" s="632"/>
      <c r="G36" s="632" t="s">
        <v>860</v>
      </c>
      <c r="H36" s="632" t="s">
        <v>857</v>
      </c>
      <c r="I36" s="632"/>
      <c r="J36" s="746"/>
      <c r="K36" s="746"/>
      <c r="L36" s="632" t="s">
        <v>859</v>
      </c>
      <c r="M36" s="632">
        <v>4995</v>
      </c>
      <c r="N36" s="632">
        <v>18731.25</v>
      </c>
      <c r="O36" s="632">
        <v>26758.928571428572</v>
      </c>
      <c r="P36" s="632">
        <v>53517.857142857145</v>
      </c>
      <c r="Q36" s="632">
        <v>0</v>
      </c>
      <c r="R36" s="632">
        <v>0</v>
      </c>
      <c r="S36" s="632">
        <v>0</v>
      </c>
      <c r="T36" s="632">
        <v>0</v>
      </c>
      <c r="U36" s="632">
        <v>0</v>
      </c>
      <c r="V36" s="632">
        <v>0</v>
      </c>
      <c r="W36" s="632">
        <v>0</v>
      </c>
      <c r="X36" s="632"/>
      <c r="Y36" s="632">
        <v>10</v>
      </c>
      <c r="Z36" s="632" t="s">
        <v>105</v>
      </c>
      <c r="AA36" s="634" t="s">
        <v>105</v>
      </c>
    </row>
    <row r="37" spans="1:27" s="566" customFormat="1" hidden="1">
      <c r="A37" s="588" t="s">
        <v>269</v>
      </c>
      <c r="B37" s="589"/>
      <c r="C37" s="589"/>
      <c r="D37" s="589"/>
      <c r="E37" s="589"/>
      <c r="F37" s="589"/>
      <c r="G37" s="589"/>
      <c r="H37" s="589"/>
      <c r="I37" s="589"/>
      <c r="J37" s="589"/>
      <c r="K37" s="589"/>
      <c r="L37" s="590"/>
      <c r="M37" s="590">
        <f>SUM(M28:M36)</f>
        <v>17960.100000000002</v>
      </c>
      <c r="N37" s="590">
        <f>SUM(N28:N36)</f>
        <v>77074.200000000012</v>
      </c>
      <c r="O37" s="590">
        <f>SUM(O28:O36)</f>
        <v>110106</v>
      </c>
      <c r="P37" s="590">
        <f>SUM(P28:P36)</f>
        <v>219837.85714285716</v>
      </c>
      <c r="Q37" s="590">
        <f>SUM(Q28:Q36)</f>
        <v>374.14285714285711</v>
      </c>
      <c r="R37" s="590">
        <f>SUM(R28:R36)</f>
        <v>0</v>
      </c>
      <c r="S37" s="590">
        <f>SUM(S28:S36)</f>
        <v>0</v>
      </c>
      <c r="T37" s="590">
        <f>SUM(T28:T36)</f>
        <v>0</v>
      </c>
      <c r="U37" s="590">
        <f>SUM(U28:U36)</f>
        <v>0</v>
      </c>
      <c r="V37" s="590">
        <f>SUM(V28:V36)</f>
        <v>0</v>
      </c>
      <c r="W37" s="590">
        <f>SUM(W28:W36)</f>
        <v>0</v>
      </c>
      <c r="X37" s="590"/>
      <c r="Y37" s="591"/>
      <c r="Z37" s="591"/>
      <c r="AA37" s="592"/>
    </row>
    <row r="38" spans="1:27" s="566" customFormat="1">
      <c r="A38" s="588" t="s">
        <v>276</v>
      </c>
      <c r="B38" s="589"/>
      <c r="C38" s="589"/>
      <c r="D38" s="589"/>
      <c r="E38" s="589"/>
      <c r="F38" s="589"/>
      <c r="G38" s="589"/>
      <c r="H38" s="589"/>
      <c r="I38" s="589"/>
      <c r="J38" s="589"/>
      <c r="K38" s="589"/>
      <c r="L38" s="590"/>
      <c r="M38" s="590">
        <f>SUMIF($AA$28:$AA$36,"industrie",M28:M36)</f>
        <v>0</v>
      </c>
      <c r="N38" s="590">
        <f>SUMIF($AA$28:$AA$36,"industrie",N28:N36)</f>
        <v>0</v>
      </c>
      <c r="O38" s="590">
        <f>SUMIF($AA$28:$AA$36,"industrie",O28:O36)</f>
        <v>0</v>
      </c>
      <c r="P38" s="590">
        <f>SUMIF($AA$28:$AA$36,"industrie",P28:P36)</f>
        <v>0</v>
      </c>
      <c r="Q38" s="590">
        <f>SUMIF($AA$28:$AA$36,"industrie",Q28:Q36)</f>
        <v>0</v>
      </c>
      <c r="R38" s="590">
        <f>SUMIF($AA$28:$AA$36,"industrie",R28:R36)</f>
        <v>0</v>
      </c>
      <c r="S38" s="590">
        <f>SUMIF($AA$28:$AA$36,"industrie",S28:S36)</f>
        <v>0</v>
      </c>
      <c r="T38" s="590">
        <f>SUMIF($AA$28:$AA$36,"industrie",T28:T36)</f>
        <v>0</v>
      </c>
      <c r="U38" s="590">
        <f>SUMIF($AA$28:$AA$36,"industrie",U28:U36)</f>
        <v>0</v>
      </c>
      <c r="V38" s="590">
        <f>SUMIF($AA$28:$AA$36,"industrie",V28:V36)</f>
        <v>0</v>
      </c>
      <c r="W38" s="590">
        <f>SUMIF($AA$28:$AA$36,"industrie",W28:W36)</f>
        <v>0</v>
      </c>
      <c r="X38" s="590"/>
      <c r="Y38" s="591"/>
      <c r="Z38" s="591"/>
      <c r="AA38" s="592"/>
    </row>
    <row r="39" spans="1:27" s="566" customFormat="1">
      <c r="A39" s="588" t="s">
        <v>277</v>
      </c>
      <c r="B39" s="589"/>
      <c r="C39" s="589"/>
      <c r="D39" s="589"/>
      <c r="E39" s="589"/>
      <c r="F39" s="589"/>
      <c r="G39" s="589"/>
      <c r="H39" s="589"/>
      <c r="I39" s="589"/>
      <c r="J39" s="589"/>
      <c r="K39" s="589"/>
      <c r="L39" s="590"/>
      <c r="M39" s="590">
        <f ca="1">SUMIF($AA$28:AD36,"tertiair",M28:M36)</f>
        <v>0</v>
      </c>
      <c r="N39" s="590">
        <f ca="1">SUMIF($AA$28:AE36,"tertiair",N28:N36)</f>
        <v>0</v>
      </c>
      <c r="O39" s="590">
        <f ca="1">SUMIF($AA$28:AF36,"tertiair",O28:O36)</f>
        <v>0</v>
      </c>
      <c r="P39" s="590">
        <f ca="1">SUMIF($AA$28:AG36,"tertiair",P28:P36)</f>
        <v>0</v>
      </c>
      <c r="Q39" s="590">
        <f ca="1">SUMIF($AA$28:AH36,"tertiair",Q28:Q36)</f>
        <v>0</v>
      </c>
      <c r="R39" s="590">
        <f ca="1">SUMIF($AA$28:AI36,"tertiair",R28:R36)</f>
        <v>0</v>
      </c>
      <c r="S39" s="590">
        <f ca="1">SUMIF($AA$28:AJ36,"tertiair",S28:S36)</f>
        <v>0</v>
      </c>
      <c r="T39" s="590">
        <f ca="1">SUMIF($AA$28:AK36,"tertiair",T28:T36)</f>
        <v>0</v>
      </c>
      <c r="U39" s="590">
        <f ca="1">SUMIF($AA$28:AL36,"tertiair",U28:U36)</f>
        <v>0</v>
      </c>
      <c r="V39" s="590">
        <f ca="1">SUMIF($AA$28:AM36,"tertiair",V28:V36)</f>
        <v>0</v>
      </c>
      <c r="W39" s="590">
        <f ca="1">SUMIF($AA$28:AN36,"tertiair",W28:W36)</f>
        <v>0</v>
      </c>
      <c r="X39" s="590"/>
      <c r="Y39" s="591"/>
      <c r="Z39" s="591"/>
      <c r="AA39" s="592"/>
    </row>
    <row r="40" spans="1:27" s="566" customFormat="1" ht="15.75" thickBot="1">
      <c r="A40" s="593" t="s">
        <v>278</v>
      </c>
      <c r="B40" s="594"/>
      <c r="C40" s="594"/>
      <c r="D40" s="594"/>
      <c r="E40" s="594"/>
      <c r="F40" s="594"/>
      <c r="G40" s="594"/>
      <c r="H40" s="594"/>
      <c r="I40" s="594"/>
      <c r="J40" s="594"/>
      <c r="K40" s="594"/>
      <c r="L40" s="595"/>
      <c r="M40" s="595">
        <f>SUMIF($AA$28:$AA$36,"landbouw",M28:M36)</f>
        <v>17960.100000000002</v>
      </c>
      <c r="N40" s="595">
        <f>SUMIF($AA$28:$AA$36,"landbouw",N28:N36)</f>
        <v>77074.200000000012</v>
      </c>
      <c r="O40" s="595">
        <f>SUMIF($AA$28:$AA$36,"landbouw",O28:O36)</f>
        <v>110106</v>
      </c>
      <c r="P40" s="595">
        <f>SUMIF($AA$28:$AA$36,"landbouw",P28:P36)</f>
        <v>219837.85714285716</v>
      </c>
      <c r="Q40" s="595">
        <f>SUMIF($AA$28:$AA$36,"landbouw",Q28:Q36)</f>
        <v>374.14285714285711</v>
      </c>
      <c r="R40" s="595">
        <f>SUMIF($AA$28:$AA$36,"landbouw",R28:R36)</f>
        <v>0</v>
      </c>
      <c r="S40" s="595">
        <f>SUMIF($AA$28:$AA$36,"landbouw",S28:S36)</f>
        <v>0</v>
      </c>
      <c r="T40" s="595">
        <f>SUMIF($AA$28:$AA$36,"landbouw",T28:T36)</f>
        <v>0</v>
      </c>
      <c r="U40" s="595">
        <f>SUMIF($AA$28:$AA$36,"landbouw",U28:U36)</f>
        <v>0</v>
      </c>
      <c r="V40" s="595">
        <f>SUMIF($AA$28:$AA$36,"landbouw",V28:V36)</f>
        <v>0</v>
      </c>
      <c r="W40" s="595">
        <f>SUMIF($AA$28:$AA$36,"landbouw",W28:W36)</f>
        <v>0</v>
      </c>
      <c r="X40" s="595"/>
      <c r="Y40" s="596"/>
      <c r="Z40" s="596"/>
      <c r="AA40" s="597"/>
    </row>
    <row r="41" spans="1:27" s="527" customFormat="1" ht="15.75" thickBot="1">
      <c r="A41" s="598"/>
      <c r="B41" s="599"/>
      <c r="C41" s="599"/>
      <c r="D41" s="599"/>
      <c r="E41" s="599"/>
      <c r="F41" s="599"/>
      <c r="G41" s="599"/>
      <c r="H41" s="599"/>
      <c r="I41" s="599"/>
      <c r="J41" s="599"/>
      <c r="K41" s="599"/>
      <c r="L41" s="582"/>
      <c r="M41" s="582"/>
      <c r="N41" s="582"/>
      <c r="O41" s="583"/>
      <c r="P41" s="583"/>
    </row>
    <row r="42" spans="1:27" s="527" customFormat="1" ht="45">
      <c r="A42" s="600" t="s">
        <v>270</v>
      </c>
      <c r="B42" s="629" t="s">
        <v>89</v>
      </c>
      <c r="C42" s="629" t="s">
        <v>90</v>
      </c>
      <c r="D42" s="629"/>
      <c r="E42" s="629"/>
      <c r="F42" s="629"/>
      <c r="G42" s="629" t="s">
        <v>91</v>
      </c>
      <c r="H42" s="629" t="s">
        <v>92</v>
      </c>
      <c r="I42" s="629"/>
      <c r="J42" s="629"/>
      <c r="K42" s="629"/>
      <c r="L42" s="629" t="s">
        <v>93</v>
      </c>
      <c r="M42" s="630" t="s">
        <v>287</v>
      </c>
      <c r="N42" s="630" t="s">
        <v>94</v>
      </c>
      <c r="O42" s="630" t="s">
        <v>95</v>
      </c>
      <c r="P42" s="630" t="s">
        <v>509</v>
      </c>
      <c r="Q42" s="630" t="s">
        <v>96</v>
      </c>
      <c r="R42" s="630" t="s">
        <v>97</v>
      </c>
      <c r="S42" s="630" t="s">
        <v>98</v>
      </c>
      <c r="T42" s="630" t="s">
        <v>99</v>
      </c>
      <c r="U42" s="630" t="s">
        <v>100</v>
      </c>
      <c r="V42" s="630" t="s">
        <v>101</v>
      </c>
      <c r="W42" s="629" t="s">
        <v>102</v>
      </c>
      <c r="X42" s="629" t="s">
        <v>855</v>
      </c>
      <c r="Y42" s="629" t="s">
        <v>288</v>
      </c>
      <c r="Z42" s="629" t="s">
        <v>103</v>
      </c>
      <c r="AA42" s="631" t="s">
        <v>289</v>
      </c>
    </row>
    <row r="43" spans="1:27" s="601" customFormat="1" ht="12.75" hidden="1">
      <c r="A43" s="587"/>
      <c r="B43" s="747"/>
      <c r="C43" s="747"/>
      <c r="D43" s="635"/>
      <c r="E43" s="635"/>
      <c r="F43" s="635"/>
      <c r="G43" s="635"/>
      <c r="H43" s="635"/>
      <c r="I43" s="635"/>
      <c r="J43" s="746"/>
      <c r="K43" s="746"/>
      <c r="L43" s="635"/>
      <c r="M43" s="635"/>
      <c r="N43" s="635"/>
      <c r="O43" s="635"/>
      <c r="P43" s="635"/>
      <c r="Q43" s="635"/>
      <c r="R43" s="635"/>
      <c r="S43" s="635"/>
      <c r="T43" s="635"/>
      <c r="U43" s="635"/>
      <c r="V43" s="635"/>
      <c r="W43" s="635"/>
      <c r="X43" s="635"/>
      <c r="Y43" s="635"/>
      <c r="Z43" s="635"/>
      <c r="AA43" s="636"/>
    </row>
    <row r="44" spans="1:27" s="566" customFormat="1" hidden="1">
      <c r="A44" s="588" t="s">
        <v>269</v>
      </c>
      <c r="B44" s="589"/>
      <c r="C44" s="589"/>
      <c r="D44" s="589"/>
      <c r="E44" s="589"/>
      <c r="F44" s="589"/>
      <c r="G44" s="589"/>
      <c r="H44" s="589"/>
      <c r="I44" s="589"/>
      <c r="J44" s="589"/>
      <c r="K44" s="589"/>
      <c r="L44" s="590"/>
      <c r="M44" s="590">
        <f>SUM(M43:M43)</f>
        <v>0</v>
      </c>
      <c r="N44" s="590">
        <f>SUM(N43:N43)</f>
        <v>0</v>
      </c>
      <c r="O44" s="590">
        <f>SUM(O43:O43)</f>
        <v>0</v>
      </c>
      <c r="P44" s="590">
        <f>SUM(P43:P43)</f>
        <v>0</v>
      </c>
      <c r="Q44" s="590">
        <f>SUM(Q43:Q43)</f>
        <v>0</v>
      </c>
      <c r="R44" s="590">
        <f>SUM(R43:R43)</f>
        <v>0</v>
      </c>
      <c r="S44" s="590">
        <f>SUM(S43:S43)</f>
        <v>0</v>
      </c>
      <c r="T44" s="590">
        <f>SUM(T43:T43)</f>
        <v>0</v>
      </c>
      <c r="U44" s="590">
        <f>SUM(U43:U43)</f>
        <v>0</v>
      </c>
      <c r="V44" s="590">
        <f>SUM(V43:V43)</f>
        <v>0</v>
      </c>
      <c r="W44" s="590">
        <f>SUM(W43:W43)</f>
        <v>0</v>
      </c>
      <c r="X44" s="590"/>
      <c r="Y44" s="591"/>
      <c r="Z44" s="591"/>
      <c r="AA44" s="592"/>
    </row>
    <row r="45" spans="1:27" s="566" customFormat="1">
      <c r="A45" s="588" t="s">
        <v>276</v>
      </c>
      <c r="B45" s="589"/>
      <c r="C45" s="589"/>
      <c r="D45" s="589"/>
      <c r="E45" s="589"/>
      <c r="F45" s="589"/>
      <c r="G45" s="589"/>
      <c r="H45" s="589"/>
      <c r="I45" s="589"/>
      <c r="J45" s="589"/>
      <c r="K45" s="589"/>
      <c r="L45" s="590"/>
      <c r="M45" s="590">
        <f>SUMIF($AA$43:$AA$43,"industrie",M43:M43)</f>
        <v>0</v>
      </c>
      <c r="N45" s="590">
        <f>SUMIF($AA$43:$AA$43,"industrie",N43:N43)</f>
        <v>0</v>
      </c>
      <c r="O45" s="590">
        <f>SUMIF($AA$43:$AA$43,"industrie",O43:O43)</f>
        <v>0</v>
      </c>
      <c r="P45" s="590">
        <f>SUMIF($AA$43:$AA$43,"industrie",P43:P43)</f>
        <v>0</v>
      </c>
      <c r="Q45" s="590">
        <f>SUMIF($AA$43:$AA$43,"industrie",Q43:Q43)</f>
        <v>0</v>
      </c>
      <c r="R45" s="590">
        <f>SUMIF($AA$43:$AA$43,"industrie",R43:R43)</f>
        <v>0</v>
      </c>
      <c r="S45" s="590">
        <f>SUMIF($AA$43:$AA$43,"industrie",S43:S43)</f>
        <v>0</v>
      </c>
      <c r="T45" s="590">
        <f>SUMIF($AA$43:$AA$43,"industrie",T43:T43)</f>
        <v>0</v>
      </c>
      <c r="U45" s="590">
        <f>SUMIF($AA$43:$AA$43,"industrie",U43:U43)</f>
        <v>0</v>
      </c>
      <c r="V45" s="590">
        <f>SUMIF($AA$43:$AA$43,"industrie",V43:V43)</f>
        <v>0</v>
      </c>
      <c r="W45" s="590">
        <f>SUMIF($AA$43:$AA$43,"industrie",W43:W43)</f>
        <v>0</v>
      </c>
      <c r="X45" s="590"/>
      <c r="Y45" s="591"/>
      <c r="Z45" s="591"/>
      <c r="AA45" s="592"/>
    </row>
    <row r="46" spans="1:27" s="566" customFormat="1">
      <c r="A46" s="588" t="s">
        <v>277</v>
      </c>
      <c r="B46" s="589"/>
      <c r="C46" s="589"/>
      <c r="D46" s="589"/>
      <c r="E46" s="589"/>
      <c r="F46" s="589"/>
      <c r="G46" s="589"/>
      <c r="H46" s="589"/>
      <c r="I46" s="589"/>
      <c r="J46" s="589"/>
      <c r="K46" s="589"/>
      <c r="L46" s="590"/>
      <c r="M46" s="590">
        <f>SUMIF($AA$43:$AA$44,"tertiair",M43:M44)</f>
        <v>0</v>
      </c>
      <c r="N46" s="590">
        <f>SUMIF($AA$43:$AA$44,"tertiair",N43:N44)</f>
        <v>0</v>
      </c>
      <c r="O46" s="590">
        <f>SUMIF($AA$43:$AA$44,"tertiair",O43:O44)</f>
        <v>0</v>
      </c>
      <c r="P46" s="590">
        <f>SUMIF($AA$43:$AA$44,"tertiair",P43:P44)</f>
        <v>0</v>
      </c>
      <c r="Q46" s="590">
        <f>SUMIF($AA$43:$AA$44,"tertiair",Q43:Q44)</f>
        <v>0</v>
      </c>
      <c r="R46" s="590">
        <f>SUMIF($AA$43:$AA$44,"tertiair",R43:R44)</f>
        <v>0</v>
      </c>
      <c r="S46" s="590">
        <f>SUMIF($AA$43:$AA$44,"tertiair",S43:S44)</f>
        <v>0</v>
      </c>
      <c r="T46" s="590">
        <f>SUMIF($AA$43:$AA$44,"tertiair",T43:T44)</f>
        <v>0</v>
      </c>
      <c r="U46" s="590">
        <f>SUMIF($AA$43:$AA$44,"tertiair",U43:U44)</f>
        <v>0</v>
      </c>
      <c r="V46" s="590">
        <f>SUMIF($AA$43:$AA$44,"tertiair",V43:V44)</f>
        <v>0</v>
      </c>
      <c r="W46" s="590">
        <f>SUMIF($AA$43:$AA$44,"tertiair",W43:W44)</f>
        <v>0</v>
      </c>
      <c r="X46" s="590"/>
      <c r="Y46" s="591"/>
      <c r="Z46" s="591"/>
      <c r="AA46" s="592"/>
    </row>
    <row r="47" spans="1:27" s="566" customFormat="1" ht="15.75" thickBot="1">
      <c r="A47" s="593" t="s">
        <v>278</v>
      </c>
      <c r="B47" s="594"/>
      <c r="C47" s="594"/>
      <c r="D47" s="594"/>
      <c r="E47" s="594"/>
      <c r="F47" s="594"/>
      <c r="G47" s="594"/>
      <c r="H47" s="594"/>
      <c r="I47" s="594"/>
      <c r="J47" s="594"/>
      <c r="K47" s="594"/>
      <c r="L47" s="595"/>
      <c r="M47" s="595">
        <f>SUMIF($AA$43:$AA$45,"landbouw",M43:M45)</f>
        <v>0</v>
      </c>
      <c r="N47" s="595">
        <f>SUMIF($AA$43:$AA$45,"landbouw",N43:N45)</f>
        <v>0</v>
      </c>
      <c r="O47" s="595">
        <f>SUMIF($AA$43:$AA$45,"landbouw",O43:O45)</f>
        <v>0</v>
      </c>
      <c r="P47" s="595">
        <f>SUMIF($AA$43:$AA$45,"landbouw",P43:P45)</f>
        <v>0</v>
      </c>
      <c r="Q47" s="595">
        <f>SUMIF($AA$43:$AA$45,"landbouw",Q43:Q45)</f>
        <v>0</v>
      </c>
      <c r="R47" s="595">
        <f>SUMIF($AA$43:$AA$45,"landbouw",R43:R45)</f>
        <v>0</v>
      </c>
      <c r="S47" s="595">
        <f>SUMIF($AA$43:$AA$45,"landbouw",S43:S45)</f>
        <v>0</v>
      </c>
      <c r="T47" s="595">
        <f>SUMIF($AA$43:$AA$45,"landbouw",T43:T45)</f>
        <v>0</v>
      </c>
      <c r="U47" s="595">
        <f>SUMIF($AA$43:$AA$45,"landbouw",U43:U45)</f>
        <v>0</v>
      </c>
      <c r="V47" s="595">
        <f>SUMIF($AA$43:$AA$45,"landbouw",V43:V45)</f>
        <v>0</v>
      </c>
      <c r="W47" s="595">
        <f>SUMIF($AA$43:$AA$45,"landbouw",W43:W45)</f>
        <v>0</v>
      </c>
      <c r="X47" s="595"/>
      <c r="Y47" s="596"/>
      <c r="Z47" s="596"/>
      <c r="AA47" s="597"/>
    </row>
    <row r="48" spans="1:27" s="602" customFormat="1">
      <c r="A48" s="598"/>
      <c r="B48" s="582"/>
      <c r="C48" s="582"/>
      <c r="D48" s="582"/>
      <c r="E48" s="582"/>
      <c r="F48" s="582"/>
      <c r="G48" s="582"/>
      <c r="H48" s="582"/>
      <c r="I48" s="582"/>
      <c r="J48" s="582"/>
      <c r="K48" s="582"/>
      <c r="L48" s="582"/>
      <c r="M48" s="582"/>
      <c r="N48" s="582"/>
      <c r="O48" s="582"/>
      <c r="P48" s="582"/>
      <c r="Q48" s="582"/>
      <c r="R48" s="582"/>
      <c r="S48" s="582"/>
      <c r="T48" s="582"/>
      <c r="U48" s="582"/>
      <c r="V48" s="582"/>
      <c r="W48" s="582"/>
      <c r="X48" s="582"/>
      <c r="Y48" s="582"/>
      <c r="Z48" s="582"/>
    </row>
    <row r="49" spans="1:28" s="602" customFormat="1" ht="15.75" thickBot="1">
      <c r="A49" s="598"/>
      <c r="B49" s="582"/>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row>
    <row r="50" spans="1:28">
      <c r="A50" s="603" t="s">
        <v>271</v>
      </c>
      <c r="B50" s="604"/>
      <c r="C50" s="604"/>
      <c r="D50" s="604"/>
      <c r="E50" s="604"/>
      <c r="F50" s="604"/>
      <c r="G50" s="604"/>
      <c r="H50" s="604"/>
      <c r="I50" s="605"/>
      <c r="J50" s="606"/>
      <c r="K50" s="606"/>
      <c r="L50" s="607"/>
      <c r="M50" s="607"/>
      <c r="N50" s="607"/>
      <c r="O50" s="607"/>
      <c r="P50" s="607"/>
    </row>
    <row r="51" spans="1:28">
      <c r="A51" s="609"/>
      <c r="B51" s="599"/>
      <c r="C51" s="599"/>
      <c r="D51" s="599"/>
      <c r="E51" s="599"/>
      <c r="F51" s="599"/>
      <c r="G51" s="599"/>
      <c r="H51" s="599"/>
      <c r="I51" s="610"/>
      <c r="J51" s="599"/>
      <c r="K51" s="599"/>
      <c r="L51" s="607"/>
      <c r="M51" s="607"/>
      <c r="N51" s="607"/>
      <c r="O51" s="607"/>
      <c r="P51" s="607"/>
    </row>
    <row r="52" spans="1:28">
      <c r="A52" s="611"/>
      <c r="B52" s="612" t="s">
        <v>272</v>
      </c>
      <c r="C52" s="612" t="s">
        <v>273</v>
      </c>
      <c r="D52" s="612"/>
      <c r="E52" s="612"/>
      <c r="F52" s="612"/>
      <c r="G52" s="612"/>
      <c r="H52" s="612"/>
      <c r="I52" s="613"/>
      <c r="J52" s="612"/>
      <c r="K52" s="612"/>
      <c r="L52" s="612"/>
      <c r="M52" s="612"/>
      <c r="N52" s="612"/>
      <c r="O52" s="612"/>
      <c r="P52" s="607"/>
    </row>
    <row r="53" spans="1:28">
      <c r="A53" s="609" t="s">
        <v>269</v>
      </c>
      <c r="B53" s="614">
        <f>IF(ISERROR(O37/(O37+N37)),0,O37/(O37+N37))</f>
        <v>0.58823529411764697</v>
      </c>
      <c r="C53" s="615">
        <f>IF(ISERROR(N37/(O37+N37)),0,N37/(N37+O37))</f>
        <v>0.41176470588235298</v>
      </c>
      <c r="D53" s="582"/>
      <c r="E53" s="582"/>
      <c r="F53" s="582"/>
      <c r="G53" s="582"/>
      <c r="H53" s="582"/>
      <c r="I53" s="616"/>
      <c r="J53" s="582"/>
      <c r="K53" s="582"/>
      <c r="L53" s="617"/>
      <c r="M53" s="617"/>
      <c r="N53" s="617"/>
      <c r="O53" s="617"/>
      <c r="P53" s="607"/>
    </row>
    <row r="54" spans="1:28">
      <c r="A54" s="609"/>
      <c r="B54" s="618"/>
      <c r="C54" s="618"/>
      <c r="D54" s="618"/>
      <c r="E54" s="618"/>
      <c r="F54" s="618"/>
      <c r="G54" s="618"/>
      <c r="H54" s="618"/>
      <c r="I54" s="619"/>
      <c r="J54" s="618"/>
      <c r="K54" s="618"/>
      <c r="L54" s="620"/>
      <c r="M54" s="620"/>
      <c r="N54" s="620"/>
      <c r="O54" s="620"/>
      <c r="P54" s="607"/>
    </row>
    <row r="55" spans="1:28" ht="30">
      <c r="A55" s="621"/>
      <c r="B55" s="622" t="s">
        <v>509</v>
      </c>
      <c r="C55" s="622" t="s">
        <v>96</v>
      </c>
      <c r="D55" s="622" t="s">
        <v>97</v>
      </c>
      <c r="E55" s="622" t="s">
        <v>98</v>
      </c>
      <c r="F55" s="622" t="s">
        <v>99</v>
      </c>
      <c r="G55" s="622" t="s">
        <v>100</v>
      </c>
      <c r="H55" s="622" t="s">
        <v>101</v>
      </c>
      <c r="I55" s="623" t="s">
        <v>102</v>
      </c>
      <c r="J55" s="612"/>
      <c r="K55" s="612"/>
      <c r="L55" s="620"/>
      <c r="M55" s="620"/>
      <c r="N55" s="620"/>
      <c r="O55" s="607"/>
      <c r="P55" s="607"/>
    </row>
    <row r="56" spans="1:28">
      <c r="A56" s="611" t="s">
        <v>274</v>
      </c>
      <c r="B56" s="624">
        <f t="shared" ref="B56:I56" si="2">$C$53*P37</f>
        <v>90521.470588235316</v>
      </c>
      <c r="C56" s="624">
        <f t="shared" si="2"/>
        <v>154.05882352941177</v>
      </c>
      <c r="D56" s="624">
        <f t="shared" si="2"/>
        <v>0</v>
      </c>
      <c r="E56" s="624">
        <f t="shared" si="2"/>
        <v>0</v>
      </c>
      <c r="F56" s="624">
        <f t="shared" si="2"/>
        <v>0</v>
      </c>
      <c r="G56" s="624">
        <f t="shared" si="2"/>
        <v>0</v>
      </c>
      <c r="H56" s="624">
        <f t="shared" si="2"/>
        <v>0</v>
      </c>
      <c r="I56" s="625">
        <f t="shared" si="2"/>
        <v>0</v>
      </c>
      <c r="J56" s="582"/>
      <c r="K56" s="582"/>
      <c r="L56" s="620"/>
      <c r="M56" s="620"/>
      <c r="N56" s="620"/>
      <c r="O56" s="607"/>
      <c r="P56" s="607"/>
    </row>
    <row r="57" spans="1:28" ht="15.75" thickBot="1">
      <c r="A57" s="626" t="s">
        <v>275</v>
      </c>
      <c r="B57" s="627">
        <f t="shared" ref="B57:I57" si="3">$B$53*P37</f>
        <v>129316.38655462184</v>
      </c>
      <c r="C57" s="627">
        <f t="shared" si="3"/>
        <v>220.08403361344531</v>
      </c>
      <c r="D57" s="627">
        <f t="shared" si="3"/>
        <v>0</v>
      </c>
      <c r="E57" s="627">
        <f t="shared" si="3"/>
        <v>0</v>
      </c>
      <c r="F57" s="627">
        <f t="shared" si="3"/>
        <v>0</v>
      </c>
      <c r="G57" s="627">
        <f t="shared" si="3"/>
        <v>0</v>
      </c>
      <c r="H57" s="627">
        <f t="shared" si="3"/>
        <v>0</v>
      </c>
      <c r="I57" s="628">
        <f t="shared" si="3"/>
        <v>0</v>
      </c>
      <c r="J57" s="582"/>
      <c r="K57" s="582"/>
      <c r="L57" s="620"/>
      <c r="M57" s="620"/>
      <c r="N57" s="620"/>
      <c r="O57" s="607"/>
      <c r="P57" s="607"/>
    </row>
    <row r="58" spans="1:28">
      <c r="J58" s="562"/>
      <c r="K58" s="562"/>
      <c r="L58" s="562"/>
      <c r="M58" s="562"/>
      <c r="N58" s="562"/>
    </row>
    <row r="59" spans="1:28">
      <c r="J59" s="562"/>
      <c r="K59" s="562"/>
      <c r="L59" s="562"/>
      <c r="M59" s="562"/>
      <c r="N59"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15530.060684700586</v>
      </c>
      <c r="D10" s="643">
        <f ca="1">tertiair!C16</f>
        <v>0</v>
      </c>
      <c r="E10" s="643">
        <f ca="1">tertiair!D16</f>
        <v>14516.322256436626</v>
      </c>
      <c r="F10" s="643">
        <f>tertiair!E16</f>
        <v>72.880902365383434</v>
      </c>
      <c r="G10" s="643">
        <f ca="1">tertiair!F16</f>
        <v>2858.6513664962549</v>
      </c>
      <c r="H10" s="643">
        <f>tertiair!G16</f>
        <v>0</v>
      </c>
      <c r="I10" s="643">
        <f>tertiair!H16</f>
        <v>0</v>
      </c>
      <c r="J10" s="643">
        <f>tertiair!I16</f>
        <v>0</v>
      </c>
      <c r="K10" s="643">
        <f>tertiair!J16</f>
        <v>1.8350042282968264E-2</v>
      </c>
      <c r="L10" s="643">
        <f>tertiair!K16</f>
        <v>0</v>
      </c>
      <c r="M10" s="643">
        <f ca="1">tertiair!L16</f>
        <v>0</v>
      </c>
      <c r="N10" s="643">
        <f>tertiair!M16</f>
        <v>0</v>
      </c>
      <c r="O10" s="643">
        <f ca="1">tertiair!N16</f>
        <v>719.60348429720068</v>
      </c>
      <c r="P10" s="643">
        <f>tertiair!O16</f>
        <v>19.589043063364617</v>
      </c>
      <c r="Q10" s="644">
        <f>tertiair!P16</f>
        <v>315.23482983897009</v>
      </c>
      <c r="R10" s="646">
        <f ca="1">SUM(C10:Q10)</f>
        <v>34032.36091724068</v>
      </c>
      <c r="S10" s="67"/>
    </row>
    <row r="11" spans="1:19" s="441" customFormat="1">
      <c r="A11" s="763" t="s">
        <v>214</v>
      </c>
      <c r="B11" s="768"/>
      <c r="C11" s="643">
        <f>huishoudens!B8</f>
        <v>38910.96339372333</v>
      </c>
      <c r="D11" s="643">
        <f>huishoudens!C8</f>
        <v>0</v>
      </c>
      <c r="E11" s="643">
        <f>huishoudens!D8</f>
        <v>80748.923514906375</v>
      </c>
      <c r="F11" s="643">
        <f>huishoudens!E8</f>
        <v>1978.6808250900426</v>
      </c>
      <c r="G11" s="643">
        <f>huishoudens!F8</f>
        <v>35844.069976472267</v>
      </c>
      <c r="H11" s="643">
        <f>huishoudens!G8</f>
        <v>0</v>
      </c>
      <c r="I11" s="643">
        <f>huishoudens!H8</f>
        <v>0</v>
      </c>
      <c r="J11" s="643">
        <f>huishoudens!I8</f>
        <v>0</v>
      </c>
      <c r="K11" s="643">
        <f>huishoudens!J8</f>
        <v>226.73162764716585</v>
      </c>
      <c r="L11" s="643">
        <f>huishoudens!K8</f>
        <v>0</v>
      </c>
      <c r="M11" s="643">
        <f>huishoudens!L8</f>
        <v>0</v>
      </c>
      <c r="N11" s="643">
        <f>huishoudens!M8</f>
        <v>0</v>
      </c>
      <c r="O11" s="643">
        <f>huishoudens!N8</f>
        <v>10661.337439790703</v>
      </c>
      <c r="P11" s="643">
        <f>huishoudens!O8</f>
        <v>448.37455758146922</v>
      </c>
      <c r="Q11" s="644">
        <f>huishoudens!P8</f>
        <v>2222.6654139215398</v>
      </c>
      <c r="R11" s="646">
        <f>SUM(C11:Q11)</f>
        <v>171041.74674913287</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5573.7472009125158</v>
      </c>
      <c r="D13" s="643">
        <f>industrie!C18</f>
        <v>0</v>
      </c>
      <c r="E13" s="643">
        <f>industrie!D18</f>
        <v>3226.3589783396005</v>
      </c>
      <c r="F13" s="643">
        <f>industrie!E18</f>
        <v>22.36575795712962</v>
      </c>
      <c r="G13" s="643">
        <f>industrie!F18</f>
        <v>2305.7968760200579</v>
      </c>
      <c r="H13" s="643">
        <f>industrie!G18</f>
        <v>0</v>
      </c>
      <c r="I13" s="643">
        <f>industrie!H18</f>
        <v>0</v>
      </c>
      <c r="J13" s="643">
        <f>industrie!I18</f>
        <v>0</v>
      </c>
      <c r="K13" s="643">
        <f>industrie!J18</f>
        <v>1.8073452042546476</v>
      </c>
      <c r="L13" s="643">
        <f>industrie!K18</f>
        <v>0</v>
      </c>
      <c r="M13" s="643">
        <f>industrie!L18</f>
        <v>0</v>
      </c>
      <c r="N13" s="643">
        <f>industrie!M18</f>
        <v>0</v>
      </c>
      <c r="O13" s="643">
        <f>industrie!N18</f>
        <v>190.23766883151896</v>
      </c>
      <c r="P13" s="643">
        <f>industrie!O18</f>
        <v>0</v>
      </c>
      <c r="Q13" s="644">
        <f>industrie!P18</f>
        <v>0</v>
      </c>
      <c r="R13" s="646">
        <f>SUM(C13:Q13)</f>
        <v>11320.313827265079</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60014.771279336434</v>
      </c>
      <c r="D16" s="679">
        <f t="shared" ref="D16:R16" ca="1" si="0">SUM(D9:D15)</f>
        <v>0</v>
      </c>
      <c r="E16" s="679">
        <f t="shared" ca="1" si="0"/>
        <v>98491.604749682607</v>
      </c>
      <c r="F16" s="679">
        <f t="shared" si="0"/>
        <v>2073.9274854125556</v>
      </c>
      <c r="G16" s="679">
        <f t="shared" ca="1" si="0"/>
        <v>41008.518218988582</v>
      </c>
      <c r="H16" s="679">
        <f t="shared" si="0"/>
        <v>0</v>
      </c>
      <c r="I16" s="679">
        <f t="shared" si="0"/>
        <v>0</v>
      </c>
      <c r="J16" s="679">
        <f t="shared" si="0"/>
        <v>0</v>
      </c>
      <c r="K16" s="679">
        <f t="shared" si="0"/>
        <v>228.55732289370349</v>
      </c>
      <c r="L16" s="679">
        <f t="shared" si="0"/>
        <v>0</v>
      </c>
      <c r="M16" s="679">
        <f t="shared" ca="1" si="0"/>
        <v>0</v>
      </c>
      <c r="N16" s="679">
        <f t="shared" si="0"/>
        <v>0</v>
      </c>
      <c r="O16" s="679">
        <f t="shared" ca="1" si="0"/>
        <v>11571.178592919423</v>
      </c>
      <c r="P16" s="679">
        <f t="shared" si="0"/>
        <v>467.96360064483383</v>
      </c>
      <c r="Q16" s="679">
        <f t="shared" si="0"/>
        <v>2537.90024376051</v>
      </c>
      <c r="R16" s="679">
        <f t="shared" ca="1" si="0"/>
        <v>216394.42149363863</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27.322195351869897</v>
      </c>
      <c r="D19" s="643">
        <f>transport!C54</f>
        <v>0</v>
      </c>
      <c r="E19" s="643">
        <f>transport!D54</f>
        <v>0</v>
      </c>
      <c r="F19" s="643">
        <f>transport!E54</f>
        <v>0</v>
      </c>
      <c r="G19" s="643">
        <f>transport!F54</f>
        <v>0</v>
      </c>
      <c r="H19" s="643">
        <f>transport!G54</f>
        <v>1710.4520566665446</v>
      </c>
      <c r="I19" s="643">
        <f>transport!H54</f>
        <v>0</v>
      </c>
      <c r="J19" s="643">
        <f>transport!I54</f>
        <v>0</v>
      </c>
      <c r="K19" s="643">
        <f>transport!J54</f>
        <v>0</v>
      </c>
      <c r="L19" s="643">
        <f>transport!K54</f>
        <v>0</v>
      </c>
      <c r="M19" s="643">
        <f>transport!L54</f>
        <v>0</v>
      </c>
      <c r="N19" s="643">
        <f>transport!M54</f>
        <v>98.210369754672072</v>
      </c>
      <c r="O19" s="643">
        <f>transport!N54</f>
        <v>0</v>
      </c>
      <c r="P19" s="643">
        <f>transport!O54</f>
        <v>0</v>
      </c>
      <c r="Q19" s="644">
        <f>transport!P54</f>
        <v>0</v>
      </c>
      <c r="R19" s="646">
        <f>SUM(C19:Q19)</f>
        <v>1835.9846217730865</v>
      </c>
      <c r="S19" s="67"/>
    </row>
    <row r="20" spans="1:19" s="441" customFormat="1">
      <c r="A20" s="763" t="s">
        <v>296</v>
      </c>
      <c r="B20" s="768"/>
      <c r="C20" s="643">
        <f>transport!B14</f>
        <v>470.04099257554202</v>
      </c>
      <c r="D20" s="643">
        <f>transport!C14</f>
        <v>0</v>
      </c>
      <c r="E20" s="643">
        <f>transport!D14</f>
        <v>624.18745074064293</v>
      </c>
      <c r="F20" s="643">
        <f>transport!E14</f>
        <v>272.44153016466333</v>
      </c>
      <c r="G20" s="643">
        <f>transport!F14</f>
        <v>0</v>
      </c>
      <c r="H20" s="643">
        <f>transport!G14</f>
        <v>162744.98720559166</v>
      </c>
      <c r="I20" s="643">
        <f>transport!H14</f>
        <v>34080.523828698664</v>
      </c>
      <c r="J20" s="643">
        <f>transport!I14</f>
        <v>0</v>
      </c>
      <c r="K20" s="643">
        <f>transport!J14</f>
        <v>0</v>
      </c>
      <c r="L20" s="643">
        <f>transport!K14</f>
        <v>0</v>
      </c>
      <c r="M20" s="643">
        <f>transport!L14</f>
        <v>0</v>
      </c>
      <c r="N20" s="643">
        <f>transport!M14</f>
        <v>11760.531641340644</v>
      </c>
      <c r="O20" s="643">
        <f>transport!N14</f>
        <v>0</v>
      </c>
      <c r="P20" s="643">
        <f>transport!O14</f>
        <v>0</v>
      </c>
      <c r="Q20" s="644">
        <f>transport!P14</f>
        <v>0</v>
      </c>
      <c r="R20" s="646">
        <f>SUM(C20:Q20)</f>
        <v>209952.71264911181</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497.3631879274119</v>
      </c>
      <c r="D22" s="766">
        <f t="shared" ref="D22:R22" si="1">SUM(D18:D21)</f>
        <v>0</v>
      </c>
      <c r="E22" s="766">
        <f t="shared" si="1"/>
        <v>624.18745074064293</v>
      </c>
      <c r="F22" s="766">
        <f t="shared" si="1"/>
        <v>272.44153016466333</v>
      </c>
      <c r="G22" s="766">
        <f t="shared" si="1"/>
        <v>0</v>
      </c>
      <c r="H22" s="766">
        <f t="shared" si="1"/>
        <v>164455.43926225821</v>
      </c>
      <c r="I22" s="766">
        <f t="shared" si="1"/>
        <v>34080.523828698664</v>
      </c>
      <c r="J22" s="766">
        <f t="shared" si="1"/>
        <v>0</v>
      </c>
      <c r="K22" s="766">
        <f t="shared" si="1"/>
        <v>0</v>
      </c>
      <c r="L22" s="766">
        <f t="shared" si="1"/>
        <v>0</v>
      </c>
      <c r="M22" s="766">
        <f t="shared" si="1"/>
        <v>0</v>
      </c>
      <c r="N22" s="766">
        <f t="shared" si="1"/>
        <v>11858.742011095315</v>
      </c>
      <c r="O22" s="766">
        <f t="shared" si="1"/>
        <v>0</v>
      </c>
      <c r="P22" s="766">
        <f t="shared" si="1"/>
        <v>0</v>
      </c>
      <c r="Q22" s="766">
        <f t="shared" si="1"/>
        <v>0</v>
      </c>
      <c r="R22" s="766">
        <f t="shared" si="1"/>
        <v>211788.69727088491</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12847.511246601</v>
      </c>
      <c r="D24" s="643">
        <f>+landbouw!C8</f>
        <v>110106</v>
      </c>
      <c r="E24" s="643">
        <f>+landbouw!D8</f>
        <v>0</v>
      </c>
      <c r="F24" s="643">
        <f>+landbouw!E8</f>
        <v>457.73105721345638</v>
      </c>
      <c r="G24" s="643">
        <f>+landbouw!F8</f>
        <v>43781.899339042371</v>
      </c>
      <c r="H24" s="643">
        <f>+landbouw!G8</f>
        <v>0</v>
      </c>
      <c r="I24" s="643">
        <f>+landbouw!H8</f>
        <v>0</v>
      </c>
      <c r="J24" s="643">
        <f>+landbouw!I8</f>
        <v>0</v>
      </c>
      <c r="K24" s="643">
        <f>+landbouw!J8</f>
        <v>3266.7186674262844</v>
      </c>
      <c r="L24" s="643">
        <f>+landbouw!K8</f>
        <v>0</v>
      </c>
      <c r="M24" s="643">
        <f>+landbouw!L8</f>
        <v>0</v>
      </c>
      <c r="N24" s="643">
        <f>+landbouw!M8</f>
        <v>0</v>
      </c>
      <c r="O24" s="643">
        <f>+landbouw!N8</f>
        <v>0</v>
      </c>
      <c r="P24" s="643">
        <f>+landbouw!O8</f>
        <v>0</v>
      </c>
      <c r="Q24" s="644">
        <f>+landbouw!P8</f>
        <v>0</v>
      </c>
      <c r="R24" s="646">
        <f>SUM(C24:Q24)</f>
        <v>170459.86031028311</v>
      </c>
      <c r="S24" s="67"/>
    </row>
    <row r="25" spans="1:19" s="441" customFormat="1" ht="15" thickBot="1">
      <c r="A25" s="785" t="s">
        <v>665</v>
      </c>
      <c r="B25" s="895"/>
      <c r="C25" s="896">
        <f>IF(Onbekend_ele_kWh="---",0,Onbekend_ele_kWh)/1000+IF(REST_rest_ele_kWh="---",0,REST_rest_ele_kWh)/1000</f>
        <v>1684.3933677370001</v>
      </c>
      <c r="D25" s="896"/>
      <c r="E25" s="896">
        <f>IF(onbekend_gas_kWh="---",0,onbekend_gas_kWh)/1000+IF(REST_rest_gas_kWh="---",0,REST_rest_gas_kWh)/1000</f>
        <v>2759.3660538434601</v>
      </c>
      <c r="F25" s="896"/>
      <c r="G25" s="896"/>
      <c r="H25" s="896"/>
      <c r="I25" s="896"/>
      <c r="J25" s="896"/>
      <c r="K25" s="896"/>
      <c r="L25" s="896"/>
      <c r="M25" s="896"/>
      <c r="N25" s="896"/>
      <c r="O25" s="896"/>
      <c r="P25" s="896"/>
      <c r="Q25" s="897"/>
      <c r="R25" s="646">
        <f>SUM(C25:Q25)</f>
        <v>4443.7594215804602</v>
      </c>
      <c r="S25" s="67"/>
    </row>
    <row r="26" spans="1:19" s="441" customFormat="1" ht="15.75" thickBot="1">
      <c r="A26" s="651" t="s">
        <v>666</v>
      </c>
      <c r="B26" s="771"/>
      <c r="C26" s="766">
        <f>SUM(C24:C25)</f>
        <v>14531.904614338</v>
      </c>
      <c r="D26" s="766">
        <f t="shared" ref="D26:R26" si="2">SUM(D24:D25)</f>
        <v>110106</v>
      </c>
      <c r="E26" s="766">
        <f t="shared" si="2"/>
        <v>2759.3660538434601</v>
      </c>
      <c r="F26" s="766">
        <f t="shared" si="2"/>
        <v>457.73105721345638</v>
      </c>
      <c r="G26" s="766">
        <f t="shared" si="2"/>
        <v>43781.899339042371</v>
      </c>
      <c r="H26" s="766">
        <f t="shared" si="2"/>
        <v>0</v>
      </c>
      <c r="I26" s="766">
        <f t="shared" si="2"/>
        <v>0</v>
      </c>
      <c r="J26" s="766">
        <f t="shared" si="2"/>
        <v>0</v>
      </c>
      <c r="K26" s="766">
        <f t="shared" si="2"/>
        <v>3266.7186674262844</v>
      </c>
      <c r="L26" s="766">
        <f t="shared" si="2"/>
        <v>0</v>
      </c>
      <c r="M26" s="766">
        <f t="shared" si="2"/>
        <v>0</v>
      </c>
      <c r="N26" s="766">
        <f t="shared" si="2"/>
        <v>0</v>
      </c>
      <c r="O26" s="766">
        <f t="shared" si="2"/>
        <v>0</v>
      </c>
      <c r="P26" s="766">
        <f t="shared" si="2"/>
        <v>0</v>
      </c>
      <c r="Q26" s="766">
        <f t="shared" si="2"/>
        <v>0</v>
      </c>
      <c r="R26" s="766">
        <f t="shared" si="2"/>
        <v>174903.61973186358</v>
      </c>
      <c r="S26" s="67"/>
    </row>
    <row r="27" spans="1:19" s="441" customFormat="1" ht="17.25" thickTop="1" thickBot="1">
      <c r="A27" s="652" t="s">
        <v>109</v>
      </c>
      <c r="B27" s="758"/>
      <c r="C27" s="653">
        <f ca="1">C22+C16+C26</f>
        <v>75044.039081601848</v>
      </c>
      <c r="D27" s="653">
        <f t="shared" ref="D27:R27" ca="1" si="3">D22+D16+D26</f>
        <v>110106</v>
      </c>
      <c r="E27" s="653">
        <f t="shared" ca="1" si="3"/>
        <v>101875.15825426672</v>
      </c>
      <c r="F27" s="653">
        <f t="shared" si="3"/>
        <v>2804.1000727906753</v>
      </c>
      <c r="G27" s="653">
        <f t="shared" ca="1" si="3"/>
        <v>84790.417558030953</v>
      </c>
      <c r="H27" s="653">
        <f t="shared" si="3"/>
        <v>164455.43926225821</v>
      </c>
      <c r="I27" s="653">
        <f t="shared" si="3"/>
        <v>34080.523828698664</v>
      </c>
      <c r="J27" s="653">
        <f t="shared" si="3"/>
        <v>0</v>
      </c>
      <c r="K27" s="653">
        <f t="shared" si="3"/>
        <v>3495.2759903199876</v>
      </c>
      <c r="L27" s="653">
        <f t="shared" si="3"/>
        <v>0</v>
      </c>
      <c r="M27" s="653">
        <f t="shared" ca="1" si="3"/>
        <v>0</v>
      </c>
      <c r="N27" s="653">
        <f t="shared" si="3"/>
        <v>11858.742011095315</v>
      </c>
      <c r="O27" s="653">
        <f t="shared" ca="1" si="3"/>
        <v>11571.178592919423</v>
      </c>
      <c r="P27" s="653">
        <f t="shared" si="3"/>
        <v>467.96360064483383</v>
      </c>
      <c r="Q27" s="653">
        <f t="shared" si="3"/>
        <v>2537.90024376051</v>
      </c>
      <c r="R27" s="653">
        <f t="shared" ca="1" si="3"/>
        <v>603086.73849638714</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1852.9489367214128</v>
      </c>
      <c r="D40" s="643">
        <f ca="1">tertiair!C20</f>
        <v>0</v>
      </c>
      <c r="E40" s="643">
        <f ca="1">tertiair!D20</f>
        <v>2932.2970958001988</v>
      </c>
      <c r="F40" s="643">
        <f>tertiair!E20</f>
        <v>16.543964836942042</v>
      </c>
      <c r="G40" s="643">
        <f ca="1">tertiair!F20</f>
        <v>763.25991485450015</v>
      </c>
      <c r="H40" s="643">
        <f>tertiair!G20</f>
        <v>0</v>
      </c>
      <c r="I40" s="643">
        <f>tertiair!H20</f>
        <v>0</v>
      </c>
      <c r="J40" s="643">
        <f>tertiair!I20</f>
        <v>0</v>
      </c>
      <c r="K40" s="643">
        <f>tertiair!J20</f>
        <v>6.4959149681707651E-3</v>
      </c>
      <c r="L40" s="643">
        <f>tertiair!K20</f>
        <v>0</v>
      </c>
      <c r="M40" s="643">
        <f ca="1">tertiair!L20</f>
        <v>0</v>
      </c>
      <c r="N40" s="643">
        <f>tertiair!M20</f>
        <v>0</v>
      </c>
      <c r="O40" s="643">
        <f ca="1">tertiair!N20</f>
        <v>0</v>
      </c>
      <c r="P40" s="643">
        <f>tertiair!O20</f>
        <v>0</v>
      </c>
      <c r="Q40" s="726">
        <f>tertiair!P20</f>
        <v>0</v>
      </c>
      <c r="R40" s="804">
        <f t="shared" ca="1" si="4"/>
        <v>5565.0564081280227</v>
      </c>
    </row>
    <row r="41" spans="1:18">
      <c r="A41" s="776" t="s">
        <v>214</v>
      </c>
      <c r="B41" s="783"/>
      <c r="C41" s="643">
        <f ca="1">huishoudens!B12</f>
        <v>4642.6108507247936</v>
      </c>
      <c r="D41" s="643">
        <f ca="1">huishoudens!C12</f>
        <v>0</v>
      </c>
      <c r="E41" s="643">
        <f>huishoudens!D12</f>
        <v>16311.282550011088</v>
      </c>
      <c r="F41" s="643">
        <f>huishoudens!E12</f>
        <v>449.1605472954397</v>
      </c>
      <c r="G41" s="643">
        <f>huishoudens!F12</f>
        <v>9570.3666837180954</v>
      </c>
      <c r="H41" s="643">
        <f>huishoudens!G12</f>
        <v>0</v>
      </c>
      <c r="I41" s="643">
        <f>huishoudens!H12</f>
        <v>0</v>
      </c>
      <c r="J41" s="643">
        <f>huishoudens!I12</f>
        <v>0</v>
      </c>
      <c r="K41" s="643">
        <f>huishoudens!J12</f>
        <v>80.262996187096704</v>
      </c>
      <c r="L41" s="643">
        <f>huishoudens!K12</f>
        <v>0</v>
      </c>
      <c r="M41" s="643">
        <f>huishoudens!L12</f>
        <v>0</v>
      </c>
      <c r="N41" s="643">
        <f>huishoudens!M12</f>
        <v>0</v>
      </c>
      <c r="O41" s="643">
        <f>huishoudens!N12</f>
        <v>0</v>
      </c>
      <c r="P41" s="643">
        <f>huishoudens!O12</f>
        <v>0</v>
      </c>
      <c r="Q41" s="726">
        <f>huishoudens!P12</f>
        <v>0</v>
      </c>
      <c r="R41" s="804">
        <f t="shared" ca="1" si="4"/>
        <v>31053.683627936512</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665.02437815064559</v>
      </c>
      <c r="D43" s="643">
        <f ca="1">industrie!C22</f>
        <v>0</v>
      </c>
      <c r="E43" s="643">
        <f>industrie!D22</f>
        <v>651.72451362459935</v>
      </c>
      <c r="F43" s="643">
        <f>industrie!E22</f>
        <v>5.0770270562684239</v>
      </c>
      <c r="G43" s="643">
        <f>industrie!F22</f>
        <v>615.6477658973555</v>
      </c>
      <c r="H43" s="643">
        <f>industrie!G22</f>
        <v>0</v>
      </c>
      <c r="I43" s="643">
        <f>industrie!H22</f>
        <v>0</v>
      </c>
      <c r="J43" s="643">
        <f>industrie!I22</f>
        <v>0</v>
      </c>
      <c r="K43" s="643">
        <f>industrie!J22</f>
        <v>0.6398002023061452</v>
      </c>
      <c r="L43" s="643">
        <f>industrie!K22</f>
        <v>0</v>
      </c>
      <c r="M43" s="643">
        <f>industrie!L22</f>
        <v>0</v>
      </c>
      <c r="N43" s="643">
        <f>industrie!M22</f>
        <v>0</v>
      </c>
      <c r="O43" s="643">
        <f>industrie!N22</f>
        <v>0</v>
      </c>
      <c r="P43" s="643">
        <f>industrie!O22</f>
        <v>0</v>
      </c>
      <c r="Q43" s="726">
        <f>industrie!P22</f>
        <v>0</v>
      </c>
      <c r="R43" s="803">
        <f t="shared" ca="1" si="4"/>
        <v>1938.1134849311748</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7160.5841655968525</v>
      </c>
      <c r="D46" s="679">
        <f t="shared" ref="D46:Q46" ca="1" si="5">SUM(D39:D45)</f>
        <v>0</v>
      </c>
      <c r="E46" s="679">
        <f t="shared" ca="1" si="5"/>
        <v>19895.304159435887</v>
      </c>
      <c r="F46" s="679">
        <f t="shared" si="5"/>
        <v>470.78153918865019</v>
      </c>
      <c r="G46" s="679">
        <f t="shared" ca="1" si="5"/>
        <v>10949.274364469951</v>
      </c>
      <c r="H46" s="679">
        <f t="shared" si="5"/>
        <v>0</v>
      </c>
      <c r="I46" s="679">
        <f t="shared" si="5"/>
        <v>0</v>
      </c>
      <c r="J46" s="679">
        <f t="shared" si="5"/>
        <v>0</v>
      </c>
      <c r="K46" s="679">
        <f t="shared" si="5"/>
        <v>80.909292304371021</v>
      </c>
      <c r="L46" s="679">
        <f t="shared" si="5"/>
        <v>0</v>
      </c>
      <c r="M46" s="679">
        <f t="shared" ca="1" si="5"/>
        <v>0</v>
      </c>
      <c r="N46" s="679">
        <f t="shared" si="5"/>
        <v>0</v>
      </c>
      <c r="O46" s="679">
        <f t="shared" ca="1" si="5"/>
        <v>0</v>
      </c>
      <c r="P46" s="679">
        <f t="shared" si="5"/>
        <v>0</v>
      </c>
      <c r="Q46" s="679">
        <f t="shared" si="5"/>
        <v>0</v>
      </c>
      <c r="R46" s="679">
        <f ca="1">SUM(R39:R45)</f>
        <v>38556.853520995704</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3.2599121055603342</v>
      </c>
      <c r="D49" s="643">
        <f ca="1">transport!C58</f>
        <v>0</v>
      </c>
      <c r="E49" s="643">
        <f>transport!D58</f>
        <v>0</v>
      </c>
      <c r="F49" s="643">
        <f>transport!E58</f>
        <v>0</v>
      </c>
      <c r="G49" s="643">
        <f>transport!F58</f>
        <v>0</v>
      </c>
      <c r="H49" s="643">
        <f>transport!G58</f>
        <v>456.69069912996747</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459.95061123552779</v>
      </c>
    </row>
    <row r="50" spans="1:18">
      <c r="A50" s="779" t="s">
        <v>296</v>
      </c>
      <c r="B50" s="789"/>
      <c r="C50" s="649">
        <f ca="1">transport!B18</f>
        <v>56.082328014748505</v>
      </c>
      <c r="D50" s="649">
        <f>transport!C18</f>
        <v>0</v>
      </c>
      <c r="E50" s="649">
        <f>transport!D18</f>
        <v>126.08586504960988</v>
      </c>
      <c r="F50" s="649">
        <f>transport!E18</f>
        <v>61.844227347378578</v>
      </c>
      <c r="G50" s="649">
        <f>transport!F18</f>
        <v>0</v>
      </c>
      <c r="H50" s="649">
        <f>transport!G18</f>
        <v>43452.911583892979</v>
      </c>
      <c r="I50" s="649">
        <f>transport!H18</f>
        <v>8486.0504333459667</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52182.974437650686</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59.342240120308837</v>
      </c>
      <c r="D52" s="679">
        <f t="shared" ref="D52:Q52" ca="1" si="6">SUM(D48:D51)</f>
        <v>0</v>
      </c>
      <c r="E52" s="679">
        <f t="shared" si="6"/>
        <v>126.08586504960988</v>
      </c>
      <c r="F52" s="679">
        <f t="shared" si="6"/>
        <v>61.844227347378578</v>
      </c>
      <c r="G52" s="679">
        <f t="shared" si="6"/>
        <v>0</v>
      </c>
      <c r="H52" s="679">
        <f t="shared" si="6"/>
        <v>43909.602283022949</v>
      </c>
      <c r="I52" s="679">
        <f t="shared" si="6"/>
        <v>8486.0504333459667</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52642.925048886216</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1532.8840490210023</v>
      </c>
      <c r="D54" s="649">
        <f ca="1">+landbouw!C12</f>
        <v>26121.910084033614</v>
      </c>
      <c r="E54" s="649">
        <f>+landbouw!D12</f>
        <v>0</v>
      </c>
      <c r="F54" s="649">
        <f>+landbouw!E12</f>
        <v>103.9049499874546</v>
      </c>
      <c r="G54" s="649">
        <f>+landbouw!F12</f>
        <v>11689.767123524314</v>
      </c>
      <c r="H54" s="649">
        <f>+landbouw!G12</f>
        <v>0</v>
      </c>
      <c r="I54" s="649">
        <f>+landbouw!H12</f>
        <v>0</v>
      </c>
      <c r="J54" s="649">
        <f>+landbouw!I12</f>
        <v>0</v>
      </c>
      <c r="K54" s="649">
        <f>+landbouw!J12</f>
        <v>1156.4184082689046</v>
      </c>
      <c r="L54" s="649">
        <f>+landbouw!K12</f>
        <v>0</v>
      </c>
      <c r="M54" s="649">
        <f>+landbouw!L12</f>
        <v>0</v>
      </c>
      <c r="N54" s="649">
        <f>+landbouw!M12</f>
        <v>0</v>
      </c>
      <c r="O54" s="649">
        <f>+landbouw!N12</f>
        <v>0</v>
      </c>
      <c r="P54" s="649">
        <f>+landbouw!O12</f>
        <v>0</v>
      </c>
      <c r="Q54" s="650">
        <f>+landbouw!P12</f>
        <v>0</v>
      </c>
      <c r="R54" s="678">
        <f ca="1">SUM(C54:Q54)</f>
        <v>40604.88461483529</v>
      </c>
    </row>
    <row r="55" spans="1:18" ht="15" thickBot="1">
      <c r="A55" s="779" t="s">
        <v>665</v>
      </c>
      <c r="B55" s="789"/>
      <c r="C55" s="649">
        <f ca="1">C25*'EF ele_warmte'!B12</f>
        <v>200.97119793251133</v>
      </c>
      <c r="D55" s="649"/>
      <c r="E55" s="649">
        <f>E25*EF_CO2_aardgas</f>
        <v>557.39194287637895</v>
      </c>
      <c r="F55" s="649"/>
      <c r="G55" s="649"/>
      <c r="H55" s="649"/>
      <c r="I55" s="649"/>
      <c r="J55" s="649"/>
      <c r="K55" s="649"/>
      <c r="L55" s="649"/>
      <c r="M55" s="649"/>
      <c r="N55" s="649"/>
      <c r="O55" s="649"/>
      <c r="P55" s="649"/>
      <c r="Q55" s="650"/>
      <c r="R55" s="678">
        <f ca="1">SUM(C55:Q55)</f>
        <v>758.36314080889031</v>
      </c>
    </row>
    <row r="56" spans="1:18" ht="15.75" thickBot="1">
      <c r="A56" s="777" t="s">
        <v>666</v>
      </c>
      <c r="B56" s="790"/>
      <c r="C56" s="679">
        <f ca="1">SUM(C54:C55)</f>
        <v>1733.8552469535136</v>
      </c>
      <c r="D56" s="679">
        <f t="shared" ref="D56:Q56" ca="1" si="7">SUM(D54:D55)</f>
        <v>26121.910084033614</v>
      </c>
      <c r="E56" s="679">
        <f t="shared" si="7"/>
        <v>557.39194287637895</v>
      </c>
      <c r="F56" s="679">
        <f t="shared" si="7"/>
        <v>103.9049499874546</v>
      </c>
      <c r="G56" s="679">
        <f t="shared" si="7"/>
        <v>11689.767123524314</v>
      </c>
      <c r="H56" s="679">
        <f t="shared" si="7"/>
        <v>0</v>
      </c>
      <c r="I56" s="679">
        <f t="shared" si="7"/>
        <v>0</v>
      </c>
      <c r="J56" s="679">
        <f t="shared" si="7"/>
        <v>0</v>
      </c>
      <c r="K56" s="679">
        <f t="shared" si="7"/>
        <v>1156.4184082689046</v>
      </c>
      <c r="L56" s="679">
        <f t="shared" si="7"/>
        <v>0</v>
      </c>
      <c r="M56" s="679">
        <f t="shared" si="7"/>
        <v>0</v>
      </c>
      <c r="N56" s="679">
        <f t="shared" si="7"/>
        <v>0</v>
      </c>
      <c r="O56" s="679">
        <f t="shared" si="7"/>
        <v>0</v>
      </c>
      <c r="P56" s="679">
        <f t="shared" si="7"/>
        <v>0</v>
      </c>
      <c r="Q56" s="680">
        <f t="shared" si="7"/>
        <v>0</v>
      </c>
      <c r="R56" s="681">
        <f ca="1">SUM(R54:R55)</f>
        <v>41363.247755644181</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8953.7816526706756</v>
      </c>
      <c r="D61" s="687">
        <f t="shared" ref="D61:Q61" ca="1" si="8">D46+D52+D56</f>
        <v>26121.910084033614</v>
      </c>
      <c r="E61" s="687">
        <f t="shared" ca="1" si="8"/>
        <v>20578.781967361876</v>
      </c>
      <c r="F61" s="687">
        <f t="shared" si="8"/>
        <v>636.53071652348342</v>
      </c>
      <c r="G61" s="687">
        <f t="shared" ca="1" si="8"/>
        <v>22639.041487994265</v>
      </c>
      <c r="H61" s="687">
        <f t="shared" si="8"/>
        <v>43909.602283022949</v>
      </c>
      <c r="I61" s="687">
        <f t="shared" si="8"/>
        <v>8486.0504333459667</v>
      </c>
      <c r="J61" s="687">
        <f t="shared" si="8"/>
        <v>0</v>
      </c>
      <c r="K61" s="687">
        <f t="shared" si="8"/>
        <v>1237.3277005732757</v>
      </c>
      <c r="L61" s="687">
        <f t="shared" si="8"/>
        <v>0</v>
      </c>
      <c r="M61" s="687">
        <f t="shared" ca="1" si="8"/>
        <v>0</v>
      </c>
      <c r="N61" s="687">
        <f t="shared" si="8"/>
        <v>0</v>
      </c>
      <c r="O61" s="687">
        <f t="shared" ca="1" si="8"/>
        <v>0</v>
      </c>
      <c r="P61" s="687">
        <f t="shared" si="8"/>
        <v>0</v>
      </c>
      <c r="Q61" s="687">
        <f t="shared" si="8"/>
        <v>0</v>
      </c>
      <c r="R61" s="687">
        <f ca="1">R46+R52+R56</f>
        <v>132563.02632552609</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0.1193136958277853</v>
      </c>
      <c r="D63" s="733">
        <f t="shared" ca="1" si="9"/>
        <v>0.23724329359011875</v>
      </c>
      <c r="E63" s="921">
        <f t="shared" ca="1" si="9"/>
        <v>0.20199999999999999</v>
      </c>
      <c r="F63" s="733">
        <f t="shared" si="9"/>
        <v>0.22700000000000004</v>
      </c>
      <c r="G63" s="733">
        <f t="shared" ca="1" si="9"/>
        <v>0.26700000000000002</v>
      </c>
      <c r="H63" s="733">
        <f t="shared" si="9"/>
        <v>0.26700000000000002</v>
      </c>
      <c r="I63" s="733">
        <f t="shared" si="9"/>
        <v>0.24899999999999997</v>
      </c>
      <c r="J63" s="733">
        <f t="shared" si="9"/>
        <v>0</v>
      </c>
      <c r="K63" s="733">
        <f t="shared" si="9"/>
        <v>0.35400000000000004</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64244.236649950166</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11935.8643920373</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130.94999999999999</v>
      </c>
      <c r="C76" s="700">
        <f>'lokale energieproductie'!B8*IFERROR(SUM(D76:H76)/SUM(D76:O76),0)</f>
        <v>76943.250000000015</v>
      </c>
      <c r="D76" s="904">
        <f>'lokale energieproductie'!C8</f>
        <v>90521.470588235316</v>
      </c>
      <c r="E76" s="905">
        <f>'lokale energieproductie'!D8</f>
        <v>0</v>
      </c>
      <c r="F76" s="905">
        <f>'lokale energieproductie'!E8</f>
        <v>0</v>
      </c>
      <c r="G76" s="905">
        <f>'lokale energieproductie'!F8</f>
        <v>0</v>
      </c>
      <c r="H76" s="905">
        <f>'lokale energieproductie'!G8</f>
        <v>0</v>
      </c>
      <c r="I76" s="905">
        <f>'lokale energieproductie'!I8</f>
        <v>0</v>
      </c>
      <c r="J76" s="905">
        <f>'lokale energieproductie'!J8</f>
        <v>154.05882352941177</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18285.337058823534</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76311.051041987463</v>
      </c>
      <c r="C78" s="705">
        <f>SUM(C72:C77)</f>
        <v>76943.250000000015</v>
      </c>
      <c r="D78" s="706">
        <f t="shared" ref="D78:H78" si="10">SUM(D76:D77)</f>
        <v>90521.470588235316</v>
      </c>
      <c r="E78" s="706">
        <f t="shared" si="10"/>
        <v>0</v>
      </c>
      <c r="F78" s="706">
        <f t="shared" si="10"/>
        <v>0</v>
      </c>
      <c r="G78" s="706">
        <f t="shared" si="10"/>
        <v>0</v>
      </c>
      <c r="H78" s="706">
        <f t="shared" si="10"/>
        <v>0</v>
      </c>
      <c r="I78" s="706">
        <f>SUM(I76:I77)</f>
        <v>0</v>
      </c>
      <c r="J78" s="706">
        <f>SUM(J76:J77)</f>
        <v>154.05882352941177</v>
      </c>
      <c r="K78" s="706">
        <f t="shared" ref="K78:L78" si="11">SUM(K76:K77)</f>
        <v>0</v>
      </c>
      <c r="L78" s="706">
        <f t="shared" si="11"/>
        <v>0</v>
      </c>
      <c r="M78" s="706">
        <f>SUM(M76:M77)</f>
        <v>0</v>
      </c>
      <c r="N78" s="706">
        <f>SUM(N76:N77)</f>
        <v>0</v>
      </c>
      <c r="O78" s="814">
        <f>SUM(O76:O77)</f>
        <v>0</v>
      </c>
      <c r="P78" s="707">
        <v>0</v>
      </c>
      <c r="Q78" s="707">
        <f>SUM(Q76:Q77)</f>
        <v>18285.337058823534</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187.07142857142853</v>
      </c>
      <c r="C87" s="718">
        <f>'lokale energieproductie'!B17*IFERROR(SUM(D87:H87)/SUM(D87:O87),0)</f>
        <v>109918.92857142858</v>
      </c>
      <c r="D87" s="729">
        <f>'lokale energieproductie'!C17</f>
        <v>129316.38655462184</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220.08403361344531</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26121.910084033614</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187.07142857142853</v>
      </c>
      <c r="C90" s="705">
        <f>SUM(C87:C89)</f>
        <v>109918.92857142858</v>
      </c>
      <c r="D90" s="705">
        <f t="shared" ref="D90:H90" si="12">SUM(D87:D89)</f>
        <v>129316.38655462184</v>
      </c>
      <c r="E90" s="705">
        <f t="shared" si="12"/>
        <v>0</v>
      </c>
      <c r="F90" s="705">
        <f t="shared" si="12"/>
        <v>0</v>
      </c>
      <c r="G90" s="705">
        <f t="shared" si="12"/>
        <v>0</v>
      </c>
      <c r="H90" s="705">
        <f t="shared" si="12"/>
        <v>0</v>
      </c>
      <c r="I90" s="705">
        <f>SUM(I87:I89)</f>
        <v>0</v>
      </c>
      <c r="J90" s="705">
        <f>SUM(J87:J89)</f>
        <v>220.08403361344531</v>
      </c>
      <c r="K90" s="705">
        <f t="shared" ref="K90:L90" si="13">SUM(K87:K89)</f>
        <v>0</v>
      </c>
      <c r="L90" s="705">
        <f t="shared" si="13"/>
        <v>0</v>
      </c>
      <c r="M90" s="705">
        <f>SUM(M87:M89)</f>
        <v>0</v>
      </c>
      <c r="N90" s="705">
        <f>SUM(N87:N89)</f>
        <v>0</v>
      </c>
      <c r="O90" s="705">
        <f>SUM(O87:O89)</f>
        <v>0</v>
      </c>
      <c r="P90" s="705">
        <v>0</v>
      </c>
      <c r="Q90" s="705">
        <f>SUM(Q87:Q89)</f>
        <v>26121.910084033614</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38910.96339372333</v>
      </c>
      <c r="C4" s="445">
        <f>huishoudens!C8</f>
        <v>0</v>
      </c>
      <c r="D4" s="445">
        <f>huishoudens!D8</f>
        <v>80748.923514906375</v>
      </c>
      <c r="E4" s="445">
        <f>huishoudens!E8</f>
        <v>1978.6808250900426</v>
      </c>
      <c r="F4" s="445">
        <f>huishoudens!F8</f>
        <v>35844.069976472267</v>
      </c>
      <c r="G4" s="445">
        <f>huishoudens!G8</f>
        <v>0</v>
      </c>
      <c r="H4" s="445">
        <f>huishoudens!H8</f>
        <v>0</v>
      </c>
      <c r="I4" s="445">
        <f>huishoudens!I8</f>
        <v>0</v>
      </c>
      <c r="J4" s="445">
        <f>huishoudens!J8</f>
        <v>226.73162764716585</v>
      </c>
      <c r="K4" s="445">
        <f>huishoudens!K8</f>
        <v>0</v>
      </c>
      <c r="L4" s="445">
        <f>huishoudens!L8</f>
        <v>0</v>
      </c>
      <c r="M4" s="445">
        <f>huishoudens!M8</f>
        <v>0</v>
      </c>
      <c r="N4" s="445">
        <f>huishoudens!N8</f>
        <v>10661.337439790703</v>
      </c>
      <c r="O4" s="445">
        <f>huishoudens!O8</f>
        <v>448.37455758146922</v>
      </c>
      <c r="P4" s="446">
        <f>huishoudens!P8</f>
        <v>2222.6654139215398</v>
      </c>
      <c r="Q4" s="447">
        <f>SUM(B4:P4)</f>
        <v>171041.74674913287</v>
      </c>
    </row>
    <row r="5" spans="1:17">
      <c r="A5" s="444" t="s">
        <v>149</v>
      </c>
      <c r="B5" s="445">
        <f ca="1">tertiair!B16</f>
        <v>14591.910684700586</v>
      </c>
      <c r="C5" s="445">
        <f ca="1">tertiair!C16</f>
        <v>0</v>
      </c>
      <c r="D5" s="445">
        <f ca="1">tertiair!D16</f>
        <v>14516.322256436626</v>
      </c>
      <c r="E5" s="445">
        <f>tertiair!E16</f>
        <v>72.880902365383434</v>
      </c>
      <c r="F5" s="445">
        <f ca="1">tertiair!F16</f>
        <v>2858.6513664962549</v>
      </c>
      <c r="G5" s="445">
        <f>tertiair!G16</f>
        <v>0</v>
      </c>
      <c r="H5" s="445">
        <f>tertiair!H16</f>
        <v>0</v>
      </c>
      <c r="I5" s="445">
        <f>tertiair!I16</f>
        <v>0</v>
      </c>
      <c r="J5" s="445">
        <f>tertiair!J16</f>
        <v>1.8350042282968264E-2</v>
      </c>
      <c r="K5" s="445">
        <f>tertiair!K16</f>
        <v>0</v>
      </c>
      <c r="L5" s="445">
        <f ca="1">tertiair!L16</f>
        <v>0</v>
      </c>
      <c r="M5" s="445">
        <f>tertiair!M16</f>
        <v>0</v>
      </c>
      <c r="N5" s="445">
        <f ca="1">tertiair!N16</f>
        <v>719.60348429720068</v>
      </c>
      <c r="O5" s="445">
        <f>tertiair!O16</f>
        <v>19.589043063364617</v>
      </c>
      <c r="P5" s="446">
        <f>tertiair!P16</f>
        <v>315.23482983897009</v>
      </c>
      <c r="Q5" s="444">
        <f t="shared" ref="Q5:Q14" ca="1" si="0">SUM(B5:P5)</f>
        <v>33094.210917240671</v>
      </c>
    </row>
    <row r="6" spans="1:17">
      <c r="A6" s="444" t="s">
        <v>187</v>
      </c>
      <c r="B6" s="445">
        <f>'openbare verlichting'!B8</f>
        <v>938.15</v>
      </c>
      <c r="C6" s="445"/>
      <c r="D6" s="445"/>
      <c r="E6" s="445"/>
      <c r="F6" s="445"/>
      <c r="G6" s="445"/>
      <c r="H6" s="445"/>
      <c r="I6" s="445"/>
      <c r="J6" s="445"/>
      <c r="K6" s="445"/>
      <c r="L6" s="445"/>
      <c r="M6" s="445"/>
      <c r="N6" s="445"/>
      <c r="O6" s="445"/>
      <c r="P6" s="446"/>
      <c r="Q6" s="444">
        <f t="shared" si="0"/>
        <v>938.15</v>
      </c>
    </row>
    <row r="7" spans="1:17">
      <c r="A7" s="444" t="s">
        <v>105</v>
      </c>
      <c r="B7" s="445">
        <f>landbouw!B8</f>
        <v>12847.511246601</v>
      </c>
      <c r="C7" s="445">
        <f>landbouw!C8</f>
        <v>110106</v>
      </c>
      <c r="D7" s="445">
        <f>landbouw!D8</f>
        <v>0</v>
      </c>
      <c r="E7" s="445">
        <f>landbouw!E8</f>
        <v>457.73105721345638</v>
      </c>
      <c r="F7" s="445">
        <f>landbouw!F8</f>
        <v>43781.899339042371</v>
      </c>
      <c r="G7" s="445">
        <f>landbouw!G8</f>
        <v>0</v>
      </c>
      <c r="H7" s="445">
        <f>landbouw!H8</f>
        <v>0</v>
      </c>
      <c r="I7" s="445">
        <f>landbouw!I8</f>
        <v>0</v>
      </c>
      <c r="J7" s="445">
        <f>landbouw!J8</f>
        <v>3266.7186674262844</v>
      </c>
      <c r="K7" s="445">
        <f>landbouw!K8</f>
        <v>0</v>
      </c>
      <c r="L7" s="445">
        <f>landbouw!L8</f>
        <v>0</v>
      </c>
      <c r="M7" s="445">
        <f>landbouw!M8</f>
        <v>0</v>
      </c>
      <c r="N7" s="445">
        <f>landbouw!N8</f>
        <v>0</v>
      </c>
      <c r="O7" s="445">
        <f>landbouw!O8</f>
        <v>0</v>
      </c>
      <c r="P7" s="446">
        <f>landbouw!P8</f>
        <v>0</v>
      </c>
      <c r="Q7" s="444">
        <f t="shared" si="0"/>
        <v>170459.86031028311</v>
      </c>
    </row>
    <row r="8" spans="1:17">
      <c r="A8" s="444" t="s">
        <v>586</v>
      </c>
      <c r="B8" s="445">
        <f>industrie!B18</f>
        <v>5573.7472009125158</v>
      </c>
      <c r="C8" s="445">
        <f>industrie!C18</f>
        <v>0</v>
      </c>
      <c r="D8" s="445">
        <f>industrie!D18</f>
        <v>3226.3589783396005</v>
      </c>
      <c r="E8" s="445">
        <f>industrie!E18</f>
        <v>22.36575795712962</v>
      </c>
      <c r="F8" s="445">
        <f>industrie!F18</f>
        <v>2305.7968760200579</v>
      </c>
      <c r="G8" s="445">
        <f>industrie!G18</f>
        <v>0</v>
      </c>
      <c r="H8" s="445">
        <f>industrie!H18</f>
        <v>0</v>
      </c>
      <c r="I8" s="445">
        <f>industrie!I18</f>
        <v>0</v>
      </c>
      <c r="J8" s="445">
        <f>industrie!J18</f>
        <v>1.8073452042546476</v>
      </c>
      <c r="K8" s="445">
        <f>industrie!K18</f>
        <v>0</v>
      </c>
      <c r="L8" s="445">
        <f>industrie!L18</f>
        <v>0</v>
      </c>
      <c r="M8" s="445">
        <f>industrie!M18</f>
        <v>0</v>
      </c>
      <c r="N8" s="445">
        <f>industrie!N18</f>
        <v>190.23766883151896</v>
      </c>
      <c r="O8" s="445">
        <f>industrie!O18</f>
        <v>0</v>
      </c>
      <c r="P8" s="446">
        <f>industrie!P18</f>
        <v>0</v>
      </c>
      <c r="Q8" s="444">
        <f t="shared" si="0"/>
        <v>11320.313827265079</v>
      </c>
    </row>
    <row r="9" spans="1:17" s="450" customFormat="1">
      <c r="A9" s="448" t="s">
        <v>535</v>
      </c>
      <c r="B9" s="449">
        <f>transport!B14</f>
        <v>470.04099257554202</v>
      </c>
      <c r="C9" s="449">
        <f>transport!C14</f>
        <v>0</v>
      </c>
      <c r="D9" s="449">
        <f>transport!D14</f>
        <v>624.18745074064293</v>
      </c>
      <c r="E9" s="449">
        <f>transport!E14</f>
        <v>272.44153016466333</v>
      </c>
      <c r="F9" s="449">
        <f>transport!F14</f>
        <v>0</v>
      </c>
      <c r="G9" s="449">
        <f>transport!G14</f>
        <v>162744.98720559166</v>
      </c>
      <c r="H9" s="449">
        <f>transport!H14</f>
        <v>34080.523828698664</v>
      </c>
      <c r="I9" s="449">
        <f>transport!I14</f>
        <v>0</v>
      </c>
      <c r="J9" s="449">
        <f>transport!J14</f>
        <v>0</v>
      </c>
      <c r="K9" s="449">
        <f>transport!K14</f>
        <v>0</v>
      </c>
      <c r="L9" s="449">
        <f>transport!L14</f>
        <v>0</v>
      </c>
      <c r="M9" s="449">
        <f>transport!M14</f>
        <v>11760.531641340644</v>
      </c>
      <c r="N9" s="449">
        <f>transport!N14</f>
        <v>0</v>
      </c>
      <c r="O9" s="449">
        <f>transport!O14</f>
        <v>0</v>
      </c>
      <c r="P9" s="449">
        <f>transport!P14</f>
        <v>0</v>
      </c>
      <c r="Q9" s="448">
        <f>SUM(B9:P9)</f>
        <v>209952.71264911181</v>
      </c>
    </row>
    <row r="10" spans="1:17">
      <c r="A10" s="444" t="s">
        <v>525</v>
      </c>
      <c r="B10" s="445">
        <f>transport!B54</f>
        <v>27.322195351869897</v>
      </c>
      <c r="C10" s="445">
        <f>transport!C54</f>
        <v>0</v>
      </c>
      <c r="D10" s="445">
        <f>transport!D54</f>
        <v>0</v>
      </c>
      <c r="E10" s="445">
        <f>transport!E54</f>
        <v>0</v>
      </c>
      <c r="F10" s="445">
        <f>transport!F54</f>
        <v>0</v>
      </c>
      <c r="G10" s="445">
        <f>transport!G54</f>
        <v>1710.4520566665446</v>
      </c>
      <c r="H10" s="445">
        <f>transport!H54</f>
        <v>0</v>
      </c>
      <c r="I10" s="445">
        <f>transport!I54</f>
        <v>0</v>
      </c>
      <c r="J10" s="445">
        <f>transport!J54</f>
        <v>0</v>
      </c>
      <c r="K10" s="445">
        <f>transport!K54</f>
        <v>0</v>
      </c>
      <c r="L10" s="445">
        <f>transport!L54</f>
        <v>0</v>
      </c>
      <c r="M10" s="445">
        <f>transport!M54</f>
        <v>98.210369754672072</v>
      </c>
      <c r="N10" s="445">
        <f>transport!N54</f>
        <v>0</v>
      </c>
      <c r="O10" s="445">
        <f>transport!O54</f>
        <v>0</v>
      </c>
      <c r="P10" s="446">
        <f>transport!P54</f>
        <v>0</v>
      </c>
      <c r="Q10" s="444">
        <f t="shared" si="0"/>
        <v>1835.9846217730865</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1684.3933677370001</v>
      </c>
      <c r="C14" s="452"/>
      <c r="D14" s="452">
        <f>'SEAP template'!E25</f>
        <v>2759.3660538434601</v>
      </c>
      <c r="E14" s="452"/>
      <c r="F14" s="452"/>
      <c r="G14" s="452"/>
      <c r="H14" s="452"/>
      <c r="I14" s="452"/>
      <c r="J14" s="452"/>
      <c r="K14" s="452"/>
      <c r="L14" s="452"/>
      <c r="M14" s="452"/>
      <c r="N14" s="452"/>
      <c r="O14" s="452"/>
      <c r="P14" s="453"/>
      <c r="Q14" s="444">
        <f t="shared" si="0"/>
        <v>4443.7594215804602</v>
      </c>
    </row>
    <row r="15" spans="1:17" s="456" customFormat="1">
      <c r="A15" s="454" t="s">
        <v>529</v>
      </c>
      <c r="B15" s="455">
        <f ca="1">SUM(B4:B14)</f>
        <v>75044.039081601833</v>
      </c>
      <c r="C15" s="455">
        <f t="shared" ref="C15:Q15" ca="1" si="1">SUM(C4:C14)</f>
        <v>110106</v>
      </c>
      <c r="D15" s="455">
        <f t="shared" ca="1" si="1"/>
        <v>101875.15825426672</v>
      </c>
      <c r="E15" s="455">
        <f t="shared" si="1"/>
        <v>2804.1000727906753</v>
      </c>
      <c r="F15" s="455">
        <f t="shared" ca="1" si="1"/>
        <v>84790.417558030953</v>
      </c>
      <c r="G15" s="455">
        <f t="shared" si="1"/>
        <v>164455.43926225821</v>
      </c>
      <c r="H15" s="455">
        <f t="shared" si="1"/>
        <v>34080.523828698664</v>
      </c>
      <c r="I15" s="455">
        <f t="shared" si="1"/>
        <v>0</v>
      </c>
      <c r="J15" s="455">
        <f t="shared" si="1"/>
        <v>3495.2759903199876</v>
      </c>
      <c r="K15" s="455">
        <f t="shared" si="1"/>
        <v>0</v>
      </c>
      <c r="L15" s="455">
        <f t="shared" ca="1" si="1"/>
        <v>0</v>
      </c>
      <c r="M15" s="455">
        <f t="shared" si="1"/>
        <v>11858.742011095315</v>
      </c>
      <c r="N15" s="455">
        <f t="shared" ca="1" si="1"/>
        <v>11571.178592919423</v>
      </c>
      <c r="O15" s="455">
        <f t="shared" si="1"/>
        <v>467.96360064483383</v>
      </c>
      <c r="P15" s="455">
        <f t="shared" si="1"/>
        <v>2537.90024376051</v>
      </c>
      <c r="Q15" s="455">
        <f t="shared" ca="1" si="1"/>
        <v>603086.73849638703</v>
      </c>
    </row>
    <row r="17" spans="1:17">
      <c r="A17" s="457" t="s">
        <v>530</v>
      </c>
      <c r="B17" s="738">
        <f ca="1">huishoudens!B10</f>
        <v>0.1193136958277853</v>
      </c>
      <c r="C17" s="738">
        <f ca="1">huishoudens!C10</f>
        <v>0.23724329359011875</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4642.6108507247936</v>
      </c>
      <c r="C22" s="445">
        <f t="shared" ref="C22:C32" ca="1" si="3">C4*$C$17</f>
        <v>0</v>
      </c>
      <c r="D22" s="445">
        <f t="shared" ref="D22:D32" si="4">D4*$D$17</f>
        <v>16311.282550011088</v>
      </c>
      <c r="E22" s="445">
        <f t="shared" ref="E22:E32" si="5">E4*$E$17</f>
        <v>449.1605472954397</v>
      </c>
      <c r="F22" s="445">
        <f t="shared" ref="F22:F32" si="6">F4*$F$17</f>
        <v>9570.3666837180954</v>
      </c>
      <c r="G22" s="445">
        <f t="shared" ref="G22:G32" si="7">G4*$G$17</f>
        <v>0</v>
      </c>
      <c r="H22" s="445">
        <f t="shared" ref="H22:H32" si="8">H4*$H$17</f>
        <v>0</v>
      </c>
      <c r="I22" s="445">
        <f t="shared" ref="I22:I32" si="9">I4*$I$17</f>
        <v>0</v>
      </c>
      <c r="J22" s="445">
        <f t="shared" ref="J22:J32" si="10">J4*$J$17</f>
        <v>80.262996187096704</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31053.683627936512</v>
      </c>
    </row>
    <row r="23" spans="1:17">
      <c r="A23" s="444" t="s">
        <v>149</v>
      </c>
      <c r="B23" s="445">
        <f t="shared" ca="1" si="2"/>
        <v>1741.014792980576</v>
      </c>
      <c r="C23" s="445">
        <f t="shared" ca="1" si="3"/>
        <v>0</v>
      </c>
      <c r="D23" s="445">
        <f t="shared" ca="1" si="4"/>
        <v>2932.2970958001988</v>
      </c>
      <c r="E23" s="445">
        <f t="shared" si="5"/>
        <v>16.543964836942042</v>
      </c>
      <c r="F23" s="445">
        <f t="shared" ca="1" si="6"/>
        <v>763.25991485450015</v>
      </c>
      <c r="G23" s="445">
        <f t="shared" si="7"/>
        <v>0</v>
      </c>
      <c r="H23" s="445">
        <f t="shared" si="8"/>
        <v>0</v>
      </c>
      <c r="I23" s="445">
        <f t="shared" si="9"/>
        <v>0</v>
      </c>
      <c r="J23" s="445">
        <f t="shared" si="10"/>
        <v>6.4959149681707651E-3</v>
      </c>
      <c r="K23" s="445">
        <f t="shared" si="11"/>
        <v>0</v>
      </c>
      <c r="L23" s="445">
        <f t="shared" ca="1" si="12"/>
        <v>0</v>
      </c>
      <c r="M23" s="445">
        <f t="shared" si="13"/>
        <v>0</v>
      </c>
      <c r="N23" s="445">
        <f t="shared" ca="1" si="14"/>
        <v>0</v>
      </c>
      <c r="O23" s="445">
        <f t="shared" si="15"/>
        <v>0</v>
      </c>
      <c r="P23" s="446">
        <f t="shared" si="16"/>
        <v>0</v>
      </c>
      <c r="Q23" s="444">
        <f t="shared" ref="Q23:Q31" ca="1" si="17">SUM(B23:P23)</f>
        <v>5453.1222643871861</v>
      </c>
    </row>
    <row r="24" spans="1:17">
      <c r="A24" s="444" t="s">
        <v>187</v>
      </c>
      <c r="B24" s="445">
        <f t="shared" ca="1" si="2"/>
        <v>111.93414374083677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111.93414374083677</v>
      </c>
    </row>
    <row r="25" spans="1:17">
      <c r="A25" s="444" t="s">
        <v>105</v>
      </c>
      <c r="B25" s="445">
        <f t="shared" ca="1" si="2"/>
        <v>1532.8840490210023</v>
      </c>
      <c r="C25" s="445">
        <f t="shared" ca="1" si="3"/>
        <v>26121.910084033614</v>
      </c>
      <c r="D25" s="445">
        <f t="shared" si="4"/>
        <v>0</v>
      </c>
      <c r="E25" s="445">
        <f t="shared" si="5"/>
        <v>103.9049499874546</v>
      </c>
      <c r="F25" s="445">
        <f t="shared" si="6"/>
        <v>11689.767123524314</v>
      </c>
      <c r="G25" s="445">
        <f t="shared" si="7"/>
        <v>0</v>
      </c>
      <c r="H25" s="445">
        <f t="shared" si="8"/>
        <v>0</v>
      </c>
      <c r="I25" s="445">
        <f t="shared" si="9"/>
        <v>0</v>
      </c>
      <c r="J25" s="445">
        <f t="shared" si="10"/>
        <v>1156.4184082689046</v>
      </c>
      <c r="K25" s="445">
        <f t="shared" si="11"/>
        <v>0</v>
      </c>
      <c r="L25" s="445">
        <f t="shared" si="12"/>
        <v>0</v>
      </c>
      <c r="M25" s="445">
        <f t="shared" si="13"/>
        <v>0</v>
      </c>
      <c r="N25" s="445">
        <f t="shared" si="14"/>
        <v>0</v>
      </c>
      <c r="O25" s="445">
        <f t="shared" si="15"/>
        <v>0</v>
      </c>
      <c r="P25" s="446">
        <f t="shared" si="16"/>
        <v>0</v>
      </c>
      <c r="Q25" s="444">
        <f t="shared" ca="1" si="17"/>
        <v>40604.88461483529</v>
      </c>
    </row>
    <row r="26" spans="1:17">
      <c r="A26" s="444" t="s">
        <v>586</v>
      </c>
      <c r="B26" s="445">
        <f t="shared" ca="1" si="2"/>
        <v>665.02437815064559</v>
      </c>
      <c r="C26" s="445">
        <f t="shared" ca="1" si="3"/>
        <v>0</v>
      </c>
      <c r="D26" s="445">
        <f t="shared" si="4"/>
        <v>651.72451362459935</v>
      </c>
      <c r="E26" s="445">
        <f t="shared" si="5"/>
        <v>5.0770270562684239</v>
      </c>
      <c r="F26" s="445">
        <f t="shared" si="6"/>
        <v>615.6477658973555</v>
      </c>
      <c r="G26" s="445">
        <f t="shared" si="7"/>
        <v>0</v>
      </c>
      <c r="H26" s="445">
        <f t="shared" si="8"/>
        <v>0</v>
      </c>
      <c r="I26" s="445">
        <f t="shared" si="9"/>
        <v>0</v>
      </c>
      <c r="J26" s="445">
        <f t="shared" si="10"/>
        <v>0.6398002023061452</v>
      </c>
      <c r="K26" s="445">
        <f t="shared" si="11"/>
        <v>0</v>
      </c>
      <c r="L26" s="445">
        <f t="shared" si="12"/>
        <v>0</v>
      </c>
      <c r="M26" s="445">
        <f t="shared" si="13"/>
        <v>0</v>
      </c>
      <c r="N26" s="445">
        <f t="shared" si="14"/>
        <v>0</v>
      </c>
      <c r="O26" s="445">
        <f t="shared" si="15"/>
        <v>0</v>
      </c>
      <c r="P26" s="446">
        <f t="shared" si="16"/>
        <v>0</v>
      </c>
      <c r="Q26" s="444">
        <f t="shared" ca="1" si="17"/>
        <v>1938.1134849311748</v>
      </c>
    </row>
    <row r="27" spans="1:17" s="450" customFormat="1">
      <c r="A27" s="448" t="s">
        <v>535</v>
      </c>
      <c r="B27" s="732">
        <f t="shared" ca="1" si="2"/>
        <v>56.082328014748505</v>
      </c>
      <c r="C27" s="449">
        <f t="shared" ca="1" si="3"/>
        <v>0</v>
      </c>
      <c r="D27" s="449">
        <f t="shared" si="4"/>
        <v>126.08586504960988</v>
      </c>
      <c r="E27" s="449">
        <f t="shared" si="5"/>
        <v>61.844227347378578</v>
      </c>
      <c r="F27" s="449">
        <f t="shared" si="6"/>
        <v>0</v>
      </c>
      <c r="G27" s="449">
        <f t="shared" si="7"/>
        <v>43452.911583892979</v>
      </c>
      <c r="H27" s="449">
        <f t="shared" si="8"/>
        <v>8486.0504333459667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52182.974437650686</v>
      </c>
    </row>
    <row r="28" spans="1:17" ht="16.5" customHeight="1">
      <c r="A28" s="444" t="s">
        <v>525</v>
      </c>
      <c r="B28" s="445">
        <f t="shared" ca="1" si="2"/>
        <v>3.2599121055603342</v>
      </c>
      <c r="C28" s="445">
        <f t="shared" ca="1" si="3"/>
        <v>0</v>
      </c>
      <c r="D28" s="445">
        <f t="shared" si="4"/>
        <v>0</v>
      </c>
      <c r="E28" s="445">
        <f t="shared" si="5"/>
        <v>0</v>
      </c>
      <c r="F28" s="445">
        <f t="shared" si="6"/>
        <v>0</v>
      </c>
      <c r="G28" s="445">
        <f t="shared" si="7"/>
        <v>456.69069912996747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459.95061123552779</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200.97119793251133</v>
      </c>
      <c r="C32" s="445">
        <f t="shared" ca="1" si="3"/>
        <v>0</v>
      </c>
      <c r="D32" s="445">
        <f t="shared" si="4"/>
        <v>557.39194287637895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758.36314080889031</v>
      </c>
    </row>
    <row r="33" spans="1:17" s="456" customFormat="1">
      <c r="A33" s="454" t="s">
        <v>529</v>
      </c>
      <c r="B33" s="455">
        <f ca="1">SUM(B22:B32)</f>
        <v>8953.7816526706756</v>
      </c>
      <c r="C33" s="455">
        <f t="shared" ref="C33:Q33" ca="1" si="19">SUM(C22:C32)</f>
        <v>26121.910084033614</v>
      </c>
      <c r="D33" s="455">
        <f t="shared" ca="1" si="19"/>
        <v>20578.781967361876</v>
      </c>
      <c r="E33" s="455">
        <f t="shared" si="19"/>
        <v>636.53071652348342</v>
      </c>
      <c r="F33" s="455">
        <f t="shared" ca="1" si="19"/>
        <v>22639.041487994265</v>
      </c>
      <c r="G33" s="455">
        <f t="shared" si="19"/>
        <v>43909.602283022949</v>
      </c>
      <c r="H33" s="455">
        <f t="shared" si="19"/>
        <v>8486.0504333459667</v>
      </c>
      <c r="I33" s="455">
        <f t="shared" si="19"/>
        <v>0</v>
      </c>
      <c r="J33" s="455">
        <f t="shared" si="19"/>
        <v>1237.3277005732757</v>
      </c>
      <c r="K33" s="455">
        <f t="shared" si="19"/>
        <v>0</v>
      </c>
      <c r="L33" s="455">
        <f t="shared" ca="1" si="19"/>
        <v>0</v>
      </c>
      <c r="M33" s="455">
        <f t="shared" si="19"/>
        <v>0</v>
      </c>
      <c r="N33" s="455">
        <f t="shared" ca="1" si="19"/>
        <v>0</v>
      </c>
      <c r="O33" s="455">
        <f t="shared" si="19"/>
        <v>0</v>
      </c>
      <c r="P33" s="455">
        <f t="shared" si="19"/>
        <v>0</v>
      </c>
      <c r="Q33" s="455">
        <f t="shared" ca="1" si="19"/>
        <v>132563.02632552607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64244.236649950166</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11935.8643920373</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130.94999999999999</v>
      </c>
      <c r="C8" s="972">
        <f>'SEAP template'!C76</f>
        <v>76943.250000000015</v>
      </c>
      <c r="D8" s="972">
        <f>'SEAP template'!D76</f>
        <v>90521.470588235316</v>
      </c>
      <c r="E8" s="972">
        <f>'SEAP template'!E76</f>
        <v>0</v>
      </c>
      <c r="F8" s="972">
        <f>'SEAP template'!F76</f>
        <v>0</v>
      </c>
      <c r="G8" s="972">
        <f>'SEAP template'!G76</f>
        <v>0</v>
      </c>
      <c r="H8" s="972">
        <f>'SEAP template'!H76</f>
        <v>0</v>
      </c>
      <c r="I8" s="972">
        <f>'SEAP template'!I76</f>
        <v>0</v>
      </c>
      <c r="J8" s="972">
        <f>'SEAP template'!J76</f>
        <v>154.05882352941177</v>
      </c>
      <c r="K8" s="972">
        <f>'SEAP template'!K76</f>
        <v>0</v>
      </c>
      <c r="L8" s="972">
        <f>'SEAP template'!L76</f>
        <v>0</v>
      </c>
      <c r="M8" s="972">
        <f>'SEAP template'!M76</f>
        <v>0</v>
      </c>
      <c r="N8" s="972">
        <f>'SEAP template'!N76</f>
        <v>0</v>
      </c>
      <c r="O8" s="972">
        <f>'SEAP template'!O76</f>
        <v>0</v>
      </c>
      <c r="P8" s="973">
        <f>'SEAP template'!Q76</f>
        <v>18285.337058823534</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76311.051041987463</v>
      </c>
      <c r="C10" s="974">
        <f>SUM(C4:C9)</f>
        <v>76943.250000000015</v>
      </c>
      <c r="D10" s="974">
        <f t="shared" ref="D10:H10" si="0">SUM(D8:D9)</f>
        <v>90521.470588235316</v>
      </c>
      <c r="E10" s="974">
        <f t="shared" si="0"/>
        <v>0</v>
      </c>
      <c r="F10" s="974">
        <f t="shared" si="0"/>
        <v>0</v>
      </c>
      <c r="G10" s="974">
        <f t="shared" si="0"/>
        <v>0</v>
      </c>
      <c r="H10" s="974">
        <f t="shared" si="0"/>
        <v>0</v>
      </c>
      <c r="I10" s="974">
        <f>SUM(I8:I9)</f>
        <v>0</v>
      </c>
      <c r="J10" s="974">
        <f>SUM(J8:J9)</f>
        <v>154.05882352941177</v>
      </c>
      <c r="K10" s="974">
        <f t="shared" ref="K10:L10" si="1">SUM(K8:K9)</f>
        <v>0</v>
      </c>
      <c r="L10" s="974">
        <f t="shared" si="1"/>
        <v>0</v>
      </c>
      <c r="M10" s="974">
        <f>SUM(M8:M9)</f>
        <v>0</v>
      </c>
      <c r="N10" s="974">
        <f>SUM(N8:N9)</f>
        <v>0</v>
      </c>
      <c r="O10" s="974">
        <f>SUM(O8:O9)</f>
        <v>0</v>
      </c>
      <c r="P10" s="974">
        <f>SUM(P8:P9)</f>
        <v>18285.337058823534</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0.1193136958277853</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187.07142857142853</v>
      </c>
      <c r="C17" s="975">
        <f>'SEAP template'!C87</f>
        <v>109918.92857142858</v>
      </c>
      <c r="D17" s="973">
        <f>'SEAP template'!D87</f>
        <v>129316.38655462184</v>
      </c>
      <c r="E17" s="973">
        <f>'SEAP template'!E87</f>
        <v>0</v>
      </c>
      <c r="F17" s="973">
        <f>'SEAP template'!F87</f>
        <v>0</v>
      </c>
      <c r="G17" s="973">
        <f>'SEAP template'!G87</f>
        <v>0</v>
      </c>
      <c r="H17" s="973">
        <f>'SEAP template'!H87</f>
        <v>0</v>
      </c>
      <c r="I17" s="973">
        <f>'SEAP template'!I87</f>
        <v>0</v>
      </c>
      <c r="J17" s="973">
        <f>'SEAP template'!J87</f>
        <v>220.08403361344531</v>
      </c>
      <c r="K17" s="973">
        <f>'SEAP template'!K87</f>
        <v>0</v>
      </c>
      <c r="L17" s="973">
        <f>'SEAP template'!L87</f>
        <v>0</v>
      </c>
      <c r="M17" s="973">
        <f>'SEAP template'!M87</f>
        <v>0</v>
      </c>
      <c r="N17" s="973">
        <f>'SEAP template'!N87</f>
        <v>0</v>
      </c>
      <c r="O17" s="973">
        <f>'SEAP template'!O87</f>
        <v>0</v>
      </c>
      <c r="P17" s="973">
        <f>'SEAP template'!Q87</f>
        <v>26121.910084033614</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187.07142857142853</v>
      </c>
      <c r="C20" s="974">
        <f>SUM(C17:C19)</f>
        <v>109918.92857142858</v>
      </c>
      <c r="D20" s="974">
        <f t="shared" ref="D20:H20" si="2">SUM(D17:D19)</f>
        <v>129316.38655462184</v>
      </c>
      <c r="E20" s="974">
        <f t="shared" si="2"/>
        <v>0</v>
      </c>
      <c r="F20" s="974">
        <f t="shared" si="2"/>
        <v>0</v>
      </c>
      <c r="G20" s="974">
        <f t="shared" si="2"/>
        <v>0</v>
      </c>
      <c r="H20" s="974">
        <f t="shared" si="2"/>
        <v>0</v>
      </c>
      <c r="I20" s="974">
        <f>SUM(I17:I19)</f>
        <v>0</v>
      </c>
      <c r="J20" s="974">
        <f>SUM(J17:J19)</f>
        <v>220.08403361344531</v>
      </c>
      <c r="K20" s="974">
        <f t="shared" ref="K20:L20" si="3">SUM(K17:K19)</f>
        <v>0</v>
      </c>
      <c r="L20" s="974">
        <f t="shared" si="3"/>
        <v>0</v>
      </c>
      <c r="M20" s="974">
        <f>SUM(M17:M19)</f>
        <v>0</v>
      </c>
      <c r="N20" s="974">
        <f>SUM(N17:N19)</f>
        <v>0</v>
      </c>
      <c r="O20" s="974">
        <f>SUM(O17:O19)</f>
        <v>0</v>
      </c>
      <c r="P20" s="974">
        <f>SUM(P17:P19)</f>
        <v>26121.910084033614</v>
      </c>
    </row>
    <row r="21" spans="1:16">
      <c r="B21" s="842"/>
    </row>
    <row r="22" spans="1:16">
      <c r="A22" s="457" t="s">
        <v>723</v>
      </c>
      <c r="B22" s="738" t="s">
        <v>721</v>
      </c>
      <c r="C22" s="738">
        <f ca="1">'EF ele_warmte'!B22</f>
        <v>0.23724329359011875</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0.1193136958277853</v>
      </c>
      <c r="C17" s="494">
        <f ca="1">'EF ele_warmte'!B22</f>
        <v>0.23724329359011875</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3</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14.691782297523464</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1</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52.539138306495019</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2022-08-09T08:06:46Z</dcterms:modified>
</cp:coreProperties>
</file>