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2599A70D-2BE1-4A2A-83A9-FBBA96CDF47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<sst xmlns="http://schemas.openxmlformats.org/spreadsheetml/2006/main" count="2377" uniqueCount="864">
  <si>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</si>
  <si>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</si>
  <si>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</si>
  <si>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</si>
  <si>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</si>
  <si>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</si>
  <si>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</si>
  <si>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</si>
  <si>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</si>
  <si>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</si>
  <si>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</si>
  <si>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</si>
  <si>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</si>
  <si>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</si>
  <si>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</si>
  <si>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</si>
  <si>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</si>
  <si>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</si>
  <si>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</si>
  <si>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</si>
  <si>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</si>
  <si>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</si>
  <si>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</si>
  <si>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</si>
  <si>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</si>
  <si>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</si>
  <si>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</si>
  <si>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</si>
  <si>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</si>
  <si>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</si>
  <si>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</si>
  <si>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</si>
  <si>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</si>
  <si>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</si>
  <si>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</si>
  <si>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</si>
  <si>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</si>
  <si>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</si>
  <si>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</si>
  <si>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</si>
  <si>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</si>
  <si>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</si>
  <si>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</si>
  <si>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</si>
  <si>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</si>
  <si>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</si>
  <si>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</si>
  <si>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</si>
  <si>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</si>
  <si>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</si>
  <si>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</si>
  <si>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</si>
  <si>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</si>
  <si>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</si>
  <si>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</si>
  <si>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</si>
  <si>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</si>
  <si>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</si>
  <si>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</si>
  <si>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</si>
  <si>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</si>
  <si>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</si>
  <si>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</si>
  <si>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</si>
  <si>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</si>
  <si>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</si>
  <si>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</si>
  <si>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</si>
  <si>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</si>
  <si>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</si>
  <si>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</si>
  <si>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</si>
  <si>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</si>
  <si>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</si>
  <si>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</si>
  <si>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</si>
  <si>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</si>
  <si>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</si>
  <si>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</si>
  <si>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</si>
  <si>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</si>
  <si>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</si>
  <si>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</si>
  <si>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</si>
  <si>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</si>
  <si>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</si>
  <si>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</si>
  <si>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</si>
  <si>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</si>
  <si>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</si>
  <si>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</si>
  <si>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</si>
  <si>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</si>
  <si>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</si>
  <si>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</si>
  <si>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</si>
  <si>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</si>
  <si>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</si>
  <si>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</si>
  <si>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</si>
  <si>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</si>
  <si>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</si>
  <si>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</si>
  <si>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</si>
  <si>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</si>
  <si>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</si>
  <si>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</si>
  <si>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</si>
  <si>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</si>
  <si>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</si>
  <si>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</si>
  <si>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</si>
  <si>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</si>
  <si>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</si>
  <si>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</si>
  <si>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</si>
  <si>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</si>
  <si>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</si>
  <si>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</si>
  <si>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</si>
  <si>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</si>
  <si>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</si>
  <si>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</si>
  <si>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</si>
  <si>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</si>
  <si>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</si>
  <si>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</si>
  <si>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</si>
  <si>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</si>
  <si>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</si>
  <si>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</si>
  <si>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</si>
  <si>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</si>
  <si>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</si>
  <si>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</si>
  <si>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</si>
  <si>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</si>
  <si>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</si>
  <si>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</si>
  <si>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</si>
  <si>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</si>
  <si>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</si>
  <si>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</si>
  <si>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</si>
  <si>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</si>
  <si>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</si>
  <si>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</si>
  <si>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</si>
  <si>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</si>
  <si>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</si>
  <si>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</si>
  <si>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</si>
  <si>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</si>
  <si>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</si>
  <si>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</si>
  <si>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</si>
  <si>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</si>
  <si>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</si>
  <si>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</si>
  <si>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</si>
  <si>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</si>
  <si>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</si>
  <si>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</si>
  <si>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</si>
  <si>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</si>
  <si>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</si>
  <si>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</si>
  <si>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</si>
  <si>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</si>
  <si>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</si>
  <si>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</si>
  <si>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</si>
  <si>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</si>
  <si>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</si>
  <si>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</si>
  <si>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</si>
  <si>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</si>
  <si>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</si>
  <si>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</si>
  <si>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</si>
  <si>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</si>
  <si>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</si>
  <si>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</si>
  <si>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</si>
  <si>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</si>
  <si>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</si>
  <si>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</si>
  <si>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</si>
  <si>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</si>
  <si>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</si>
  <si>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</si>
  <si>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</si>
  <si>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</si>
  <si>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</si>
  <si>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</si>
  <si>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</si>
  <si>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</si>
  <si>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</si>
  <si>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</si>
  <si>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</si>
  <si>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</si>
  <si>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</si>
  <si>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</si>
  <si>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</si>
  <si>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</si>
  <si>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</si>
  <si>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</si>
  <si>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</si>
  <si>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</si>
  <si>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</si>
  <si>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</si>
  <si>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</si>
  <si>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</si>
  <si>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</si>
  <si>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</si>
  <si>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</si>
  <si>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</si>
  <si>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</si>
  <si>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</si>
  <si>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</si>
  <si>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</si>
  <si>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</si>
  <si>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</si>
  <si>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</si>
  <si>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</si>
  <si>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</si>
  <si>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</si>
  <si>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</si>
  <si>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</si>
  <si>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</si>
  <si>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</si>
  <si>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</si>
  <si>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</si>
  <si>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</si>
  <si>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</si>
  <si>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</si>
  <si>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</si>
  <si>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</si>
  <si>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</si>
  <si>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</si>
  <si>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</si>
  <si>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</si>
  <si>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</si>
  <si>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</si>
  <si>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</si>
  <si>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</si>
  <si>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</si>
  <si>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</si>
  <si>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</si>
  <si>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</si>
  <si>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</si>
  <si>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</si>
  <si>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</si>
  <si>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</si>
  <si>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</si>
  <si>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</si>
  <si>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</si>
  <si>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</si>
  <si>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</si>
  <si>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</si>
  <si>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</si>
  <si>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</si>
  <si>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</si>
  <si>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</si>
  <si>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</si>
  <si>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</si>
  <si>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</si>
  <si>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</si>
  <si>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</si>
  <si>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</si>
  <si>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</si>
  <si>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</si>
  <si>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</si>
  <si>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</si>
  <si>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</si>
  <si>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</si>
  <si>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</si>
  <si>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</si>
  <si>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</si>
  <si>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</si>
  <si>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</si>
  <si>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</si>
  <si>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</si>
  <si>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</si>
  <si>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</si>
  <si>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</si>
  <si>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</si>
  <si>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</si>
  <si>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</si>
  <si>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</si>
  <si>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</si>
  <si>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</si>
  <si>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</si>
  <si>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</si>
  <si>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</si>
  <si>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</si>
  <si>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</si>
  <si>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</si>
  <si>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</si>
  <si>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</si>
  <si>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</si>
  <si>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</si>
  <si>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</si>
  <si>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</si>
  <si>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</si>
  <si>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</si>
  <si>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</si>
  <si>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</si>
  <si>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</si>
  <si>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</si>
  <si>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</si>
  <si>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</si>
  <si>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</si>
  <si>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</si>
  <si>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</si>
  <si>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</si>
  <si>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</si>
  <si>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</si>
  <si>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</si>
  <si>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</si>
  <si>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</si>
  <si>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</si>
  <si>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</si>
  <si>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</si>
  <si>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</si>
  <si>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</si>
  <si>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</si>
  <si>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</si>
  <si>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</si>
  <si>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</si>
  <si>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</si>
  <si>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</si>
  <si>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</si>
  <si>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</si>
  <si>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</si>
  <si>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</si>
  <si>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</si>
  <si>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</si>
  <si>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</si>
  <si>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</si>
  <si>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</si>
  <si>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</si>
  <si>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</si>
  <si>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</si>
  <si>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</si>
  <si>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</si>
  <si>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</si>
  <si>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</si>
  <si>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</si>
  <si>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</si>
  <si>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</si>
  <si>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</si>
  <si>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</si>
  <si>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</si>
  <si>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</si>
  <si>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</si>
  <si>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</si>
  <si>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</si>
  <si>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</si>
  <si>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</si>
  <si>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</si>
  <si>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</si>
  <si>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</si>
  <si>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</si>
  <si>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</si>
  <si>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</si>
  <si>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</si>
  <si>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</si>
  <si>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</si>
  <si>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</si>
  <si>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</si>
  <si>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</si>
  <si>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</si>
  <si>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</si>
  <si>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</si>
  <si>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</si>
  <si>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</si>
  <si>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</si>
  <si>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</si>
  <si>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</si>
  <si>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</si>
  <si>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</si>
  <si>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</si>
  <si>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</si>
  <si>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</si>
  <si>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</si>
  <si>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</si>
  <si>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</si>
  <si>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</si>
  <si>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</si>
  <si>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</si>
  <si>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</si>
  <si>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</si>
  <si>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</si>
  <si>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</si>
  <si>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</si>
  <si>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</si>
  <si>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</si>
  <si>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</si>
  <si>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</si>
  <si>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</si>
  <si>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</si>
  <si>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</si>
  <si>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</si>
  <si>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</si>
  <si>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</si>
  <si>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</si>
  <si>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</si>
  <si>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</si>
  <si>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</si>
  <si>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</si>
  <si>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</si>
  <si>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</si>
  <si>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</si>
  <si>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</si>
  <si>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</si>
  <si>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</si>
  <si>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</si>
  <si>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</si>
  <si>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</si>
  <si>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</si>
  <si>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</si>
  <si>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</si>
  <si>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</si>
  <si>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</si>
  <si>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</si>
  <si>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</si>
  <si>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</si>
  <si>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</si>
  <si>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</si>
  <si>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</si>
  <si>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</si>
  <si>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</si>
  <si>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</si>
  <si>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</si>
  <si>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</si>
  <si>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</si>
  <si>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</si>
  <si>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</si>
  <si>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</si>
  <si>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</si>
  <si>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</si>
  <si>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</si>
  <si>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</si>
  <si>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</si>
  <si>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</si>
  <si>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</si>
  <si>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</si>
  <si>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</si>
  <si>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</si>
  <si>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</si>
  <si>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</si>
  <si>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</si>
  <si>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</si>
  <si>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</si>
  <si>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</si>
  <si>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</si>
  <si>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</si>
  <si>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</si>
  <si>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</si>
  <si>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</si>
  <si>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</si>
  <si>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</si>
  <si>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</si>
  <si>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</si>
  <si>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</si>
  <si>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</si>
  <si>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</si>
  <si>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</si>
  <si>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</si>
  <si>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</si>
  <si>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</si>
  <si>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</si>
  <si>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</si>
  <si>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</si>
  <si>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</si>
  <si>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</si>
  <si>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</si>
  <si>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</si>
  <si>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</si>
  <si>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</si>
  <si>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</si>
  <si>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</si>
  <si>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</si>
  <si>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</si>
  <si>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</si>
  <si>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</si>
  <si>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</si>
  <si>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</si>
  <si>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</si>
  <si>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</si>
  <si>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</si>
  <si>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</si>
  <si>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</si>
  <si>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</si>
  <si>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</si>
  <si>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</si>
  <si>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</si>
  <si>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</si>
  <si>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</si>
  <si>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</si>
  <si>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</si>
  <si>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</si>
  <si>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</si>
  <si>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</si>
  <si>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</si>
  <si>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</si>
  <si>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</si>
  <si>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</si>
  <si>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</si>
  <si>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</si>
  <si>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</si>
  <si>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</si>
  <si>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</si>
  <si>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</si>
  <si>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</si>
  <si>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</si>
  <si>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</si>
  <si>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</si>
  <si>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</si>
  <si>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</si>
  <si>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</si>
  <si>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</si>
  <si>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</si>
  <si>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</si>
  <si>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</si>
  <si>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</si>
  <si>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</si>
  <si>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</si>
  <si>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</si>
  <si>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</si>
  <si>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</si>
  <si>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</si>
  <si>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</si>
  <si>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</si>
  <si>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</si>
  <si>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</si>
  <si>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</si>
  <si>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</si>
  <si>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</si>
  <si>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</si>
  <si>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</si>
  <si>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</si>
  <si>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</si>
  <si>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</si>
  <si>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</si>
  <si>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</si>
  <si>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</si>
  <si>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</si>
  <si>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</si>
  <si>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</si>
  <si>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</si>
  <si>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</si>
  <si>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</si>
  <si>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</si>
  <si>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</si>
  <si>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</si>
  <si>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</si>
  <si>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</si>
  <si>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</si>
  <si>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</si>
  <si>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</si>
  <si>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</si>
  <si>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</si>
  <si>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</si>
  <si>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</si>
  <si>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</si>
  <si>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</si>
  <si>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</si>
  <si>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</si>
  <si>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</si>
  <si>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</si>
  <si>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</si>
  <si>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</si>
  <si>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</si>
  <si>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</si>
  <si>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</si>
  <si>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</si>
  <si>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</si>
  <si>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</si>
  <si>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</si>
  <si>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</si>
  <si>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</si>
  <si>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</si>
  <si>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</si>
  <si>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</si>
  <si>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</si>
  <si>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</si>
  <si>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</si>
  <si>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</si>
  <si>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</si>
  <si>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</si>
  <si>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</si>
  <si>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</si>
  <si>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</si>
  <si>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</si>
  <si>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</si>
  <si>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</si>
  <si>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</si>
  <si>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</si>
  <si>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</si>
  <si>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</si>
  <si>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</si>
  <si>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</si>
  <si>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</si>
  <si>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</si>
  <si>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</si>
  <si>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</si>
  <si>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</si>
  <si>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</si>
  <si>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</si>
  <si>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</si>
  <si>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</si>
  <si>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</si>
  <si>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</si>
  <si>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</si>
  <si>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</si>
  <si>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</si>
  <si>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</si>
  <si>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</si>
  <si>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</si>
  <si>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</si>
  <si>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</si>
  <si>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</si>
  <si>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</si>
  <si>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</si>
  <si>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</si>
  <si>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</si>
  <si>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</si>
  <si>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</si>
  <si>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</si>
  <si>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</si>
  <si>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</si>
  <si>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</si>
  <si>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</si>
  <si>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</si>
  <si>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</si>
  <si>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</si>
  <si>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</si>
  <si>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</si>
  <si>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</si>
  <si>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</si>
  <si>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</si>
  <si>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</si>
  <si>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</si>
  <si>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</si>
  <si>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</si>
  <si>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</si>
  <si>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</si>
  <si>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</si>
  <si>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</si>
  <si>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</si>
  <si>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</si>
  <si>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</si>
  <si>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</si>
  <si>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</si>
  <si>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</si>
  <si>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</si>
  <si>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</si>
  <si>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</si>
  <si>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</si>
  <si>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</si>
  <si>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</si>
  <si>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</si>
  <si>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</si>
  <si>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</si>
  <si>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</si>
  <si>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</si>
  <si>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</si>
  <si>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</si>
  <si>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</si>
  <si>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</si>
  <si>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</si>
  <si>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</si>
  <si>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</si>
  <si>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</si>
  <si>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</si>
  <si>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</si>
  <si>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</si>
  <si>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</si>
  <si>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</si>
  <si>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</si>
  <si>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</si>
  <si>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</si>
  <si>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</si>
  <si>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</si>
  <si>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</si>
  <si>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</si>
  <si>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</si>
  <si>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</si>
  <si>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</si>
  <si>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</si>
  <si>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</si>
  <si>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</si>
  <si>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</si>
  <si>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</si>
  <si>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</si>
  <si>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</si>
  <si>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</si>
  <si>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</si>
  <si>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</si>
  <si>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</si>
  <si>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</si>
  <si>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</si>
  <si>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</si>
  <si>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</si>
  <si>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</si>
  <si>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</si>
  <si>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</si>
  <si>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</si>
  <si>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</si>
  <si>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</si>
  <si>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</si>
  <si>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</si>
  <si>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</si>
  <si>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</si>
  <si>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</si>
  <si>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</si>
  <si>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</si>
  <si>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</si>
  <si>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</si>
  <si>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</si>
  <si>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</si>
  <si>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</si>
  <si>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</si>
  <si>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</si>
  <si>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</si>
  <si>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</si>
  <si>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</si>
  <si>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</si>
  <si>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</si>
  <si>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</si>
  <si>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</si>
  <si>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</si>
  <si>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</si>
  <si>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</si>
  <si>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</si>
  <si>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</si>
  <si>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</si>
  <si>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</si>
  <si>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</si>
  <si>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</si>
  <si>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</si>
  <si>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</si>
  <si>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</si>
  <si>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</si>
  <si>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</si>
  <si>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</si>
  <si>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</si>
  <si>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</si>
  <si>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</si>
  <si>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</si>
  <si>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</si>
  <si>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</si>
  <si>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</si>
  <si>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</si>
  <si>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</si>
  <si>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</si>
  <si>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</si>
  <si>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</si>
  <si>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</si>
  <si>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</si>
  <si>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</si>
  <si>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</si>
  <si>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</si>
  <si>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</si>
  <si>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</si>
  <si>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</si>
  <si>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</si>
  <si>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</si>
  <si>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</si>
  <si>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</si>
  <si>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</si>
  <si>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</si>
  <si>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</si>
  <si>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</si>
  <si>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</si>
  <si>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</si>
  <si>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</si>
  <si>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</si>
  <si>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</si>
  <si>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</si>
  <si>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</si>
  <si>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</si>
  <si>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</si>
  <si>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</si>
  <si>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</si>
  <si>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</si>
  <si>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</si>
  <si>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</si>
  <si>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</si>
  <si>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</si>
  <si>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</si>
  <si>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</si>
  <si>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</si>
  <si>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</si>
  <si>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</si>
  <si>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</si>
  <si>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</si>
  <si>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</si>
  <si>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</si>
  <si>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</si>
  <si>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</si>
  <si>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</si>
  <si>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</si>
  <si>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</si>
  <si>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</si>
  <si>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</si>
  <si>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</si>
  <si>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</si>
  <si>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</si>
  <si>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</si>
  <si>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</si>
  <si>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</si>
  <si>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</si>
  <si>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</si>
  <si>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</si>
  <si>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</si>
  <si>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</si>
  <si>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</si>
  <si>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</si>
  <si>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</si>
  <si>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</si>
  <si>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</si>
  <si>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</si>
  <si>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</si>
  <si>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</si>
  <si>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</si>
  <si>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</si>
  <si>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</si>
  <si>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</si>
  <si>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</si>
  <si>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</si>
  <si>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</si>
  <si>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</si>
  <si>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</si>
  <si>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</si>
  <si>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</si>
  <si>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</si>
  <si>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</si>
  <si>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</si>
  <si>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</si>
  <si>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</si>
  <si>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</si>
  <si>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</si>
  <si>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</si>
  <si>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</si>
  <si>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</si>
  <si>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</si>
  <si>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</si>
  <si>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</si>
  <si>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</si>
  <si>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</si>
  <si>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</si>
  <si>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</si>
  <si>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</si>
  <si>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</si>
  <si>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72038</t>
  </si>
  <si>
    <t>HECHTEL-EKSEL</t>
  </si>
  <si>
    <t>waterkracht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</si>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</sst>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8364DA2D-E63A-40B2-9465-9E71966703D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100827.78605416069</c:v>
                </c:pt>
                <c:pt idx="1">
                  <c:v>16545.749210389677</c:v>
                </c:pt>
                <c:pt idx="2">
                  <c:v>927.58030700000006</c:v>
                </c:pt>
                <c:pt idx="3">
                  <c:v>3126.6973847039126</c:v>
                </c:pt>
                <c:pt idx="4">
                  <c:v>7561.6748971500119</c:v>
                </c:pt>
                <c:pt idx="5">
                  <c:v>118659.82268812452</c:v>
                </c:pt>
                <c:pt idx="6">
                  <c:v>2043.6408574164086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100827.78605416069</c:v>
                </c:pt>
                <c:pt idx="1">
                  <c:v>16545.749210389677</c:v>
                </c:pt>
                <c:pt idx="2">
                  <c:v>927.58030700000006</c:v>
                </c:pt>
                <c:pt idx="3">
                  <c:v>3126.6973847039126</c:v>
                </c:pt>
                <c:pt idx="4">
                  <c:v>7561.6748971500119</c:v>
                </c:pt>
                <c:pt idx="5">
                  <c:v>118659.82268812452</c:v>
                </c:pt>
                <c:pt idx="6">
                  <c:v>2043.6408574164086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20086.899959132959</c:v>
                </c:pt>
                <c:pt idx="1">
                  <c:v>3167.7740828626324</c:v>
                </c:pt>
                <c:pt idx="2">
                  <c:v>161.46329067857661</c:v>
                </c:pt>
                <c:pt idx="3">
                  <c:v>781.6062801650171</c:v>
                </c:pt>
                <c:pt idx="4">
                  <c:v>1475.5259054847418</c:v>
                </c:pt>
                <c:pt idx="5">
                  <c:v>29482.293904036422</c:v>
                </c:pt>
                <c:pt idx="6">
                  <c:v>514.98433684455154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20086.899959132959</c:v>
                </c:pt>
                <c:pt idx="1">
                  <c:v>3167.7740828626324</c:v>
                </c:pt>
                <c:pt idx="2">
                  <c:v>161.46329067857661</c:v>
                </c:pt>
                <c:pt idx="3">
                  <c:v>781.6062801650171</c:v>
                </c:pt>
                <c:pt idx="4">
                  <c:v>1475.5259054847418</c:v>
                </c:pt>
                <c:pt idx="5">
                  <c:v>29482.293904036422</c:v>
                </c:pt>
                <c:pt idx="6">
                  <c:v>514.98433684455154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72038</v>
      </c>
      <c r="B6" s="382"/>
      <c r="C6" s="383"/>
    </row>
    <row r="7" spans="1:7" s="380" customFormat="1" ht="15.75" customHeight="1">
      <c r="A7" s="384" t="str">
        <f>txtMunicipality</f>
        <v>HECHTEL-EKSEL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0.17406933875168676</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0.17406933875168676</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4989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1790.81</v>
      </c>
      <c r="C14" s="324"/>
      <c r="D14" s="324"/>
      <c r="E14" s="324"/>
      <c r="F14" s="324"/>
    </row>
    <row r="15" spans="1:6">
      <c r="A15" s="1264" t="s">
        <v>177</v>
      </c>
      <c r="B15" s="1265">
        <v>11</v>
      </c>
      <c r="C15" s="324"/>
      <c r="D15" s="324"/>
      <c r="E15" s="324"/>
      <c r="F15" s="324"/>
    </row>
    <row r="16" spans="1:6">
      <c r="A16" s="1264" t="s">
        <v>6</v>
      </c>
      <c r="B16" s="1265">
        <v>605</v>
      </c>
      <c r="C16" s="324"/>
      <c r="D16" s="324"/>
      <c r="E16" s="324"/>
      <c r="F16" s="324"/>
    </row>
    <row r="17" spans="1:6">
      <c r="A17" s="1264" t="s">
        <v>7</v>
      </c>
      <c r="B17" s="1265">
        <v>104</v>
      </c>
      <c r="C17" s="324"/>
      <c r="D17" s="324"/>
      <c r="E17" s="324"/>
      <c r="F17" s="324"/>
    </row>
    <row r="18" spans="1:6">
      <c r="A18" s="1264" t="s">
        <v>8</v>
      </c>
      <c r="B18" s="1265">
        <v>271</v>
      </c>
      <c r="C18" s="324"/>
      <c r="D18" s="324"/>
      <c r="E18" s="324"/>
      <c r="F18" s="324"/>
    </row>
    <row r="19" spans="1:6">
      <c r="A19" s="1264" t="s">
        <v>9</v>
      </c>
      <c r="B19" s="1265">
        <v>201</v>
      </c>
      <c r="C19" s="324"/>
      <c r="D19" s="324"/>
      <c r="E19" s="324"/>
      <c r="F19" s="324"/>
    </row>
    <row r="20" spans="1:6">
      <c r="A20" s="1264" t="s">
        <v>10</v>
      </c>
      <c r="B20" s="1265">
        <v>179</v>
      </c>
      <c r="C20" s="324"/>
      <c r="D20" s="324"/>
      <c r="E20" s="324"/>
      <c r="F20" s="324"/>
    </row>
    <row r="21" spans="1:6">
      <c r="A21" s="1264" t="s">
        <v>11</v>
      </c>
      <c r="B21" s="1265">
        <v>1263</v>
      </c>
      <c r="C21" s="324"/>
      <c r="D21" s="324"/>
      <c r="E21" s="324"/>
      <c r="F21" s="324"/>
    </row>
    <row r="22" spans="1:6">
      <c r="A22" s="1264" t="s">
        <v>12</v>
      </c>
      <c r="B22" s="1265">
        <v>2568</v>
      </c>
      <c r="C22" s="324"/>
      <c r="D22" s="324"/>
      <c r="E22" s="324"/>
      <c r="F22" s="324"/>
    </row>
    <row r="23" spans="1:6">
      <c r="A23" s="1264" t="s">
        <v>13</v>
      </c>
      <c r="B23" s="1265">
        <v>88</v>
      </c>
      <c r="C23" s="324"/>
      <c r="D23" s="324"/>
      <c r="E23" s="324"/>
      <c r="F23" s="324"/>
    </row>
    <row r="24" spans="1:6">
      <c r="A24" s="1264" t="s">
        <v>14</v>
      </c>
      <c r="B24" s="1265">
        <v>2</v>
      </c>
      <c r="C24" s="324"/>
      <c r="D24" s="324"/>
      <c r="E24" s="324"/>
      <c r="F24" s="324"/>
    </row>
    <row r="25" spans="1:6">
      <c r="A25" s="1264" t="s">
        <v>15</v>
      </c>
      <c r="B25" s="1265">
        <v>309</v>
      </c>
      <c r="C25" s="324"/>
      <c r="D25" s="324"/>
      <c r="E25" s="324"/>
      <c r="F25" s="324"/>
    </row>
    <row r="26" spans="1:6">
      <c r="A26" s="1264" t="s">
        <v>16</v>
      </c>
      <c r="B26" s="1265">
        <v>10</v>
      </c>
      <c r="C26" s="324"/>
      <c r="D26" s="324"/>
      <c r="E26" s="324"/>
      <c r="F26" s="324"/>
    </row>
    <row r="27" spans="1:6">
      <c r="A27" s="1264" t="s">
        <v>17</v>
      </c>
      <c r="B27" s="1265">
        <v>0</v>
      </c>
      <c r="C27" s="324"/>
      <c r="D27" s="324"/>
      <c r="E27" s="324"/>
      <c r="F27" s="324"/>
    </row>
    <row r="28" spans="1:6">
      <c r="A28" s="1264" t="s">
        <v>18</v>
      </c>
      <c r="B28" s="1266">
        <v>49815</v>
      </c>
      <c r="C28" s="324"/>
      <c r="D28" s="324"/>
      <c r="E28" s="324"/>
      <c r="F28" s="324"/>
    </row>
    <row r="29" spans="1:6">
      <c r="A29" s="1264" t="s">
        <v>657</v>
      </c>
      <c r="B29" s="1266">
        <v>174</v>
      </c>
      <c r="C29" s="324"/>
      <c r="D29" s="324"/>
      <c r="E29" s="324"/>
      <c r="F29" s="324"/>
    </row>
    <row r="30" spans="1:6">
      <c r="A30" s="1259" t="s">
        <v>658</v>
      </c>
      <c r="B30" s="1267">
        <v>26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4</v>
      </c>
      <c r="F35" s="1265">
        <v>23978.847000000002</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2600</v>
      </c>
      <c r="D39" s="1265">
        <v>40338935.284000002</v>
      </c>
      <c r="E39" s="1265">
        <v>5023</v>
      </c>
      <c r="F39" s="1265">
        <v>16244370.09</v>
      </c>
    </row>
    <row r="40" spans="1:6">
      <c r="A40" s="1264" t="s">
        <v>29</v>
      </c>
      <c r="B40" s="1264" t="s">
        <v>28</v>
      </c>
      <c r="C40" s="1265">
        <v>0</v>
      </c>
      <c r="D40" s="1265">
        <v>0</v>
      </c>
      <c r="E40" s="1265">
        <v>0</v>
      </c>
      <c r="F40" s="1265">
        <v>0</v>
      </c>
    </row>
    <row r="41" spans="1:6">
      <c r="A41" s="1264" t="s">
        <v>31</v>
      </c>
      <c r="B41" s="1264" t="s">
        <v>32</v>
      </c>
      <c r="C41" s="1265">
        <v>56</v>
      </c>
      <c r="D41" s="1265">
        <v>935299.64</v>
      </c>
      <c r="E41" s="1265">
        <v>110</v>
      </c>
      <c r="F41" s="1265">
        <v>1234627.1100000001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10</v>
      </c>
      <c r="D44" s="1265">
        <v>2044515.398</v>
      </c>
      <c r="E44" s="1265">
        <v>28</v>
      </c>
      <c r="F44" s="1265">
        <v>1372673.6580000001</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4</v>
      </c>
      <c r="D47" s="1265">
        <v>51607.834000000003</v>
      </c>
      <c r="E47" s="1265">
        <v>5</v>
      </c>
      <c r="F47" s="1265">
        <v>36356.337</v>
      </c>
    </row>
    <row r="48" spans="1:6">
      <c r="A48" s="1264" t="s">
        <v>31</v>
      </c>
      <c r="B48" s="1264" t="s">
        <v>28</v>
      </c>
      <c r="C48" s="1265">
        <v>0</v>
      </c>
      <c r="D48" s="1265">
        <v>0</v>
      </c>
      <c r="E48" s="1265">
        <v>7</v>
      </c>
      <c r="F48" s="1265">
        <v>533927.90500000003</v>
      </c>
    </row>
    <row r="49" spans="1:6">
      <c r="A49" s="1264" t="s">
        <v>31</v>
      </c>
      <c r="B49" s="1264" t="s">
        <v>39</v>
      </c>
      <c r="C49" s="1265">
        <v>0</v>
      </c>
      <c r="D49" s="1265">
        <v>0</v>
      </c>
      <c r="E49" s="1265">
        <v>0</v>
      </c>
      <c r="F49" s="1265">
        <v>0</v>
      </c>
    </row>
    <row r="50" spans="1:6">
      <c r="A50" s="1264" t="s">
        <v>31</v>
      </c>
      <c r="B50" s="1264" t="s">
        <v>40</v>
      </c>
      <c r="C50" s="1265">
        <v>6</v>
      </c>
      <c r="D50" s="1265">
        <v>195498.815</v>
      </c>
      <c r="E50" s="1265">
        <v>8</v>
      </c>
      <c r="F50" s="1265">
        <v>356007.44099999999</v>
      </c>
    </row>
    <row r="51" spans="1:6">
      <c r="A51" s="1264" t="s">
        <v>41</v>
      </c>
      <c r="B51" s="1264" t="s">
        <v>42</v>
      </c>
      <c r="C51" s="1265">
        <v>2</v>
      </c>
      <c r="D51" s="1265">
        <v>59612.138999999966</v>
      </c>
      <c r="E51" s="1265">
        <v>25</v>
      </c>
      <c r="F51" s="1265">
        <v>688978.81699999992</v>
      </c>
    </row>
    <row r="52" spans="1:6">
      <c r="A52" s="1264" t="s">
        <v>41</v>
      </c>
      <c r="B52" s="1264" t="s">
        <v>28</v>
      </c>
      <c r="C52" s="1265">
        <v>0</v>
      </c>
      <c r="D52" s="1265">
        <v>0</v>
      </c>
      <c r="E52" s="1265">
        <v>0</v>
      </c>
      <c r="F52" s="1265">
        <v>0</v>
      </c>
    </row>
    <row r="53" spans="1:6">
      <c r="A53" s="1264" t="s">
        <v>43</v>
      </c>
      <c r="B53" s="1264" t="s">
        <v>44</v>
      </c>
      <c r="C53" s="1265">
        <v>22</v>
      </c>
      <c r="D53" s="1265">
        <v>571754.87100000004</v>
      </c>
      <c r="E53" s="1265">
        <v>80</v>
      </c>
      <c r="F53" s="1265">
        <v>304050.85100000002</v>
      </c>
    </row>
    <row r="54" spans="1:6">
      <c r="A54" s="1264" t="s">
        <v>45</v>
      </c>
      <c r="B54" s="1264" t="s">
        <v>46</v>
      </c>
      <c r="C54" s="1265">
        <v>0</v>
      </c>
      <c r="D54" s="1265">
        <v>0</v>
      </c>
      <c r="E54" s="1265">
        <v>3</v>
      </c>
      <c r="F54" s="1265">
        <v>927580.30700000003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26</v>
      </c>
      <c r="D57" s="1265">
        <v>394098.22100000002</v>
      </c>
      <c r="E57" s="1265">
        <v>51</v>
      </c>
      <c r="F57" s="1265">
        <v>784880.43099999998</v>
      </c>
    </row>
    <row r="58" spans="1:6">
      <c r="A58" s="1264" t="s">
        <v>48</v>
      </c>
      <c r="B58" s="1264" t="s">
        <v>50</v>
      </c>
      <c r="C58" s="1265">
        <v>17</v>
      </c>
      <c r="D58" s="1265">
        <v>1350466.496</v>
      </c>
      <c r="E58" s="1265">
        <v>30</v>
      </c>
      <c r="F58" s="1265">
        <v>726691.96100000001</v>
      </c>
    </row>
    <row r="59" spans="1:6">
      <c r="A59" s="1264" t="s">
        <v>48</v>
      </c>
      <c r="B59" s="1264" t="s">
        <v>51</v>
      </c>
      <c r="C59" s="1265">
        <v>40</v>
      </c>
      <c r="D59" s="1265">
        <v>874732.21600000001</v>
      </c>
      <c r="E59" s="1265">
        <v>116</v>
      </c>
      <c r="F59" s="1265">
        <v>2616988.7629999998</v>
      </c>
    </row>
    <row r="60" spans="1:6">
      <c r="A60" s="1264" t="s">
        <v>48</v>
      </c>
      <c r="B60" s="1264" t="s">
        <v>52</v>
      </c>
      <c r="C60" s="1265">
        <v>26</v>
      </c>
      <c r="D60" s="1265">
        <v>1028702.269</v>
      </c>
      <c r="E60" s="1265">
        <v>55</v>
      </c>
      <c r="F60" s="1265">
        <v>960007.85600000003</v>
      </c>
    </row>
    <row r="61" spans="1:6">
      <c r="A61" s="1264" t="s">
        <v>48</v>
      </c>
      <c r="B61" s="1264" t="s">
        <v>53</v>
      </c>
      <c r="C61" s="1265">
        <v>81</v>
      </c>
      <c r="D61" s="1265">
        <v>3088791.1030000001</v>
      </c>
      <c r="E61" s="1265">
        <v>217</v>
      </c>
      <c r="F61" s="1265">
        <v>2004782.9959999998</v>
      </c>
    </row>
    <row r="62" spans="1:6">
      <c r="A62" s="1264" t="s">
        <v>48</v>
      </c>
      <c r="B62" s="1264" t="s">
        <v>54</v>
      </c>
      <c r="C62" s="1265">
        <v>8</v>
      </c>
      <c r="D62" s="1265">
        <v>1568545.2549999999</v>
      </c>
      <c r="E62" s="1265">
        <v>9</v>
      </c>
      <c r="F62" s="1265">
        <v>336811.92700000003</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3</v>
      </c>
      <c r="D65" s="1265">
        <v>90188.324999999997</v>
      </c>
      <c r="E65" s="1265">
        <v>1</v>
      </c>
      <c r="F65" s="1265">
        <v>1760.7639999999999</v>
      </c>
    </row>
    <row r="66" spans="1:6">
      <c r="A66" s="1264" t="s">
        <v>55</v>
      </c>
      <c r="B66" s="1264" t="s">
        <v>57</v>
      </c>
      <c r="C66" s="1265">
        <v>0</v>
      </c>
      <c r="D66" s="1265">
        <v>0</v>
      </c>
      <c r="E66" s="1265">
        <v>16</v>
      </c>
      <c r="F66" s="1265">
        <v>143456.92199999999</v>
      </c>
    </row>
    <row r="67" spans="1:6">
      <c r="A67" s="1264" t="s">
        <v>55</v>
      </c>
      <c r="B67" s="1264" t="s">
        <v>58</v>
      </c>
      <c r="C67" s="1265">
        <v>0</v>
      </c>
      <c r="D67" s="1265">
        <v>0</v>
      </c>
      <c r="E67" s="1265">
        <v>0</v>
      </c>
      <c r="F67" s="1265">
        <v>0</v>
      </c>
    </row>
    <row r="68" spans="1:6">
      <c r="A68" s="1259" t="s">
        <v>55</v>
      </c>
      <c r="B68" s="1259" t="s">
        <v>59</v>
      </c>
      <c r="C68" s="1267">
        <v>0</v>
      </c>
      <c r="D68" s="1267">
        <v>0</v>
      </c>
      <c r="E68" s="1267">
        <v>5</v>
      </c>
      <c r="F68" s="1267">
        <v>127521.493</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123513118</v>
      </c>
      <c r="E73" s="443"/>
      <c r="F73" s="324"/>
    </row>
    <row r="74" spans="1:6">
      <c r="A74" s="1264" t="s">
        <v>63</v>
      </c>
      <c r="B74" s="1264" t="s">
        <v>608</v>
      </c>
      <c r="C74" s="1277" t="s">
        <v>610</v>
      </c>
      <c r="D74" s="1265">
        <v>12210512.984701406</v>
      </c>
      <c r="E74" s="443"/>
      <c r="F74" s="324"/>
    </row>
    <row r="75" spans="1:6">
      <c r="A75" s="1264" t="s">
        <v>64</v>
      </c>
      <c r="B75" s="1264" t="s">
        <v>607</v>
      </c>
      <c r="C75" s="1277" t="s">
        <v>611</v>
      </c>
      <c r="D75" s="1265">
        <v>9362270</v>
      </c>
      <c r="E75" s="443"/>
      <c r="F75" s="324"/>
    </row>
    <row r="76" spans="1:6">
      <c r="A76" s="1264" t="s">
        <v>64</v>
      </c>
      <c r="B76" s="1264" t="s">
        <v>608</v>
      </c>
      <c r="C76" s="1277" t="s">
        <v>612</v>
      </c>
      <c r="D76" s="1265">
        <v>99114.984701405978</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565992.03059718804</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6252.8461867909391</v>
      </c>
      <c r="C91" s="324"/>
      <c r="D91" s="324"/>
      <c r="E91" s="324"/>
      <c r="F91" s="324"/>
    </row>
    <row r="92" spans="1:6">
      <c r="A92" s="1259" t="s">
        <v>68</v>
      </c>
      <c r="B92" s="1260">
        <v>1332.4048557646111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496</v>
      </c>
      <c r="C97" s="324"/>
      <c r="D97" s="324"/>
      <c r="E97" s="324"/>
      <c r="F97" s="324"/>
    </row>
    <row r="98" spans="1:6">
      <c r="A98" s="1264" t="s">
        <v>71</v>
      </c>
      <c r="B98" s="1265">
        <v>3</v>
      </c>
      <c r="C98" s="324"/>
      <c r="D98" s="324"/>
      <c r="E98" s="324"/>
      <c r="F98" s="324"/>
    </row>
    <row r="99" spans="1:6">
      <c r="A99" s="1264" t="s">
        <v>72</v>
      </c>
      <c r="B99" s="1265">
        <v>71</v>
      </c>
      <c r="C99" s="324"/>
      <c r="D99" s="324"/>
      <c r="E99" s="324"/>
      <c r="F99" s="324"/>
    </row>
    <row r="100" spans="1:6">
      <c r="A100" s="1264" t="s">
        <v>73</v>
      </c>
      <c r="B100" s="1265">
        <v>218</v>
      </c>
      <c r="C100" s="324"/>
      <c r="D100" s="324"/>
      <c r="E100" s="324"/>
      <c r="F100" s="324"/>
    </row>
    <row r="101" spans="1:6">
      <c r="A101" s="1264" t="s">
        <v>74</v>
      </c>
      <c r="B101" s="1265">
        <v>67</v>
      </c>
      <c r="C101" s="324"/>
      <c r="D101" s="324"/>
      <c r="E101" s="324"/>
      <c r="F101" s="324"/>
    </row>
    <row r="102" spans="1:6">
      <c r="A102" s="1264" t="s">
        <v>75</v>
      </c>
      <c r="B102" s="1265">
        <v>49</v>
      </c>
      <c r="C102" s="324"/>
      <c r="D102" s="324"/>
      <c r="E102" s="324"/>
      <c r="F102" s="324"/>
    </row>
    <row r="103" spans="1:6">
      <c r="A103" s="1264" t="s">
        <v>76</v>
      </c>
      <c r="B103" s="1265">
        <v>75</v>
      </c>
      <c r="C103" s="324"/>
      <c r="D103" s="324"/>
      <c r="E103" s="324"/>
      <c r="F103" s="324"/>
    </row>
    <row r="104" spans="1:6">
      <c r="A104" s="1264" t="s">
        <v>77</v>
      </c>
      <c r="B104" s="1265">
        <v>3050</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37</v>
      </c>
      <c r="C123" s="1265">
        <v>46</v>
      </c>
      <c r="D123" s="324"/>
      <c r="E123" s="324"/>
      <c r="F123" s="324"/>
    </row>
    <row r="124" spans="1:6">
      <c r="A124" s="1264" t="s">
        <v>88</v>
      </c>
      <c r="B124" s="1265">
        <v>2</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222</v>
      </c>
      <c r="C129" s="324"/>
      <c r="D129" s="324"/>
      <c r="E129" s="324"/>
      <c r="F129" s="324"/>
    </row>
    <row r="130" spans="1:6">
      <c r="A130" s="1264" t="s">
        <v>284</v>
      </c>
      <c r="B130" s="1265">
        <v>1</v>
      </c>
      <c r="C130" s="324"/>
      <c r="D130" s="324"/>
      <c r="E130" s="324"/>
      <c r="F130" s="324"/>
    </row>
    <row r="131" spans="1:6">
      <c r="A131" s="1264" t="s">
        <v>285</v>
      </c>
      <c r="B131" s="1265">
        <v>0</v>
      </c>
      <c r="C131" s="324"/>
      <c r="D131" s="324"/>
      <c r="E131" s="324"/>
      <c r="F131" s="324"/>
    </row>
    <row r="132" spans="1:6">
      <c r="A132" s="1259" t="s">
        <v>286</v>
      </c>
      <c r="B132" s="1260">
        <v>48</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35687.591023892848</v>
      </c>
      <c r="C3" s="43" t="s">
        <v>163</v>
      </c>
      <c r="D3" s="43"/>
      <c r="E3" s="153"/>
      <c r="F3" s="43"/>
      <c r="G3" s="43"/>
      <c r="H3" s="43"/>
      <c r="I3" s="43"/>
      <c r="J3" s="43"/>
      <c r="K3" s="96"/>
    </row>
    <row r="4" spans="1:11">
      <c r="A4" s="350" t="s">
        <v>164</v>
      </c>
      <c r="B4" s="49">
        <f>IF(ISERROR('SEAP template'!B78+'SEAP template'!C78),0,'SEAP template'!B78+'SEAP template'!C78)</f>
        <v>7675.2510425555502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21.388235294117649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0.17406933875168676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30.554621848739504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128.57142857142858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927.58030700000006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927.58030700000006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0.17406933875168676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161.46329067857661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16244.37009</v>
      </c>
      <c r="C5" s="17">
        <f>IF(ISERROR('Eigen informatie GS &amp; warmtenet'!B59),0,'Eigen informatie GS &amp; warmtenet'!B59)</f>
        <v>0</v>
      </c>
      <c r="D5" s="30">
        <f>(SUM(HH_hh_gas_kWh,HH_rest_gas_kWh)/1000)*0.903</f>
        <v>36426.058561452002</v>
      </c>
      <c r="E5" s="17">
        <f>B32*B41</f>
        <v>1901.5431238534513</v>
      </c>
      <c r="F5" s="17">
        <f>B36*B45</f>
        <v>31161.883873377468</v>
      </c>
      <c r="G5" s="18"/>
      <c r="H5" s="17"/>
      <c r="I5" s="17"/>
      <c r="J5" s="17">
        <f>B35*B44+C35*C44</f>
        <v>171.99798123856019</v>
      </c>
      <c r="K5" s="17"/>
      <c r="L5" s="17"/>
      <c r="M5" s="17"/>
      <c r="N5" s="17">
        <f>B34*B43+C34*C43</f>
        <v>7218.9470166645569</v>
      </c>
      <c r="O5" s="17">
        <f>B52*B53*B54</f>
        <v>533.68476101511158</v>
      </c>
      <c r="P5" s="17">
        <f>B60*B61*B62/1000-B60*B61*B62/1000/B63</f>
        <v>916.45445976859696</v>
      </c>
    </row>
    <row r="6" spans="1:16">
      <c r="A6" s="16" t="s">
        <v>573</v>
      </c>
      <c r="B6" s="739">
        <f>kWh_PV_kleiner_dan_10kW</f>
        <v>6252.8461867909391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22497.216276790939</v>
      </c>
      <c r="C8" s="21">
        <f>C5</f>
        <v>0</v>
      </c>
      <c r="D8" s="21">
        <f>D5</f>
        <v>36426.058561452002</v>
      </c>
      <c r="E8" s="21">
        <f>E5</f>
        <v>1901.5431238534513</v>
      </c>
      <c r="F8" s="21">
        <f>F5</f>
        <v>31161.883873377468</v>
      </c>
      <c r="G8" s="21"/>
      <c r="H8" s="21"/>
      <c r="I8" s="21"/>
      <c r="J8" s="21">
        <f>J5</f>
        <v>171.99798123856019</v>
      </c>
      <c r="K8" s="21"/>
      <c r="L8" s="21">
        <f>L5</f>
        <v>0</v>
      </c>
      <c r="M8" s="21">
        <f>M5</f>
        <v>0</v>
      </c>
      <c r="N8" s="21">
        <f>N5</f>
        <v>7218.9470166645569</v>
      </c>
      <c r="O8" s="21">
        <f>O5</f>
        <v>533.68476101511158</v>
      </c>
      <c r="P8" s="21">
        <f>P5</f>
        <v>916.45445976859696</v>
      </c>
    </row>
    <row r="9" spans="1:16">
      <c r="B9" s="19"/>
      <c r="C9" s="19"/>
      <c r="D9" s="253"/>
      <c r="E9" s="19"/>
      <c r="F9" s="19"/>
      <c r="G9" s="19"/>
      <c r="H9" s="19"/>
      <c r="I9" s="19"/>
      <c r="J9" s="19"/>
      <c r="K9" s="19"/>
      <c r="L9" s="19"/>
      <c r="M9" s="19"/>
      <c r="N9" s="19"/>
      <c r="O9" s="19"/>
      <c r="P9" s="19"/>
    </row>
    <row r="10" spans="1:16">
      <c r="A10" s="24" t="s">
        <v>207</v>
      </c>
      <c r="B10" s="25">
        <f ca="1">'EF ele_warmte'!B12</f>
        <v>0.17406933875168676</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3916.075561054683</v>
      </c>
      <c r="C12" s="23">
        <f ca="1">C10*C8</f>
        <v>0</v>
      </c>
      <c r="D12" s="23">
        <f>D8*D10</f>
        <v>7358.063829413305</v>
      </c>
      <c r="E12" s="23">
        <f>E10*E8</f>
        <v>431.65028911473348</v>
      </c>
      <c r="F12" s="23">
        <f>F10*F8</f>
        <v>8320.2229941917849</v>
      </c>
      <c r="G12" s="23"/>
      <c r="H12" s="23"/>
      <c r="I12" s="23"/>
      <c r="J12" s="23">
        <f>J10*J8</f>
        <v>60.887285358450306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4989</v>
      </c>
      <c r="C26" s="36"/>
      <c r="D26" s="224"/>
    </row>
    <row r="27" spans="1:5" s="15" customFormat="1">
      <c r="A27" s="226" t="s">
        <v>784</v>
      </c>
      <c r="B27" s="37">
        <f>SUM(HH_hh_gas_aantal,HH_rest_gas_aantal)</f>
        <v>2600</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2470</v>
      </c>
      <c r="C31" s="34" t="s">
        <v>104</v>
      </c>
      <c r="D31" s="170"/>
    </row>
    <row r="32" spans="1:5">
      <c r="A32" s="167" t="s">
        <v>72</v>
      </c>
      <c r="B32" s="33">
        <f>IF((B21*($B$26-($B$27-0.05*$B$27)-$B$60))&lt;0,0,B21*($B$26-($B$27-0.05*$B$27)-$B$60))</f>
        <v>37.513508035636676</v>
      </c>
      <c r="C32" s="34" t="s">
        <v>104</v>
      </c>
      <c r="D32" s="170"/>
    </row>
    <row r="33" spans="1:6">
      <c r="A33" s="167" t="s">
        <v>73</v>
      </c>
      <c r="B33" s="33">
        <f>IF((B22*($B$26-($B$27-0.05*$B$27)-$B$60))&lt;0,0,B22*($B$26-($B$27-0.05*$B$27)-$B$60))</f>
        <v>609.14507418060703</v>
      </c>
      <c r="C33" s="34" t="s">
        <v>104</v>
      </c>
      <c r="D33" s="170"/>
    </row>
    <row r="34" spans="1:6">
      <c r="A34" s="167" t="s">
        <v>74</v>
      </c>
      <c r="B34" s="33">
        <f>IF((B24*($B$26-($B$27-0.05*$B$27)-$B$60))&lt;0,0,B24*($B$26-($B$27-0.05*$B$27)-$B$60))</f>
        <v>266.35433138485439</v>
      </c>
      <c r="C34" s="33">
        <f>B26*C24</f>
        <v>838.15165981300311</v>
      </c>
      <c r="D34" s="229"/>
    </row>
    <row r="35" spans="1:6">
      <c r="A35" s="167" t="s">
        <v>76</v>
      </c>
      <c r="B35" s="33">
        <f>IF((B19*($B$26-($B$27-0.05*$B$27)-$B$60))&lt;0,0,B19*($B$26-($B$27-0.05*$B$27)-$B$60))</f>
        <v>16.307032508440159</v>
      </c>
      <c r="C35" s="33">
        <f>B35/2</f>
        <v>8.1535162542200794</v>
      </c>
      <c r="D35" s="229"/>
    </row>
    <row r="36" spans="1:6">
      <c r="A36" s="167" t="s">
        <v>77</v>
      </c>
      <c r="B36" s="33">
        <f>IF((B18*($B$26-($B$27-0.05*$B$27)-$B$60))&lt;0,0,B18*($B$26-($B$27-0.05*$B$27)-$B$60))</f>
        <v>1502.6800538904611</v>
      </c>
      <c r="C36" s="34" t="s">
        <v>104</v>
      </c>
      <c r="D36" s="170"/>
    </row>
    <row r="37" spans="1:6">
      <c r="A37" s="167" t="s">
        <v>78</v>
      </c>
      <c r="B37" s="33">
        <f>B60</f>
        <v>87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269</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7430.1639339999992</v>
      </c>
      <c r="C5" s="17">
        <f>IF(ISERROR('Eigen informatie GS &amp; warmtenet'!B60),0,'Eigen informatie GS &amp; warmtenet'!B60)</f>
        <v>0</v>
      </c>
      <c r="D5" s="30">
        <f>SUM(D6:D12)</f>
        <v>7499.7180106800006</v>
      </c>
      <c r="E5" s="17">
        <f>SUM(E6:E12)</f>
        <v>21.002934835826618</v>
      </c>
      <c r="F5" s="17">
        <f>SUM(F6:F12)</f>
        <v>1349.8835450275756</v>
      </c>
      <c r="G5" s="18"/>
      <c r="H5" s="17"/>
      <c r="I5" s="17"/>
      <c r="J5" s="17">
        <f>SUM(J6:J12)</f>
        <v>7.75133794214641E-3</v>
      </c>
      <c r="K5" s="17"/>
      <c r="L5" s="17"/>
      <c r="M5" s="17"/>
      <c r="N5" s="17">
        <f>SUM(N6:N12)</f>
        <v>278.64720231392386</v>
      </c>
      <c r="O5" s="17">
        <f>B38*B39*B40</f>
        <v>4.8972607658411542</v>
      </c>
      <c r="P5" s="17">
        <f>B46*B47*B48/1000-B46*B47*B48/1000/B49</f>
        <v>0</v>
      </c>
      <c r="R5" s="32"/>
    </row>
    <row r="6" spans="1:18">
      <c r="A6" s="32" t="s">
        <v>53</v>
      </c>
      <c r="B6" s="37">
        <f>B26</f>
        <v>2004.7829959999999</v>
      </c>
      <c r="C6" s="33"/>
      <c r="D6" s="37">
        <f>IF(ISERROR(TER_kantoor_gas_kWh/1000),0,TER_kantoor_gas_kWh/1000)*0.903</f>
        <v>2789.178366009</v>
      </c>
      <c r="E6" s="33">
        <f>$C$26*'E Balans VL '!I12/100/3.6*1000000</f>
        <v>0.48757741356847062</v>
      </c>
      <c r="F6" s="33">
        <f>$C$26*('E Balans VL '!L12+'E Balans VL '!N12)/100/3.6*1000000</f>
        <v>191.97066642838507</v>
      </c>
      <c r="G6" s="34"/>
      <c r="H6" s="33"/>
      <c r="I6" s="33"/>
      <c r="J6" s="33">
        <f>$C$26*('E Balans VL '!D12+'E Balans VL '!E12)/100/3.6*1000000</f>
        <v>0</v>
      </c>
      <c r="K6" s="33"/>
      <c r="L6" s="33"/>
      <c r="M6" s="33"/>
      <c r="N6" s="33">
        <f>$C$26*'E Balans VL '!Y12/100/3.6*1000000</f>
        <v>1.0177762325986266</v>
      </c>
      <c r="O6" s="33"/>
      <c r="P6" s="33"/>
      <c r="R6" s="32"/>
    </row>
    <row r="7" spans="1:18">
      <c r="A7" s="32" t="s">
        <v>52</v>
      </c>
      <c r="B7" s="37">
        <f t="shared" ref="B7:B12" si="0">B27</f>
        <v>960.00785600000006</v>
      </c>
      <c r="C7" s="33"/>
      <c r="D7" s="37">
        <f>IF(ISERROR(TER_horeca_gas_kWh/1000),0,TER_horeca_gas_kWh/1000)*0.903</f>
        <v>928.91814890699993</v>
      </c>
      <c r="E7" s="33">
        <f>$C$27*'E Balans VL '!I9/100/3.6*1000000</f>
        <v>0</v>
      </c>
      <c r="F7" s="33">
        <f>$C$27*('E Balans VL '!L9+'E Balans VL '!N9)/100/3.6*1000000</f>
        <v>78.738969826791731</v>
      </c>
      <c r="G7" s="34"/>
      <c r="H7" s="33"/>
      <c r="I7" s="33"/>
      <c r="J7" s="33">
        <f>$C$27*('E Balans VL '!D9+'E Balans VL '!E9)/100/3.6*1000000</f>
        <v>0</v>
      </c>
      <c r="K7" s="33"/>
      <c r="L7" s="33"/>
      <c r="M7" s="33"/>
      <c r="N7" s="33">
        <f>$C$27*'E Balans VL '!Y9/100/3.6*1000000</f>
        <v>6.3051413761676001</v>
      </c>
      <c r="O7" s="33"/>
      <c r="P7" s="33"/>
      <c r="R7" s="32"/>
    </row>
    <row r="8" spans="1:18">
      <c r="A8" s="6" t="s">
        <v>51</v>
      </c>
      <c r="B8" s="37">
        <f t="shared" si="0"/>
        <v>2616.9887629999998</v>
      </c>
      <c r="C8" s="33"/>
      <c r="D8" s="37">
        <f>IF(ISERROR(TER_handel_gas_kWh/1000),0,TER_handel_gas_kWh/1000)*0.903</f>
        <v>789.88319104800007</v>
      </c>
      <c r="E8" s="33">
        <f>$C$28*'E Balans VL '!I13/100/3.6*1000000</f>
        <v>9.2511908510556857</v>
      </c>
      <c r="F8" s="33">
        <f>$C$28*('E Balans VL '!L13+'E Balans VL '!N13)/100/3.6*1000000</f>
        <v>240.96868364011195</v>
      </c>
      <c r="G8" s="34"/>
      <c r="H8" s="33"/>
      <c r="I8" s="33"/>
      <c r="J8" s="33">
        <f>$C$28*('E Balans VL '!D13+'E Balans VL '!E13)/100/3.6*1000000</f>
        <v>0</v>
      </c>
      <c r="K8" s="33"/>
      <c r="L8" s="33"/>
      <c r="M8" s="33"/>
      <c r="N8" s="33">
        <f>$C$28*'E Balans VL '!Y13/100/3.6*1000000</f>
        <v>0.94776066437588447</v>
      </c>
      <c r="O8" s="33"/>
      <c r="P8" s="33"/>
      <c r="R8" s="32"/>
    </row>
    <row r="9" spans="1:18">
      <c r="A9" s="32" t="s">
        <v>50</v>
      </c>
      <c r="B9" s="37">
        <f t="shared" si="0"/>
        <v>726.69196099999999</v>
      </c>
      <c r="C9" s="33"/>
      <c r="D9" s="37">
        <f>IF(ISERROR(TER_gezond_gas_kWh/1000),0,TER_gezond_gas_kWh/1000)*0.903</f>
        <v>1219.4712458880001</v>
      </c>
      <c r="E9" s="33">
        <f>$C$29*'E Balans VL '!I10/100/3.6*1000000</f>
        <v>0</v>
      </c>
      <c r="F9" s="33">
        <f>$C$29*('E Balans VL '!L10+'E Balans VL '!N10)/100/3.6*1000000</f>
        <v>89.271140586850009</v>
      </c>
      <c r="G9" s="34"/>
      <c r="H9" s="33"/>
      <c r="I9" s="33"/>
      <c r="J9" s="33">
        <f>$C$29*('E Balans VL '!D10+'E Balans VL '!E10)/100/3.6*1000000</f>
        <v>0</v>
      </c>
      <c r="K9" s="33"/>
      <c r="L9" s="33"/>
      <c r="M9" s="33"/>
      <c r="N9" s="33">
        <f>$C$29*'E Balans VL '!Y10/100/3.6*1000000</f>
        <v>5.3588468135681842</v>
      </c>
      <c r="O9" s="33"/>
      <c r="P9" s="33"/>
      <c r="R9" s="32"/>
    </row>
    <row r="10" spans="1:18">
      <c r="A10" s="32" t="s">
        <v>49</v>
      </c>
      <c r="B10" s="37">
        <f t="shared" si="0"/>
        <v>784.88043099999993</v>
      </c>
      <c r="C10" s="33"/>
      <c r="D10" s="37">
        <f>IF(ISERROR(TER_ander_gas_kWh/1000),0,TER_ander_gas_kWh/1000)*0.903</f>
        <v>355.87069356300003</v>
      </c>
      <c r="E10" s="33">
        <f>$C$30*'E Balans VL '!I14/100/3.6*1000000</f>
        <v>11.264166571202463</v>
      </c>
      <c r="F10" s="33">
        <f>$C$30*('E Balans VL '!L14+'E Balans VL '!N14)/100/3.6*1000000</f>
        <v>709.55675938367801</v>
      </c>
      <c r="G10" s="34"/>
      <c r="H10" s="33"/>
      <c r="I10" s="33"/>
      <c r="J10" s="33">
        <f>$C$30*('E Balans VL '!D14+'E Balans VL '!E14)/100/3.6*1000000</f>
        <v>7.75133794214641E-3</v>
      </c>
      <c r="K10" s="33"/>
      <c r="L10" s="33"/>
      <c r="M10" s="33"/>
      <c r="N10" s="33">
        <f>$C$30*'E Balans VL '!Y14/100/3.6*1000000</f>
        <v>264.06925351730513</v>
      </c>
      <c r="O10" s="33"/>
      <c r="P10" s="33"/>
      <c r="R10" s="32"/>
    </row>
    <row r="11" spans="1:18">
      <c r="A11" s="32" t="s">
        <v>54</v>
      </c>
      <c r="B11" s="37">
        <f t="shared" si="0"/>
        <v>336.81192700000003</v>
      </c>
      <c r="C11" s="33"/>
      <c r="D11" s="37">
        <f>IF(ISERROR(TER_onderwijs_gas_kWh/1000),0,TER_onderwijs_gas_kWh/1000)*0.903</f>
        <v>1416.396365265</v>
      </c>
      <c r="E11" s="33">
        <f>$C$31*'E Balans VL '!I11/100/3.6*1000000</f>
        <v>0</v>
      </c>
      <c r="F11" s="33">
        <f>$C$31*('E Balans VL '!L11+'E Balans VL '!N11)/100/3.6*1000000</f>
        <v>39.377325161758748</v>
      </c>
      <c r="G11" s="34"/>
      <c r="H11" s="33"/>
      <c r="I11" s="33"/>
      <c r="J11" s="33">
        <f>$C$31*('E Balans VL '!D11+'E Balans VL '!E11)/100/3.6*1000000</f>
        <v>0</v>
      </c>
      <c r="K11" s="33"/>
      <c r="L11" s="33"/>
      <c r="M11" s="33"/>
      <c r="N11" s="33">
        <f>$C$31*'E Balans VL '!Y11/100/3.6*1000000</f>
        <v>0.94842370990842462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90</v>
      </c>
      <c r="C13" s="242">
        <f ca="1">'lokale energieproductie'!O38+'lokale energieproductie'!O31</f>
        <v>128.57142857142858</v>
      </c>
      <c r="D13" s="302">
        <f ca="1">('lokale energieproductie'!P31+'lokale energieproductie'!P38)*(-1)</f>
        <v>-257.14285714285717</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7520.1639339999992</v>
      </c>
      <c r="C16" s="21">
        <f t="shared" ca="1" si="1"/>
        <v>128.57142857142858</v>
      </c>
      <c r="D16" s="21">
        <f t="shared" ca="1" si="1"/>
        <v>7242.5751535371437</v>
      </c>
      <c r="E16" s="21">
        <f t="shared" si="1"/>
        <v>21.002934835826618</v>
      </c>
      <c r="F16" s="21">
        <f t="shared" ca="1" si="1"/>
        <v>1349.8835450275756</v>
      </c>
      <c r="G16" s="21">
        <f t="shared" si="1"/>
        <v>0</v>
      </c>
      <c r="H16" s="21">
        <f t="shared" si="1"/>
        <v>0</v>
      </c>
      <c r="I16" s="21">
        <f t="shared" si="1"/>
        <v>0</v>
      </c>
      <c r="J16" s="21">
        <f t="shared" si="1"/>
        <v>7.75133794214641E-3</v>
      </c>
      <c r="K16" s="21">
        <f t="shared" si="1"/>
        <v>0</v>
      </c>
      <c r="L16" s="21">
        <f t="shared" ca="1" si="1"/>
        <v>0</v>
      </c>
      <c r="M16" s="21">
        <f t="shared" si="1"/>
        <v>0</v>
      </c>
      <c r="N16" s="21">
        <f t="shared" ca="1" si="1"/>
        <v>278.64720231392386</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0.17406933875168676</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1309.0299632956633</v>
      </c>
      <c r="C20" s="23">
        <f t="shared" ref="C20:P20" ca="1" si="2">C16*C18</f>
        <v>30.554621848739504</v>
      </c>
      <c r="D20" s="23">
        <f t="shared" ca="1" si="2"/>
        <v>1463.0001810145031</v>
      </c>
      <c r="E20" s="23">
        <f t="shared" si="2"/>
        <v>4.7676662077326428</v>
      </c>
      <c r="F20" s="23">
        <f t="shared" ca="1" si="2"/>
        <v>360.4189065223627</v>
      </c>
      <c r="G20" s="23">
        <f t="shared" si="2"/>
        <v>0</v>
      </c>
      <c r="H20" s="23">
        <f t="shared" si="2"/>
        <v>0</v>
      </c>
      <c r="I20" s="23">
        <f t="shared" si="2"/>
        <v>0</v>
      </c>
      <c r="J20" s="23">
        <f t="shared" si="2"/>
        <v>2.7439736315198289E-3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2004.7829959999999</v>
      </c>
      <c r="C26" s="39">
        <f>IF(ISERROR(B26*3.6/1000000/'E Balans VL '!Z12*100),0,B26*3.6/1000000/'E Balans VL '!Z12*100)</f>
        <v>5.6509661133322252E-2</v>
      </c>
      <c r="D26" s="232" t="s">
        <v>660</v>
      </c>
      <c r="F26" s="6"/>
    </row>
    <row r="27" spans="1:18">
      <c r="A27" s="227" t="s">
        <v>52</v>
      </c>
      <c r="B27" s="33">
        <f>IF(ISERROR(TER_horeca_ele_kWh/1000),0,TER_horeca_ele_kWh/1000)</f>
        <v>960.00785600000006</v>
      </c>
      <c r="C27" s="39">
        <f>IF(ISERROR(B27*3.6/1000000/'E Balans VL '!Z9*100),0,B27*3.6/1000000/'E Balans VL '!Z9*100)</f>
        <v>7.1172789135750467E-2</v>
      </c>
      <c r="D27" s="232" t="s">
        <v>660</v>
      </c>
      <c r="F27" s="6"/>
    </row>
    <row r="28" spans="1:18">
      <c r="A28" s="167" t="s">
        <v>51</v>
      </c>
      <c r="B28" s="33">
        <f>IF(ISERROR(TER_handel_ele_kWh/1000),0,TER_handel_ele_kWh/1000)</f>
        <v>2616.9887629999998</v>
      </c>
      <c r="C28" s="39">
        <f>IF(ISERROR(B28*3.6/1000000/'E Balans VL '!Z13*100),0,B28*3.6/1000000/'E Balans VL '!Z13*100)</f>
        <v>7.839876121638803E-2</v>
      </c>
      <c r="D28" s="232" t="s">
        <v>660</v>
      </c>
      <c r="F28" s="6"/>
    </row>
    <row r="29" spans="1:18">
      <c r="A29" s="227" t="s">
        <v>50</v>
      </c>
      <c r="B29" s="33">
        <f>IF(ISERROR(TER_gezond_ele_kWh/1000),0,TER_gezond_ele_kWh/1000)</f>
        <v>726.69196099999999</v>
      </c>
      <c r="C29" s="39">
        <f>IF(ISERROR(B29*3.6/1000000/'E Balans VL '!Z10*100),0,B29*3.6/1000000/'E Balans VL '!Z10*100)</f>
        <v>7.1855585929222046E-2</v>
      </c>
      <c r="D29" s="232" t="s">
        <v>660</v>
      </c>
      <c r="F29" s="6"/>
    </row>
    <row r="30" spans="1:18">
      <c r="A30" s="227" t="s">
        <v>49</v>
      </c>
      <c r="B30" s="33">
        <f>IF(ISERROR(TER_ander_ele_kWh/1000),0,TER_ander_ele_kWh/1000)</f>
        <v>784.88043099999993</v>
      </c>
      <c r="C30" s="39">
        <f>IF(ISERROR(B30*3.6/1000000/'E Balans VL '!Z14*100),0,B30*3.6/1000000/'E Balans VL '!Z14*100)</f>
        <v>3.1746093961009185E-2</v>
      </c>
      <c r="D30" s="232" t="s">
        <v>660</v>
      </c>
      <c r="F30" s="6"/>
    </row>
    <row r="31" spans="1:18">
      <c r="A31" s="227" t="s">
        <v>54</v>
      </c>
      <c r="B31" s="33">
        <f>IF(ISERROR(TER_onderwijs_ele_kWh/1000),0,TER_onderwijs_ele_kWh/1000)</f>
        <v>336.81192700000003</v>
      </c>
      <c r="C31" s="39">
        <f>IF(ISERROR(B31*3.6/1000000/'E Balans VL '!Z11*100),0,B31*3.6/1000000/'E Balans VL '!Z11*100)</f>
        <v>9.253696669394075E-2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3533.592451</v>
      </c>
      <c r="C5" s="17">
        <f>IF(ISERROR('Eigen informatie GS &amp; warmtenet'!B61),0,'Eigen informatie GS &amp; warmtenet'!B61)</f>
        <v>0</v>
      </c>
      <c r="D5" s="30">
        <f>SUM(D6:D15)</f>
        <v>2913.910283361</v>
      </c>
      <c r="E5" s="17">
        <f>SUM(E6:E15)</f>
        <v>41.759732117719722</v>
      </c>
      <c r="F5" s="17">
        <f>SUM(F6:F15)</f>
        <v>977.64736065523584</v>
      </c>
      <c r="G5" s="18"/>
      <c r="H5" s="17"/>
      <c r="I5" s="17"/>
      <c r="J5" s="17">
        <f>SUM(J6:J15)</f>
        <v>3.7136225893424815</v>
      </c>
      <c r="K5" s="17"/>
      <c r="L5" s="17"/>
      <c r="M5" s="17"/>
      <c r="N5" s="17">
        <f>SUM(N6:N15)</f>
        <v>91.051447426713821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1372.6736580000002</v>
      </c>
      <c r="C8" s="33"/>
      <c r="D8" s="37">
        <f>IF( ISERROR(IND_metaal_Gas_kWH/1000),0,IND_metaal_Gas_kWH/1000)*0.903</f>
        <v>1846.1974043940002</v>
      </c>
      <c r="E8" s="33">
        <f>C30*'E Balans VL '!I18/100/3.6*1000000</f>
        <v>7.502257771779508</v>
      </c>
      <c r="F8" s="33">
        <f>C30*'E Balans VL '!L18/100/3.6*1000000+C30*'E Balans VL '!N18/100/3.6*1000000</f>
        <v>93.957467712256445</v>
      </c>
      <c r="G8" s="34"/>
      <c r="H8" s="33"/>
      <c r="I8" s="33"/>
      <c r="J8" s="40">
        <f>C30*'E Balans VL '!D18/100/3.6*1000000+C30*'E Balans VL '!E18/100/3.6*1000000</f>
        <v>1.3679618375547205</v>
      </c>
      <c r="K8" s="33"/>
      <c r="L8" s="33"/>
      <c r="M8" s="33"/>
      <c r="N8" s="33">
        <f>C30*'E Balans VL '!Y18/100/3.6*1000000</f>
        <v>20.302504387147284</v>
      </c>
      <c r="O8" s="33"/>
      <c r="P8" s="33"/>
      <c r="R8" s="32"/>
    </row>
    <row r="9" spans="1:18">
      <c r="A9" s="6" t="s">
        <v>32</v>
      </c>
      <c r="B9" s="37">
        <f t="shared" si="0"/>
        <v>1234.6271100000001</v>
      </c>
      <c r="C9" s="33"/>
      <c r="D9" s="37">
        <f>IF( ISERROR(IND_andere_gas_kWh/1000),0,IND_andere_gas_kWh/1000)*0.903</f>
        <v>844.57557492000012</v>
      </c>
      <c r="E9" s="33">
        <f>C31*'E Balans VL '!I19/100/3.6*1000000</f>
        <v>4.6462283039272352</v>
      </c>
      <c r="F9" s="33">
        <f>C31*'E Balans VL '!L19/100/3.6*1000000+C31*'E Balans VL '!N19/100/3.6*1000000</f>
        <v>794.63939536160672</v>
      </c>
      <c r="G9" s="34"/>
      <c r="H9" s="33"/>
      <c r="I9" s="33"/>
      <c r="J9" s="40">
        <f>C31*'E Balans VL '!D19/100/3.6*1000000+C31*'E Balans VL '!E19/100/3.6*1000000</f>
        <v>0</v>
      </c>
      <c r="K9" s="33"/>
      <c r="L9" s="33"/>
      <c r="M9" s="33"/>
      <c r="N9" s="33">
        <f>C31*'E Balans VL '!Y19/100/3.6*1000000</f>
        <v>44.601730486786138</v>
      </c>
      <c r="O9" s="33"/>
      <c r="P9" s="33"/>
      <c r="R9" s="32"/>
    </row>
    <row r="10" spans="1:18">
      <c r="A10" s="6" t="s">
        <v>40</v>
      </c>
      <c r="B10" s="37">
        <f t="shared" si="0"/>
        <v>356.00744099999997</v>
      </c>
      <c r="C10" s="33"/>
      <c r="D10" s="37">
        <f>IF( ISERROR(IND_voed_gas_kWh/1000),0,IND_voed_gas_kWh/1000)*0.903</f>
        <v>176.535429945</v>
      </c>
      <c r="E10" s="33">
        <f>C32*'E Balans VL '!I20/100/3.6*1000000</f>
        <v>0.7047433945680649</v>
      </c>
      <c r="F10" s="33">
        <f>C32*'E Balans VL '!L20/100/3.6*1000000+C32*'E Balans VL '!N20/100/3.6*1000000</f>
        <v>7.5611614423802269</v>
      </c>
      <c r="G10" s="34"/>
      <c r="H10" s="33"/>
      <c r="I10" s="33"/>
      <c r="J10" s="40">
        <f>C32*'E Balans VL '!D20/100/3.6*1000000+C32*'E Balans VL '!E20/100/3.6*1000000</f>
        <v>0</v>
      </c>
      <c r="K10" s="33"/>
      <c r="L10" s="33"/>
      <c r="M10" s="33"/>
      <c r="N10" s="33">
        <f>C32*'E Balans VL '!Y20/100/3.6*1000000</f>
        <v>14.348452686386041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36.356336999999996</v>
      </c>
      <c r="C13" s="33"/>
      <c r="D13" s="37">
        <f>IF( ISERROR(IND_papier_gas_kWh/1000),0,IND_papier_gas_kWh/1000)*0.903</f>
        <v>46.601874102000004</v>
      </c>
      <c r="E13" s="33">
        <f>C35*'E Balans VL '!I23/100/3.6*1000000</f>
        <v>0</v>
      </c>
      <c r="F13" s="33">
        <f>C35*'E Balans VL '!L23/100/3.6*1000000+C35*'E Balans VL '!N23/100/3.6*1000000</f>
        <v>4.4538807710877131E-3</v>
      </c>
      <c r="G13" s="34"/>
      <c r="H13" s="33"/>
      <c r="I13" s="33"/>
      <c r="J13" s="40">
        <f>C35*'E Balans VL '!D23/100/3.6*1000000+C35*'E Balans VL '!E23/100/3.6*1000000</f>
        <v>2.8326981824043627E-3</v>
      </c>
      <c r="K13" s="33"/>
      <c r="L13" s="33"/>
      <c r="M13" s="33"/>
      <c r="N13" s="33">
        <f>C35*'E Balans VL '!Y23/100/3.6*1000000</f>
        <v>-3.3362754048543564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533.92790500000001</v>
      </c>
      <c r="C15" s="33"/>
      <c r="D15" s="37">
        <f>IF( ISERROR(IND_rest_gas_kWh/1000),0,IND_rest_gas_kWh/1000)*0.903</f>
        <v>0</v>
      </c>
      <c r="E15" s="33">
        <f>C37*'E Balans VL '!I15/100/3.6*1000000</f>
        <v>28.906502647444917</v>
      </c>
      <c r="F15" s="33">
        <f>C37*'E Balans VL '!L15/100/3.6*1000000+C37*'E Balans VL '!N15/100/3.6*1000000</f>
        <v>81.484882258221489</v>
      </c>
      <c r="G15" s="34"/>
      <c r="H15" s="33"/>
      <c r="I15" s="33"/>
      <c r="J15" s="40">
        <f>C37*'E Balans VL '!D15/100/3.6*1000000+C37*'E Balans VL '!E15/100/3.6*1000000</f>
        <v>2.3428280536053565</v>
      </c>
      <c r="K15" s="33"/>
      <c r="L15" s="33"/>
      <c r="M15" s="33"/>
      <c r="N15" s="33">
        <f>C37*'E Balans VL '!Y15/100/3.6*1000000</f>
        <v>15.135035271248718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3533.592451</v>
      </c>
      <c r="C18" s="21">
        <f>C5+C16</f>
        <v>0</v>
      </c>
      <c r="D18" s="21">
        <f>MAX((D5+D16),0)</f>
        <v>2913.910283361</v>
      </c>
      <c r="E18" s="21">
        <f>MAX((E5+E16),0)</f>
        <v>41.759732117719722</v>
      </c>
      <c r="F18" s="21">
        <f>MAX((F5+F16),0)</f>
        <v>977.64736065523584</v>
      </c>
      <c r="G18" s="21"/>
      <c r="H18" s="21"/>
      <c r="I18" s="21"/>
      <c r="J18" s="21">
        <f>MAX((J5+J16),0)</f>
        <v>3.7136225893424815</v>
      </c>
      <c r="K18" s="21"/>
      <c r="L18" s="21">
        <f>MAX((L5+L16),0)</f>
        <v>0</v>
      </c>
      <c r="M18" s="21"/>
      <c r="N18" s="21">
        <f>MAX((N5+N16),0)</f>
        <v>91.051447426713821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0.17406933875168676</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615.09010136352208</v>
      </c>
      <c r="C22" s="23">
        <f ca="1">C18*C20</f>
        <v>0</v>
      </c>
      <c r="D22" s="23">
        <f>D18*D20</f>
        <v>588.60987723892208</v>
      </c>
      <c r="E22" s="23">
        <f>E18*E20</f>
        <v>9.4794591907223769</v>
      </c>
      <c r="F22" s="23">
        <f>F18*F20</f>
        <v>261.03184529494797</v>
      </c>
      <c r="G22" s="23"/>
      <c r="H22" s="23"/>
      <c r="I22" s="23"/>
      <c r="J22" s="23">
        <f>J18*J20</f>
        <v>1.3146223966272383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1372.6736580000002</v>
      </c>
      <c r="C30" s="39">
        <f>IF(ISERROR(B30*3.6/1000000/'E Balans VL '!Z18*100),0,B30*3.6/1000000/'E Balans VL '!Z18*100)</f>
        <v>7.6588843160139641E-2</v>
      </c>
      <c r="D30" s="232" t="s">
        <v>660</v>
      </c>
    </row>
    <row r="31" spans="1:18">
      <c r="A31" s="6" t="s">
        <v>32</v>
      </c>
      <c r="B31" s="37">
        <f>IF( ISERROR(IND_ander_ele_kWh/1000),0,IND_ander_ele_kWh/1000)</f>
        <v>1234.6271100000001</v>
      </c>
      <c r="C31" s="39">
        <f>IF(ISERROR(B31*3.6/1000000/'E Balans VL '!Z19*100),0,B31*3.6/1000000/'E Balans VL '!Z19*100)</f>
        <v>5.0253133127325524E-2</v>
      </c>
      <c r="D31" s="232" t="s">
        <v>660</v>
      </c>
    </row>
    <row r="32" spans="1:18">
      <c r="A32" s="167" t="s">
        <v>40</v>
      </c>
      <c r="B32" s="37">
        <f>IF( ISERROR(IND_voed_ele_kWh/1000),0,IND_voed_ele_kWh/1000)</f>
        <v>356.00744099999997</v>
      </c>
      <c r="C32" s="39">
        <f>IF(ISERROR(B32*3.6/1000000/'E Balans VL '!Z20*100),0,B32*3.6/1000000/'E Balans VL '!Z20*100)</f>
        <v>1.0354419861119832E-2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36.356336999999996</v>
      </c>
      <c r="C35" s="39">
        <f>IF(ISERROR(B35*3.6/1000000/'E Balans VL '!Z22*100),0,B35*3.6/1000000/'E Balans VL '!Z22*100)</f>
        <v>1.4584663586043324E-2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533.92790500000001</v>
      </c>
      <c r="C37" s="39">
        <f>IF(ISERROR(B37*3.6/1000000/'E Balans VL '!Z15*100),0,B37*3.6/1000000/'E Balans VL '!Z15*100)</f>
        <v>4.3005442608876968E-3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688.97881699999994</v>
      </c>
      <c r="C5" s="17">
        <f>'Eigen informatie GS &amp; warmtenet'!B62</f>
        <v>0</v>
      </c>
      <c r="D5" s="30">
        <f>IF(ISERROR(SUM(LB_lb_gas_kWh,LB_rest_gas_kWh)/1000),0,SUM(LB_lb_gas_kWh,LB_rest_gas_kWh)/1000)*0.903</f>
        <v>53.829761516999966</v>
      </c>
      <c r="E5" s="17">
        <f>B17*'E Balans VL '!I25/3.6*1000000/100</f>
        <v>20.313043357732166</v>
      </c>
      <c r="F5" s="17">
        <f>B17*('E Balans VL '!L25/3.6*1000000+'E Balans VL '!N25/3.6*1000000)/100</f>
        <v>2189.8195360259924</v>
      </c>
      <c r="G5" s="18"/>
      <c r="H5" s="17"/>
      <c r="I5" s="17"/>
      <c r="J5" s="17">
        <f>('E Balans VL '!D25+'E Balans VL '!E25)/3.6*1000000*landbouw!B17/100</f>
        <v>173.75622680318793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688.97881699999994</v>
      </c>
      <c r="C8" s="21">
        <f>C5+C6</f>
        <v>0</v>
      </c>
      <c r="D8" s="21">
        <f>MAX((D5+D6),0)</f>
        <v>53.829761516999966</v>
      </c>
      <c r="E8" s="21">
        <f>MAX((E5+E6),0)</f>
        <v>20.313043357732166</v>
      </c>
      <c r="F8" s="21">
        <f>MAX((F5+F6),0)</f>
        <v>2189.8195360259924</v>
      </c>
      <c r="G8" s="21"/>
      <c r="H8" s="21"/>
      <c r="I8" s="21"/>
      <c r="J8" s="21">
        <f>MAX((J5+J6),0)</f>
        <v>173.75622680318793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0.17406933875168676</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119.93008708910939</v>
      </c>
      <c r="C12" s="23">
        <f ca="1">C8*C10</f>
        <v>0</v>
      </c>
      <c r="D12" s="23">
        <f>D8*D10</f>
        <v>10.873611826433994</v>
      </c>
      <c r="E12" s="23">
        <f>E8*E10</f>
        <v>4.6110608422052017</v>
      </c>
      <c r="F12" s="23">
        <f>F8*F10</f>
        <v>584.68181611893999</v>
      </c>
      <c r="G12" s="23"/>
      <c r="H12" s="23"/>
      <c r="I12" s="23"/>
      <c r="J12" s="23">
        <f>J8*J10</f>
        <v>61.509704288328521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9.4629442612081421E-2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122.52618631564567</v>
      </c>
      <c r="C26" s="242">
        <f>B26*'GWP N2O_CH4'!B5</f>
        <v>2573.049912628559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42.282689446745117</v>
      </c>
      <c r="C27" s="242">
        <f>B27*'GWP N2O_CH4'!B5</f>
        <v>887.93647838164748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1.4507577372060958</v>
      </c>
      <c r="C28" s="242">
        <f>B28*'GWP N2O_CH4'!B4</f>
        <v>449.73489853388969</v>
      </c>
      <c r="D28" s="50"/>
    </row>
    <row r="29" spans="1:4">
      <c r="A29" s="41" t="s">
        <v>266</v>
      </c>
      <c r="B29" s="242">
        <f>B34*'ha_N2O bodem landbouw'!B4</f>
        <v>11.625383103761637</v>
      </c>
      <c r="C29" s="242">
        <f>B29*'GWP N2O_CH4'!B4</f>
        <v>3603.8687621661074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2.6494580092544097E-3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6.8123153731613757E-4</v>
      </c>
      <c r="C5" s="430" t="s">
        <v>204</v>
      </c>
      <c r="D5" s="415">
        <f>SUM(D6:D11)</f>
        <v>1.2143319386253312E-3</v>
      </c>
      <c r="E5" s="415">
        <f>SUM(E6:E11)</f>
        <v>6.6425911740331108E-4</v>
      </c>
      <c r="F5" s="428" t="s">
        <v>204</v>
      </c>
      <c r="G5" s="415">
        <f>SUM(G6:G11)</f>
        <v>0.32094818204198727</v>
      </c>
      <c r="H5" s="415">
        <f>SUM(H6:H11)</f>
        <v>8.0033855641888446E-2</v>
      </c>
      <c r="I5" s="430" t="s">
        <v>204</v>
      </c>
      <c r="J5" s="430" t="s">
        <v>204</v>
      </c>
      <c r="K5" s="430" t="s">
        <v>204</v>
      </c>
      <c r="L5" s="430" t="s">
        <v>204</v>
      </c>
      <c r="M5" s="415">
        <f>SUM(M6:M11)</f>
        <v>2.3633501400027773E-2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6.1648411965978776E-4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1.0758550006867505E-3</v>
      </c>
      <c r="E6" s="844">
        <f>vkm_GW_PW*SUMIFS(TableVerdeelsleutelVkm[LPG],TableVerdeelsleutelVkm[Voertuigtype],"Lichte voertuigen")*SUMIFS(TableECFTransport[EnergieConsumptieFactor (PJ per km)],TableECFTransport[Index],CONCATENATE($A6,"_LPG_LPG"))</f>
        <v>5.9153802955251957E-4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0.18206021509165932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7.1032401350763594E-2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1.5188223412168363E-2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2.8265138229857968E-6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0.11698218621473573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1.2820666544904464E-6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6.5862838305389337E-3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6.1897960499642028E-5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1.3847693793858079E-4</v>
      </c>
      <c r="E8" s="418">
        <f>vkm_NGW_PW*SUMIFS(TableVerdeelsleutelVkm[LPG],TableVerdeelsleutelVkm[Voertuigtype],"Lichte voertuigen")*SUMIFS(TableECFTransport[EnergieConsumptieFactor (PJ per km)],TableECFTransport[Index],CONCATENATE($A8,"_LPG_LPG"))</f>
        <v>7.2721087850791512E-5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2.0682960980838157E-2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9.0001596632319197E-3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1.7901475114708823E-3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2.2943333721896084E-8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1.2228197547540626E-3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1.256123843565749E-8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6.8846645849595007E-5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189.23098258781599</v>
      </c>
      <c r="C14" s="21"/>
      <c r="D14" s="21">
        <f t="shared" ref="D14:M14" si="0">((D5)*10^9/3600)+D12</f>
        <v>337.31442739592535</v>
      </c>
      <c r="E14" s="21">
        <f t="shared" si="0"/>
        <v>184.51642150091973</v>
      </c>
      <c r="F14" s="21"/>
      <c r="G14" s="21">
        <f t="shared" si="0"/>
        <v>89152.272789440918</v>
      </c>
      <c r="H14" s="21">
        <f t="shared" si="0"/>
        <v>22231.626567191233</v>
      </c>
      <c r="I14" s="21"/>
      <c r="J14" s="21"/>
      <c r="K14" s="21"/>
      <c r="L14" s="21"/>
      <c r="M14" s="21">
        <f t="shared" si="0"/>
        <v>6564.8615000077152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0.17406933875168676</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32.939312010393081</v>
      </c>
      <c r="C18" s="23"/>
      <c r="D18" s="23">
        <f t="shared" ref="D18:M18" si="1">D14*D16</f>
        <v>68.137514333976924</v>
      </c>
      <c r="E18" s="23">
        <f t="shared" si="1"/>
        <v>41.88522768070878</v>
      </c>
      <c r="F18" s="23"/>
      <c r="G18" s="23">
        <f t="shared" si="1"/>
        <v>23803.656834780726</v>
      </c>
      <c r="H18" s="23">
        <f t="shared" si="1"/>
        <v>5535.6750152306167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9.6398656250728409E-5</v>
      </c>
      <c r="C50" s="313">
        <f t="shared" ref="C50:P50" si="2">SUM(C51:C52)</f>
        <v>0</v>
      </c>
      <c r="D50" s="313">
        <f t="shared" si="2"/>
        <v>0</v>
      </c>
      <c r="E50" s="313">
        <f t="shared" si="2"/>
        <v>0</v>
      </c>
      <c r="F50" s="313">
        <f t="shared" si="2"/>
        <v>0</v>
      </c>
      <c r="G50" s="313">
        <f t="shared" si="2"/>
        <v>6.8807624055815348E-3</v>
      </c>
      <c r="H50" s="313">
        <f t="shared" si="2"/>
        <v>0</v>
      </c>
      <c r="I50" s="313">
        <f t="shared" si="2"/>
        <v>0</v>
      </c>
      <c r="J50" s="313">
        <f t="shared" si="2"/>
        <v>0</v>
      </c>
      <c r="K50" s="313">
        <f t="shared" si="2"/>
        <v>0</v>
      </c>
      <c r="L50" s="313">
        <f t="shared" si="2"/>
        <v>0</v>
      </c>
      <c r="M50" s="313">
        <f t="shared" si="2"/>
        <v>3.7994602486680841E-4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9.6398656250728409E-5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6.8807624055815348E-3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3.7994602486680841E-4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26.777404514091224</v>
      </c>
      <c r="C54" s="21">
        <f t="shared" ref="C54:P54" si="3">(C50)*10^9/3600</f>
        <v>0</v>
      </c>
      <c r="D54" s="21">
        <f t="shared" si="3"/>
        <v>0</v>
      </c>
      <c r="E54" s="21">
        <f t="shared" si="3"/>
        <v>0</v>
      </c>
      <c r="F54" s="21">
        <f t="shared" si="3"/>
        <v>0</v>
      </c>
      <c r="G54" s="21">
        <f t="shared" si="3"/>
        <v>1911.3228904393152</v>
      </c>
      <c r="H54" s="21">
        <f t="shared" si="3"/>
        <v>0</v>
      </c>
      <c r="I54" s="21">
        <f t="shared" si="3"/>
        <v>0</v>
      </c>
      <c r="J54" s="21">
        <f t="shared" si="3"/>
        <v>0</v>
      </c>
      <c r="K54" s="21">
        <f t="shared" si="3"/>
        <v>0</v>
      </c>
      <c r="L54" s="21">
        <f t="shared" si="3"/>
        <v>0</v>
      </c>
      <c r="M54" s="21">
        <f t="shared" si="3"/>
        <v>105.54056246300235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0.17406933875168676</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4.661125097254291</v>
      </c>
      <c r="C58" s="23">
        <f t="shared" ref="C58:P58" ca="1" si="4">C54*C56</f>
        <v>0</v>
      </c>
      <c r="D58" s="23">
        <f t="shared" si="4"/>
        <v>0</v>
      </c>
      <c r="E58" s="23">
        <f t="shared" si="4"/>
        <v>0</v>
      </c>
      <c r="F58" s="23">
        <f t="shared" si="4"/>
        <v>0</v>
      </c>
      <c r="G58" s="23">
        <f t="shared" si="4"/>
        <v>510.32321174729719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7585.2510425555502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90</v>
      </c>
      <c r="C8" s="540">
        <f>B48</f>
        <v>105.88235294117648</v>
      </c>
      <c r="D8" s="541"/>
      <c r="E8" s="541">
        <f>E48</f>
        <v>0</v>
      </c>
      <c r="F8" s="542"/>
      <c r="G8" s="543"/>
      <c r="H8" s="541">
        <f>I48</f>
        <v>0</v>
      </c>
      <c r="I8" s="541">
        <f>G48+F48</f>
        <v>0</v>
      </c>
      <c r="J8" s="541">
        <f>H48+D48+C48</f>
        <v>0</v>
      </c>
      <c r="K8" s="541"/>
      <c r="L8" s="541"/>
      <c r="M8" s="541"/>
      <c r="N8" s="544"/>
      <c r="O8" s="545">
        <f>C8*$C$12+D8*$D$12+E8*$E$12+F8*$F$12+G8*$G$12+H8*$H$12+I8*$I$12+J8*$J$12</f>
        <v>21.388235294117649</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7675.2510425555502</v>
      </c>
      <c r="C10" s="555">
        <f t="shared" ref="C10:L10" si="0">SUM(C8:C9)</f>
        <v>105.88235294117648</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21.388235294117649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128.57142857142858</v>
      </c>
      <c r="C17" s="571">
        <f>B49</f>
        <v>151.2605042016807</v>
      </c>
      <c r="D17" s="572"/>
      <c r="E17" s="572">
        <f>E49</f>
        <v>0</v>
      </c>
      <c r="F17" s="573"/>
      <c r="G17" s="574"/>
      <c r="H17" s="571">
        <f>I49</f>
        <v>0</v>
      </c>
      <c r="I17" s="572">
        <f>G49+F49</f>
        <v>0</v>
      </c>
      <c r="J17" s="572">
        <f>H49+D49+C49</f>
        <v>0</v>
      </c>
      <c r="K17" s="572"/>
      <c r="L17" s="572"/>
      <c r="M17" s="572"/>
      <c r="N17" s="918"/>
      <c r="O17" s="575">
        <f>C17*$C$22+E17*$E$22+H17*$H$22+I17*$I$22+J17*$J$22+D17*$D$22+F17*$F$22+G17*$G$22+K17*$K$22+L17*$L$22</f>
        <v>30.554621848739504</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128.57142857142858</v>
      </c>
      <c r="C20" s="554">
        <f>SUM(C17:C19)</f>
        <v>151.2605042016807</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30.554621848739504</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51" hidden="1">
      <c r="A28" s="584"/>
      <c r="B28" s="746">
        <v>72038</v>
      </c>
      <c r="C28" s="746">
        <v>3940</v>
      </c>
      <c r="D28" s="632"/>
      <c r="E28" s="631"/>
      <c r="F28" s="631"/>
      <c r="G28" s="631" t="s">
        <v>861</v>
      </c>
      <c r="H28" s="631" t="s">
        <v>862</v>
      </c>
      <c r="I28" s="631"/>
      <c r="J28" s="745"/>
      <c r="K28" s="745"/>
      <c r="L28" s="631" t="s">
        <v>863</v>
      </c>
      <c r="M28" s="631">
        <v>20</v>
      </c>
      <c r="N28" s="631">
        <v>90</v>
      </c>
      <c r="O28" s="631">
        <v>128.57142857142858</v>
      </c>
      <c r="P28" s="631">
        <v>257.14285714285717</v>
      </c>
      <c r="Q28" s="631">
        <v>0</v>
      </c>
      <c r="R28" s="631">
        <v>0</v>
      </c>
      <c r="S28" s="631">
        <v>0</v>
      </c>
      <c r="T28" s="631">
        <v>0</v>
      </c>
      <c r="U28" s="631">
        <v>0</v>
      </c>
      <c r="V28" s="631">
        <v>0</v>
      </c>
      <c r="W28" s="631">
        <v>0</v>
      </c>
      <c r="X28" s="631"/>
      <c r="Y28" s="631">
        <v>1500</v>
      </c>
      <c r="Z28" s="631" t="s">
        <v>50</v>
      </c>
      <c r="AA28" s="633" t="s">
        <v>149</v>
      </c>
    </row>
    <row r="29" spans="1:27" s="565" customFormat="1" hidden="1">
      <c r="A29" s="587" t="s">
        <v>269</v>
      </c>
      <c r="B29" s="588"/>
      <c r="C29" s="588"/>
      <c r="D29" s="588"/>
      <c r="E29" s="588"/>
      <c r="F29" s="588"/>
      <c r="G29" s="588"/>
      <c r="H29" s="588"/>
      <c r="I29" s="588"/>
      <c r="J29" s="588"/>
      <c r="K29" s="588"/>
      <c r="L29" s="589"/>
      <c r="M29" s="589">
        <f>SUM(M28:M28)</f>
        <v>20</v>
      </c>
      <c r="N29" s="589">
        <f>SUM(N28:N28)</f>
        <v>90</v>
      </c>
      <c r="O29" s="589">
        <f>SUM(O28:O28)</f>
        <v>128.57142857142858</v>
      </c>
      <c r="P29" s="589">
        <f>SUM(P28:P28)</f>
        <v>257.14285714285717</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20</v>
      </c>
      <c r="N31" s="589">
        <f ca="1">SUMIF($AA$28:AE28,"tertiair",N28:N28)</f>
        <v>90</v>
      </c>
      <c r="O31" s="589">
        <f ca="1">SUMIF($AA$28:AF28,"tertiair",O28:O28)</f>
        <v>128.57142857142858</v>
      </c>
      <c r="P31" s="589">
        <f ca="1">SUMIF($AA$28:AG28,"tertiair",P28:P28)</f>
        <v>257.14285714285717</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105.88235294117648</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151.2605042016807</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8447.7442409999985</v>
      </c>
      <c r="D10" s="642">
        <f ca="1">tertiair!C16</f>
        <v>128.57142857142858</v>
      </c>
      <c r="E10" s="642">
        <f ca="1">tertiair!D16</f>
        <v>7242.5751535371437</v>
      </c>
      <c r="F10" s="642">
        <f>tertiair!E16</f>
        <v>21.002934835826618</v>
      </c>
      <c r="G10" s="642">
        <f ca="1">tertiair!F16</f>
        <v>1349.8835450275756</v>
      </c>
      <c r="H10" s="642">
        <f>tertiair!G16</f>
        <v>0</v>
      </c>
      <c r="I10" s="642">
        <f>tertiair!H16</f>
        <v>0</v>
      </c>
      <c r="J10" s="642">
        <f>tertiair!I16</f>
        <v>0</v>
      </c>
      <c r="K10" s="642">
        <f>tertiair!J16</f>
        <v>7.75133794214641E-3</v>
      </c>
      <c r="L10" s="642">
        <f>tertiair!K16</f>
        <v>0</v>
      </c>
      <c r="M10" s="642">
        <f ca="1">tertiair!L16</f>
        <v>0</v>
      </c>
      <c r="N10" s="642">
        <f>tertiair!M16</f>
        <v>0</v>
      </c>
      <c r="O10" s="642">
        <f ca="1">tertiair!N16</f>
        <v>278.64720231392386</v>
      </c>
      <c r="P10" s="642">
        <f>tertiair!O16</f>
        <v>4.8972607658411542</v>
      </c>
      <c r="Q10" s="643">
        <f>tertiair!P16</f>
        <v>0</v>
      </c>
      <c r="R10" s="645">
        <f ca="1">SUM(C10:Q10)</f>
        <v>17473.32951738968</v>
      </c>
      <c r="S10" s="67"/>
    </row>
    <row r="11" spans="1:19" s="441" customFormat="1">
      <c r="A11" s="762" t="s">
        <v>214</v>
      </c>
      <c r="B11" s="767"/>
      <c r="C11" s="642">
        <f>huishoudens!B8</f>
        <v>22497.216276790939</v>
      </c>
      <c r="D11" s="642">
        <f>huishoudens!C8</f>
        <v>0</v>
      </c>
      <c r="E11" s="642">
        <f>huishoudens!D8</f>
        <v>36426.058561452002</v>
      </c>
      <c r="F11" s="642">
        <f>huishoudens!E8</f>
        <v>1901.5431238534513</v>
      </c>
      <c r="G11" s="642">
        <f>huishoudens!F8</f>
        <v>31161.883873377468</v>
      </c>
      <c r="H11" s="642">
        <f>huishoudens!G8</f>
        <v>0</v>
      </c>
      <c r="I11" s="642">
        <f>huishoudens!H8</f>
        <v>0</v>
      </c>
      <c r="J11" s="642">
        <f>huishoudens!I8</f>
        <v>0</v>
      </c>
      <c r="K11" s="642">
        <f>huishoudens!J8</f>
        <v>171.99798123856019</v>
      </c>
      <c r="L11" s="642">
        <f>huishoudens!K8</f>
        <v>0</v>
      </c>
      <c r="M11" s="642">
        <f>huishoudens!L8</f>
        <v>0</v>
      </c>
      <c r="N11" s="642">
        <f>huishoudens!M8</f>
        <v>0</v>
      </c>
      <c r="O11" s="642">
        <f>huishoudens!N8</f>
        <v>7218.9470166645569</v>
      </c>
      <c r="P11" s="642">
        <f>huishoudens!O8</f>
        <v>533.68476101511158</v>
      </c>
      <c r="Q11" s="643">
        <f>huishoudens!P8</f>
        <v>916.45445976859696</v>
      </c>
      <c r="R11" s="645">
        <f>SUM(C11:Q11)</f>
        <v>100827.78605416069</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3533.592451</v>
      </c>
      <c r="D13" s="642">
        <f>industrie!C18</f>
        <v>0</v>
      </c>
      <c r="E13" s="642">
        <f>industrie!D18</f>
        <v>2913.910283361</v>
      </c>
      <c r="F13" s="642">
        <f>industrie!E18</f>
        <v>41.759732117719722</v>
      </c>
      <c r="G13" s="642">
        <f>industrie!F18</f>
        <v>977.64736065523584</v>
      </c>
      <c r="H13" s="642">
        <f>industrie!G18</f>
        <v>0</v>
      </c>
      <c r="I13" s="642">
        <f>industrie!H18</f>
        <v>0</v>
      </c>
      <c r="J13" s="642">
        <f>industrie!I18</f>
        <v>0</v>
      </c>
      <c r="K13" s="642">
        <f>industrie!J18</f>
        <v>3.7136225893424815</v>
      </c>
      <c r="L13" s="642">
        <f>industrie!K18</f>
        <v>0</v>
      </c>
      <c r="M13" s="642">
        <f>industrie!L18</f>
        <v>0</v>
      </c>
      <c r="N13" s="642">
        <f>industrie!M18</f>
        <v>0</v>
      </c>
      <c r="O13" s="642">
        <f>industrie!N18</f>
        <v>91.051447426713821</v>
      </c>
      <c r="P13" s="642">
        <f>industrie!O18</f>
        <v>0</v>
      </c>
      <c r="Q13" s="643">
        <f>industrie!P18</f>
        <v>0</v>
      </c>
      <c r="R13" s="645">
        <f>SUM(C13:Q13)</f>
        <v>7561.6748971500119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34478.552968790937</v>
      </c>
      <c r="D16" s="678">
        <f t="shared" ref="D16:R16" ca="1" si="0">SUM(D9:D15)</f>
        <v>128.57142857142858</v>
      </c>
      <c r="E16" s="678">
        <f t="shared" ca="1" si="0"/>
        <v>46582.543998350149</v>
      </c>
      <c r="F16" s="678">
        <f t="shared" si="0"/>
        <v>1964.3057908069977</v>
      </c>
      <c r="G16" s="678">
        <f t="shared" ca="1" si="0"/>
        <v>33489.41477906028</v>
      </c>
      <c r="H16" s="678">
        <f t="shared" si="0"/>
        <v>0</v>
      </c>
      <c r="I16" s="678">
        <f t="shared" si="0"/>
        <v>0</v>
      </c>
      <c r="J16" s="678">
        <f t="shared" si="0"/>
        <v>0</v>
      </c>
      <c r="K16" s="678">
        <f t="shared" si="0"/>
        <v>175.71935516584483</v>
      </c>
      <c r="L16" s="678">
        <f t="shared" si="0"/>
        <v>0</v>
      </c>
      <c r="M16" s="678">
        <f t="shared" ca="1" si="0"/>
        <v>0</v>
      </c>
      <c r="N16" s="678">
        <f t="shared" si="0"/>
        <v>0</v>
      </c>
      <c r="O16" s="678">
        <f t="shared" ca="1" si="0"/>
        <v>7588.6456664051948</v>
      </c>
      <c r="P16" s="678">
        <f t="shared" si="0"/>
        <v>538.58202178095269</v>
      </c>
      <c r="Q16" s="678">
        <f t="shared" si="0"/>
        <v>916.45445976859696</v>
      </c>
      <c r="R16" s="678">
        <f t="shared" ca="1" si="0"/>
        <v>125862.79046870038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26.777404514091224</v>
      </c>
      <c r="D19" s="642">
        <f>transport!C54</f>
        <v>0</v>
      </c>
      <c r="E19" s="642">
        <f>transport!D54</f>
        <v>0</v>
      </c>
      <c r="F19" s="642">
        <f>transport!E54</f>
        <v>0</v>
      </c>
      <c r="G19" s="642">
        <f>transport!F54</f>
        <v>0</v>
      </c>
      <c r="H19" s="642">
        <f>transport!G54</f>
        <v>1911.3228904393152</v>
      </c>
      <c r="I19" s="642">
        <f>transport!H54</f>
        <v>0</v>
      </c>
      <c r="J19" s="642">
        <f>transport!I54</f>
        <v>0</v>
      </c>
      <c r="K19" s="642">
        <f>transport!J54</f>
        <v>0</v>
      </c>
      <c r="L19" s="642">
        <f>transport!K54</f>
        <v>0</v>
      </c>
      <c r="M19" s="642">
        <f>transport!L54</f>
        <v>0</v>
      </c>
      <c r="N19" s="642">
        <f>transport!M54</f>
        <v>105.54056246300235</v>
      </c>
      <c r="O19" s="642">
        <f>transport!N54</f>
        <v>0</v>
      </c>
      <c r="P19" s="642">
        <f>transport!O54</f>
        <v>0</v>
      </c>
      <c r="Q19" s="643">
        <f>transport!P54</f>
        <v>0</v>
      </c>
      <c r="R19" s="645">
        <f>SUM(C19:Q19)</f>
        <v>2043.6408574164086</v>
      </c>
      <c r="S19" s="67"/>
    </row>
    <row r="20" spans="1:19" s="441" customFormat="1">
      <c r="A20" s="762" t="s">
        <v>296</v>
      </c>
      <c r="B20" s="767"/>
      <c r="C20" s="642">
        <f>transport!B14</f>
        <v>189.23098258781599</v>
      </c>
      <c r="D20" s="642">
        <f>transport!C14</f>
        <v>0</v>
      </c>
      <c r="E20" s="642">
        <f>transport!D14</f>
        <v>337.31442739592535</v>
      </c>
      <c r="F20" s="642">
        <f>transport!E14</f>
        <v>184.51642150091973</v>
      </c>
      <c r="G20" s="642">
        <f>transport!F14</f>
        <v>0</v>
      </c>
      <c r="H20" s="642">
        <f>transport!G14</f>
        <v>89152.272789440918</v>
      </c>
      <c r="I20" s="642">
        <f>transport!H14</f>
        <v>22231.626567191233</v>
      </c>
      <c r="J20" s="642">
        <f>transport!I14</f>
        <v>0</v>
      </c>
      <c r="K20" s="642">
        <f>transport!J14</f>
        <v>0</v>
      </c>
      <c r="L20" s="642">
        <f>transport!K14</f>
        <v>0</v>
      </c>
      <c r="M20" s="642">
        <f>transport!L14</f>
        <v>0</v>
      </c>
      <c r="N20" s="642">
        <f>transport!M14</f>
        <v>6564.8615000077152</v>
      </c>
      <c r="O20" s="642">
        <f>transport!N14</f>
        <v>0</v>
      </c>
      <c r="P20" s="642">
        <f>transport!O14</f>
        <v>0</v>
      </c>
      <c r="Q20" s="643">
        <f>transport!P14</f>
        <v>0</v>
      </c>
      <c r="R20" s="645">
        <f>SUM(C20:Q20)</f>
        <v>118659.82268812452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216.0083871019072</v>
      </c>
      <c r="D22" s="765">
        <f t="shared" ref="D22:R22" si="1">SUM(D18:D21)</f>
        <v>0</v>
      </c>
      <c r="E22" s="765">
        <f t="shared" si="1"/>
        <v>337.31442739592535</v>
      </c>
      <c r="F22" s="765">
        <f t="shared" si="1"/>
        <v>184.51642150091973</v>
      </c>
      <c r="G22" s="765">
        <f t="shared" si="1"/>
        <v>0</v>
      </c>
      <c r="H22" s="765">
        <f t="shared" si="1"/>
        <v>91063.595679880236</v>
      </c>
      <c r="I22" s="765">
        <f t="shared" si="1"/>
        <v>22231.626567191233</v>
      </c>
      <c r="J22" s="765">
        <f t="shared" si="1"/>
        <v>0</v>
      </c>
      <c r="K22" s="765">
        <f t="shared" si="1"/>
        <v>0</v>
      </c>
      <c r="L22" s="765">
        <f t="shared" si="1"/>
        <v>0</v>
      </c>
      <c r="M22" s="765">
        <f t="shared" si="1"/>
        <v>0</v>
      </c>
      <c r="N22" s="765">
        <f t="shared" si="1"/>
        <v>6670.4020624707173</v>
      </c>
      <c r="O22" s="765">
        <f t="shared" si="1"/>
        <v>0</v>
      </c>
      <c r="P22" s="765">
        <f t="shared" si="1"/>
        <v>0</v>
      </c>
      <c r="Q22" s="765">
        <f t="shared" si="1"/>
        <v>0</v>
      </c>
      <c r="R22" s="765">
        <f t="shared" si="1"/>
        <v>120703.46354554093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688.97881699999994</v>
      </c>
      <c r="D24" s="642">
        <f>+landbouw!C8</f>
        <v>0</v>
      </c>
      <c r="E24" s="642">
        <f>+landbouw!D8</f>
        <v>53.829761516999966</v>
      </c>
      <c r="F24" s="642">
        <f>+landbouw!E8</f>
        <v>20.313043357732166</v>
      </c>
      <c r="G24" s="642">
        <f>+landbouw!F8</f>
        <v>2189.8195360259924</v>
      </c>
      <c r="H24" s="642">
        <f>+landbouw!G8</f>
        <v>0</v>
      </c>
      <c r="I24" s="642">
        <f>+landbouw!H8</f>
        <v>0</v>
      </c>
      <c r="J24" s="642">
        <f>+landbouw!I8</f>
        <v>0</v>
      </c>
      <c r="K24" s="642">
        <f>+landbouw!J8</f>
        <v>173.75622680318793</v>
      </c>
      <c r="L24" s="642">
        <f>+landbouw!K8</f>
        <v>0</v>
      </c>
      <c r="M24" s="642">
        <f>+landbouw!L8</f>
        <v>0</v>
      </c>
      <c r="N24" s="642">
        <f>+landbouw!M8</f>
        <v>0</v>
      </c>
      <c r="O24" s="642">
        <f>+landbouw!N8</f>
        <v>0</v>
      </c>
      <c r="P24" s="642">
        <f>+landbouw!O8</f>
        <v>0</v>
      </c>
      <c r="Q24" s="643">
        <f>+landbouw!P8</f>
        <v>0</v>
      </c>
      <c r="R24" s="645">
        <f>SUM(C24:Q24)</f>
        <v>3126.6973847039126</v>
      </c>
      <c r="S24" s="67"/>
    </row>
    <row r="25" spans="1:19" s="441" customFormat="1" ht="15" thickBot="1">
      <c r="A25" s="784" t="s">
        <v>672</v>
      </c>
      <c r="B25" s="895"/>
      <c r="C25" s="896">
        <f>IF(Onbekend_ele_kWh="---",0,Onbekend_ele_kWh)/1000+IF(REST_rest_ele_kWh="---",0,REST_rest_ele_kWh)/1000</f>
        <v>304.05085100000002</v>
      </c>
      <c r="D25" s="896"/>
      <c r="E25" s="896">
        <f>IF(onbekend_gas_kWh="---",0,onbekend_gas_kWh)/1000+IF(REST_rest_gas_kWh="---",0,REST_rest_gas_kWh)/1000</f>
        <v>571.75487100000009</v>
      </c>
      <c r="F25" s="896"/>
      <c r="G25" s="896"/>
      <c r="H25" s="896"/>
      <c r="I25" s="896"/>
      <c r="J25" s="896"/>
      <c r="K25" s="896"/>
      <c r="L25" s="896"/>
      <c r="M25" s="896"/>
      <c r="N25" s="896"/>
      <c r="O25" s="896"/>
      <c r="P25" s="896"/>
      <c r="Q25" s="897"/>
      <c r="R25" s="645">
        <f>SUM(C25:Q25)</f>
        <v>875.80572200000006</v>
      </c>
      <c r="S25" s="67"/>
    </row>
    <row r="26" spans="1:19" s="441" customFormat="1" ht="15.75" thickBot="1">
      <c r="A26" s="650" t="s">
        <v>673</v>
      </c>
      <c r="B26" s="770"/>
      <c r="C26" s="765">
        <f>SUM(C24:C25)</f>
        <v>993.0296679999999</v>
      </c>
      <c r="D26" s="765">
        <f t="shared" ref="D26:R26" si="2">SUM(D24:D25)</f>
        <v>0</v>
      </c>
      <c r="E26" s="765">
        <f t="shared" si="2"/>
        <v>625.58463251700005</v>
      </c>
      <c r="F26" s="765">
        <f t="shared" si="2"/>
        <v>20.313043357732166</v>
      </c>
      <c r="G26" s="765">
        <f t="shared" si="2"/>
        <v>2189.8195360259924</v>
      </c>
      <c r="H26" s="765">
        <f t="shared" si="2"/>
        <v>0</v>
      </c>
      <c r="I26" s="765">
        <f t="shared" si="2"/>
        <v>0</v>
      </c>
      <c r="J26" s="765">
        <f t="shared" si="2"/>
        <v>0</v>
      </c>
      <c r="K26" s="765">
        <f t="shared" si="2"/>
        <v>173.75622680318793</v>
      </c>
      <c r="L26" s="765">
        <f t="shared" si="2"/>
        <v>0</v>
      </c>
      <c r="M26" s="765">
        <f t="shared" si="2"/>
        <v>0</v>
      </c>
      <c r="N26" s="765">
        <f t="shared" si="2"/>
        <v>0</v>
      </c>
      <c r="O26" s="765">
        <f t="shared" si="2"/>
        <v>0</v>
      </c>
      <c r="P26" s="765">
        <f t="shared" si="2"/>
        <v>0</v>
      </c>
      <c r="Q26" s="765">
        <f t="shared" si="2"/>
        <v>0</v>
      </c>
      <c r="R26" s="765">
        <f t="shared" si="2"/>
        <v>4002.5031067039126</v>
      </c>
      <c r="S26" s="67"/>
    </row>
    <row r="27" spans="1:19" s="441" customFormat="1" ht="17.25" thickTop="1" thickBot="1">
      <c r="A27" s="651" t="s">
        <v>109</v>
      </c>
      <c r="B27" s="757"/>
      <c r="C27" s="652">
        <f ca="1">C22+C16+C26</f>
        <v>35687.591023892848</v>
      </c>
      <c r="D27" s="652">
        <f t="shared" ref="D27:R27" ca="1" si="3">D22+D16+D26</f>
        <v>128.57142857142858</v>
      </c>
      <c r="E27" s="652">
        <f t="shared" ca="1" si="3"/>
        <v>47545.443058263074</v>
      </c>
      <c r="F27" s="652">
        <f t="shared" si="3"/>
        <v>2169.1352556656498</v>
      </c>
      <c r="G27" s="652">
        <f t="shared" ca="1" si="3"/>
        <v>35679.234315086273</v>
      </c>
      <c r="H27" s="652">
        <f t="shared" si="3"/>
        <v>91063.595679880236</v>
      </c>
      <c r="I27" s="652">
        <f t="shared" si="3"/>
        <v>22231.626567191233</v>
      </c>
      <c r="J27" s="652">
        <f t="shared" si="3"/>
        <v>0</v>
      </c>
      <c r="K27" s="652">
        <f t="shared" si="3"/>
        <v>349.47558196903276</v>
      </c>
      <c r="L27" s="652">
        <f t="shared" si="3"/>
        <v>0</v>
      </c>
      <c r="M27" s="652">
        <f t="shared" ca="1" si="3"/>
        <v>0</v>
      </c>
      <c r="N27" s="652">
        <f t="shared" si="3"/>
        <v>6670.4020624707173</v>
      </c>
      <c r="O27" s="652">
        <f t="shared" ca="1" si="3"/>
        <v>7588.6456664051948</v>
      </c>
      <c r="P27" s="652">
        <f t="shared" si="3"/>
        <v>538.58202178095269</v>
      </c>
      <c r="Q27" s="652">
        <f t="shared" si="3"/>
        <v>916.45445976859696</v>
      </c>
      <c r="R27" s="652">
        <f t="shared" ca="1" si="3"/>
        <v>250568.75712094523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1470.4932539742399</v>
      </c>
      <c r="D40" s="642">
        <f ca="1">tertiair!C20</f>
        <v>30.554621848739504</v>
      </c>
      <c r="E40" s="642">
        <f ca="1">tertiair!D20</f>
        <v>1463.0001810145031</v>
      </c>
      <c r="F40" s="642">
        <f>tertiair!E20</f>
        <v>4.7676662077326428</v>
      </c>
      <c r="G40" s="642">
        <f ca="1">tertiair!F20</f>
        <v>360.4189065223627</v>
      </c>
      <c r="H40" s="642">
        <f>tertiair!G20</f>
        <v>0</v>
      </c>
      <c r="I40" s="642">
        <f>tertiair!H20</f>
        <v>0</v>
      </c>
      <c r="J40" s="642">
        <f>tertiair!I20</f>
        <v>0</v>
      </c>
      <c r="K40" s="642">
        <f>tertiair!J20</f>
        <v>2.7439736315198289E-3</v>
      </c>
      <c r="L40" s="642">
        <f>tertiair!K20</f>
        <v>0</v>
      </c>
      <c r="M40" s="642">
        <f ca="1">tertiair!L20</f>
        <v>0</v>
      </c>
      <c r="N40" s="642">
        <f>tertiair!M20</f>
        <v>0</v>
      </c>
      <c r="O40" s="642">
        <f ca="1">tertiair!N20</f>
        <v>0</v>
      </c>
      <c r="P40" s="642">
        <f>tertiair!O20</f>
        <v>0</v>
      </c>
      <c r="Q40" s="725">
        <f>tertiair!P20</f>
        <v>0</v>
      </c>
      <c r="R40" s="803">
        <f t="shared" ca="1" si="4"/>
        <v>3329.2373735412089</v>
      </c>
    </row>
    <row r="41" spans="1:18">
      <c r="A41" s="775" t="s">
        <v>214</v>
      </c>
      <c r="B41" s="782"/>
      <c r="C41" s="642">
        <f ca="1">huishoudens!B12</f>
        <v>3916.075561054683</v>
      </c>
      <c r="D41" s="642">
        <f ca="1">huishoudens!C12</f>
        <v>0</v>
      </c>
      <c r="E41" s="642">
        <f>huishoudens!D12</f>
        <v>7358.063829413305</v>
      </c>
      <c r="F41" s="642">
        <f>huishoudens!E12</f>
        <v>431.65028911473348</v>
      </c>
      <c r="G41" s="642">
        <f>huishoudens!F12</f>
        <v>8320.2229941917849</v>
      </c>
      <c r="H41" s="642">
        <f>huishoudens!G12</f>
        <v>0</v>
      </c>
      <c r="I41" s="642">
        <f>huishoudens!H12</f>
        <v>0</v>
      </c>
      <c r="J41" s="642">
        <f>huishoudens!I12</f>
        <v>0</v>
      </c>
      <c r="K41" s="642">
        <f>huishoudens!J12</f>
        <v>60.887285358450306</v>
      </c>
      <c r="L41" s="642">
        <f>huishoudens!K12</f>
        <v>0</v>
      </c>
      <c r="M41" s="642">
        <f>huishoudens!L12</f>
        <v>0</v>
      </c>
      <c r="N41" s="642">
        <f>huishoudens!M12</f>
        <v>0</v>
      </c>
      <c r="O41" s="642">
        <f>huishoudens!N12</f>
        <v>0</v>
      </c>
      <c r="P41" s="642">
        <f>huishoudens!O12</f>
        <v>0</v>
      </c>
      <c r="Q41" s="725">
        <f>huishoudens!P12</f>
        <v>0</v>
      </c>
      <c r="R41" s="803">
        <f t="shared" ca="1" si="4"/>
        <v>20086.899959132959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615.09010136352208</v>
      </c>
      <c r="D43" s="642">
        <f ca="1">industrie!C22</f>
        <v>0</v>
      </c>
      <c r="E43" s="642">
        <f>industrie!D22</f>
        <v>588.60987723892208</v>
      </c>
      <c r="F43" s="642">
        <f>industrie!E22</f>
        <v>9.4794591907223769</v>
      </c>
      <c r="G43" s="642">
        <f>industrie!F22</f>
        <v>261.03184529494797</v>
      </c>
      <c r="H43" s="642">
        <f>industrie!G22</f>
        <v>0</v>
      </c>
      <c r="I43" s="642">
        <f>industrie!H22</f>
        <v>0</v>
      </c>
      <c r="J43" s="642">
        <f>industrie!I22</f>
        <v>0</v>
      </c>
      <c r="K43" s="642">
        <f>industrie!J22</f>
        <v>1.3146223966272383</v>
      </c>
      <c r="L43" s="642">
        <f>industrie!K22</f>
        <v>0</v>
      </c>
      <c r="M43" s="642">
        <f>industrie!L22</f>
        <v>0</v>
      </c>
      <c r="N43" s="642">
        <f>industrie!M22</f>
        <v>0</v>
      </c>
      <c r="O43" s="642">
        <f>industrie!N22</f>
        <v>0</v>
      </c>
      <c r="P43" s="642">
        <f>industrie!O22</f>
        <v>0</v>
      </c>
      <c r="Q43" s="725">
        <f>industrie!P22</f>
        <v>0</v>
      </c>
      <c r="R43" s="802">
        <f t="shared" ca="1" si="4"/>
        <v>1475.5259054847418</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6001.6589163924446</v>
      </c>
      <c r="D46" s="678">
        <f t="shared" ref="D46:Q46" ca="1" si="5">SUM(D39:D45)</f>
        <v>30.554621848739504</v>
      </c>
      <c r="E46" s="678">
        <f t="shared" ca="1" si="5"/>
        <v>9409.6738876667296</v>
      </c>
      <c r="F46" s="678">
        <f t="shared" si="5"/>
        <v>445.89741451318849</v>
      </c>
      <c r="G46" s="678">
        <f t="shared" ca="1" si="5"/>
        <v>8941.6737460090972</v>
      </c>
      <c r="H46" s="678">
        <f t="shared" si="5"/>
        <v>0</v>
      </c>
      <c r="I46" s="678">
        <f t="shared" si="5"/>
        <v>0</v>
      </c>
      <c r="J46" s="678">
        <f t="shared" si="5"/>
        <v>0</v>
      </c>
      <c r="K46" s="678">
        <f t="shared" si="5"/>
        <v>62.204651728709059</v>
      </c>
      <c r="L46" s="678">
        <f t="shared" si="5"/>
        <v>0</v>
      </c>
      <c r="M46" s="678">
        <f t="shared" ca="1" si="5"/>
        <v>0</v>
      </c>
      <c r="N46" s="678">
        <f t="shared" si="5"/>
        <v>0</v>
      </c>
      <c r="O46" s="678">
        <f t="shared" ca="1" si="5"/>
        <v>0</v>
      </c>
      <c r="P46" s="678">
        <f t="shared" si="5"/>
        <v>0</v>
      </c>
      <c r="Q46" s="678">
        <f t="shared" si="5"/>
        <v>0</v>
      </c>
      <c r="R46" s="678">
        <f ca="1">SUM(R39:R45)</f>
        <v>24891.663238158908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4.661125097254291</v>
      </c>
      <c r="D49" s="642">
        <f ca="1">transport!C58</f>
        <v>0</v>
      </c>
      <c r="E49" s="642">
        <f>transport!D58</f>
        <v>0</v>
      </c>
      <c r="F49" s="642">
        <f>transport!E58</f>
        <v>0</v>
      </c>
      <c r="G49" s="642">
        <f>transport!F58</f>
        <v>0</v>
      </c>
      <c r="H49" s="642">
        <f>transport!G58</f>
        <v>510.32321174729719</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514.98433684455154</v>
      </c>
    </row>
    <row r="50" spans="1:18">
      <c r="A50" s="778" t="s">
        <v>296</v>
      </c>
      <c r="B50" s="788"/>
      <c r="C50" s="648">
        <f ca="1">transport!B18</f>
        <v>32.939312010393081</v>
      </c>
      <c r="D50" s="648">
        <f>transport!C18</f>
        <v>0</v>
      </c>
      <c r="E50" s="648">
        <f>transport!D18</f>
        <v>68.137514333976924</v>
      </c>
      <c r="F50" s="648">
        <f>transport!E18</f>
        <v>41.88522768070878</v>
      </c>
      <c r="G50" s="648">
        <f>transport!F18</f>
        <v>0</v>
      </c>
      <c r="H50" s="648">
        <f>transport!G18</f>
        <v>23803.656834780726</v>
      </c>
      <c r="I50" s="648">
        <f>transport!H18</f>
        <v>5535.6750152306167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29482.293904036422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37.600437107647373</v>
      </c>
      <c r="D52" s="678">
        <f t="shared" ref="D52:Q52" ca="1" si="6">SUM(D48:D51)</f>
        <v>0</v>
      </c>
      <c r="E52" s="678">
        <f t="shared" si="6"/>
        <v>68.137514333976924</v>
      </c>
      <c r="F52" s="678">
        <f t="shared" si="6"/>
        <v>41.88522768070878</v>
      </c>
      <c r="G52" s="678">
        <f t="shared" si="6"/>
        <v>0</v>
      </c>
      <c r="H52" s="678">
        <f t="shared" si="6"/>
        <v>24313.980046528024</v>
      </c>
      <c r="I52" s="678">
        <f t="shared" si="6"/>
        <v>5535.6750152306167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29997.278240880973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119.93008708910939</v>
      </c>
      <c r="D54" s="648">
        <f ca="1">+landbouw!C12</f>
        <v>0</v>
      </c>
      <c r="E54" s="648">
        <f>+landbouw!D12</f>
        <v>10.873611826433994</v>
      </c>
      <c r="F54" s="648">
        <f>+landbouw!E12</f>
        <v>4.6110608422052017</v>
      </c>
      <c r="G54" s="648">
        <f>+landbouw!F12</f>
        <v>584.68181611893999</v>
      </c>
      <c r="H54" s="648">
        <f>+landbouw!G12</f>
        <v>0</v>
      </c>
      <c r="I54" s="648">
        <f>+landbouw!H12</f>
        <v>0</v>
      </c>
      <c r="J54" s="648">
        <f>+landbouw!I12</f>
        <v>0</v>
      </c>
      <c r="K54" s="648">
        <f>+landbouw!J12</f>
        <v>61.509704288328521</v>
      </c>
      <c r="L54" s="648">
        <f>+landbouw!K12</f>
        <v>0</v>
      </c>
      <c r="M54" s="648">
        <f>+landbouw!L12</f>
        <v>0</v>
      </c>
      <c r="N54" s="648">
        <f>+landbouw!M12</f>
        <v>0</v>
      </c>
      <c r="O54" s="648">
        <f>+landbouw!N12</f>
        <v>0</v>
      </c>
      <c r="P54" s="648">
        <f>+landbouw!O12</f>
        <v>0</v>
      </c>
      <c r="Q54" s="649">
        <f>+landbouw!P12</f>
        <v>0</v>
      </c>
      <c r="R54" s="677">
        <f ca="1">SUM(C54:Q54)</f>
        <v>781.6062801650171</v>
      </c>
    </row>
    <row r="55" spans="1:18" ht="15" thickBot="1">
      <c r="A55" s="778" t="s">
        <v>672</v>
      </c>
      <c r="B55" s="788"/>
      <c r="C55" s="648">
        <f ca="1">C25*'EF ele_warmte'!B12</f>
        <v>52.925930580457639</v>
      </c>
      <c r="D55" s="648"/>
      <c r="E55" s="648">
        <f>E25*EF_CO2_aardgas</f>
        <v>115.49448394200003</v>
      </c>
      <c r="F55" s="648"/>
      <c r="G55" s="648"/>
      <c r="H55" s="648"/>
      <c r="I55" s="648"/>
      <c r="J55" s="648"/>
      <c r="K55" s="648"/>
      <c r="L55" s="648"/>
      <c r="M55" s="648"/>
      <c r="N55" s="648"/>
      <c r="O55" s="648"/>
      <c r="P55" s="648"/>
      <c r="Q55" s="649"/>
      <c r="R55" s="677">
        <f ca="1">SUM(C55:Q55)</f>
        <v>168.42041452245766</v>
      </c>
    </row>
    <row r="56" spans="1:18" ht="15.75" thickBot="1">
      <c r="A56" s="776" t="s">
        <v>673</v>
      </c>
      <c r="B56" s="789"/>
      <c r="C56" s="678">
        <f ca="1">SUM(C54:C55)</f>
        <v>172.85601766956702</v>
      </c>
      <c r="D56" s="678">
        <f t="shared" ref="D56:Q56" ca="1" si="7">SUM(D54:D55)</f>
        <v>0</v>
      </c>
      <c r="E56" s="678">
        <f t="shared" si="7"/>
        <v>126.36809576843402</v>
      </c>
      <c r="F56" s="678">
        <f t="shared" si="7"/>
        <v>4.6110608422052017</v>
      </c>
      <c r="G56" s="678">
        <f t="shared" si="7"/>
        <v>584.68181611893999</v>
      </c>
      <c r="H56" s="678">
        <f t="shared" si="7"/>
        <v>0</v>
      </c>
      <c r="I56" s="678">
        <f t="shared" si="7"/>
        <v>0</v>
      </c>
      <c r="J56" s="678">
        <f t="shared" si="7"/>
        <v>0</v>
      </c>
      <c r="K56" s="678">
        <f t="shared" si="7"/>
        <v>61.509704288328521</v>
      </c>
      <c r="L56" s="678">
        <f t="shared" si="7"/>
        <v>0</v>
      </c>
      <c r="M56" s="678">
        <f t="shared" si="7"/>
        <v>0</v>
      </c>
      <c r="N56" s="678">
        <f t="shared" si="7"/>
        <v>0</v>
      </c>
      <c r="O56" s="678">
        <f t="shared" si="7"/>
        <v>0</v>
      </c>
      <c r="P56" s="678">
        <f t="shared" si="7"/>
        <v>0</v>
      </c>
      <c r="Q56" s="679">
        <f t="shared" si="7"/>
        <v>0</v>
      </c>
      <c r="R56" s="680">
        <f ca="1">SUM(R54:R55)</f>
        <v>950.02669468747479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6212.1153711696588</v>
      </c>
      <c r="D61" s="686">
        <f t="shared" ref="D61:Q61" ca="1" si="8">D46+D52+D56</f>
        <v>30.554621848739504</v>
      </c>
      <c r="E61" s="686">
        <f t="shared" ca="1" si="8"/>
        <v>9604.1794977691407</v>
      </c>
      <c r="F61" s="686">
        <f t="shared" si="8"/>
        <v>492.39370303610247</v>
      </c>
      <c r="G61" s="686">
        <f t="shared" ca="1" si="8"/>
        <v>9526.3555621280375</v>
      </c>
      <c r="H61" s="686">
        <f t="shared" si="8"/>
        <v>24313.980046528024</v>
      </c>
      <c r="I61" s="686">
        <f t="shared" si="8"/>
        <v>5535.6750152306167</v>
      </c>
      <c r="J61" s="686">
        <f t="shared" si="8"/>
        <v>0</v>
      </c>
      <c r="K61" s="686">
        <f t="shared" si="8"/>
        <v>123.71435601703757</v>
      </c>
      <c r="L61" s="686">
        <f t="shared" si="8"/>
        <v>0</v>
      </c>
      <c r="M61" s="686">
        <f t="shared" ca="1" si="8"/>
        <v>0</v>
      </c>
      <c r="N61" s="686">
        <f t="shared" si="8"/>
        <v>0</v>
      </c>
      <c r="O61" s="686">
        <f t="shared" ca="1" si="8"/>
        <v>0</v>
      </c>
      <c r="P61" s="686">
        <f t="shared" si="8"/>
        <v>0</v>
      </c>
      <c r="Q61" s="686">
        <f t="shared" si="8"/>
        <v>0</v>
      </c>
      <c r="R61" s="686">
        <f ca="1">R46+R52+R56</f>
        <v>55838.968173727357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0.17406933875168673</v>
      </c>
      <c r="D63" s="732">
        <f t="shared" ca="1" si="9"/>
        <v>0.23764705882352946</v>
      </c>
      <c r="E63" s="921">
        <f t="shared" ca="1" si="9"/>
        <v>0.20199999999999999</v>
      </c>
      <c r="F63" s="732">
        <f t="shared" si="9"/>
        <v>0.22699999999999998</v>
      </c>
      <c r="G63" s="732">
        <f t="shared" ca="1" si="9"/>
        <v>0.26700000000000007</v>
      </c>
      <c r="H63" s="732">
        <f t="shared" si="9"/>
        <v>0.26700000000000002</v>
      </c>
      <c r="I63" s="732">
        <f t="shared" si="9"/>
        <v>0.24899999999999997</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7585.2510425555502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90</v>
      </c>
      <c r="D76" s="904">
        <f>'lokale energieproductie'!C8</f>
        <v>105.88235294117648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21.388235294117649</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7585.2510425555502</v>
      </c>
      <c r="C78" s="704">
        <f>SUM(C72:C77)</f>
        <v>90</v>
      </c>
      <c r="D78" s="705">
        <f t="shared" ref="D78:H78" si="10">SUM(D76:D77)</f>
        <v>105.88235294117648</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21.388235294117649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128.57142857142858</v>
      </c>
      <c r="D87" s="728">
        <f>'lokale energieproductie'!C17</f>
        <v>151.2605042016807</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30.554621848739504</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128.57142857142858</v>
      </c>
      <c r="D90" s="704">
        <f t="shared" ref="D90:H90" si="12">SUM(D87:D89)</f>
        <v>151.2605042016807</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30.554621848739504</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22497.216276790939</v>
      </c>
      <c r="C4" s="445">
        <f>huishoudens!C8</f>
        <v>0</v>
      </c>
      <c r="D4" s="445">
        <f>huishoudens!D8</f>
        <v>36426.058561452002</v>
      </c>
      <c r="E4" s="445">
        <f>huishoudens!E8</f>
        <v>1901.5431238534513</v>
      </c>
      <c r="F4" s="445">
        <f>huishoudens!F8</f>
        <v>31161.883873377468</v>
      </c>
      <c r="G4" s="445">
        <f>huishoudens!G8</f>
        <v>0</v>
      </c>
      <c r="H4" s="445">
        <f>huishoudens!H8</f>
        <v>0</v>
      </c>
      <c r="I4" s="445">
        <f>huishoudens!I8</f>
        <v>0</v>
      </c>
      <c r="J4" s="445">
        <f>huishoudens!J8</f>
        <v>171.99798123856019</v>
      </c>
      <c r="K4" s="445">
        <f>huishoudens!K8</f>
        <v>0</v>
      </c>
      <c r="L4" s="445">
        <f>huishoudens!L8</f>
        <v>0</v>
      </c>
      <c r="M4" s="445">
        <f>huishoudens!M8</f>
        <v>0</v>
      </c>
      <c r="N4" s="445">
        <f>huishoudens!N8</f>
        <v>7218.9470166645569</v>
      </c>
      <c r="O4" s="445">
        <f>huishoudens!O8</f>
        <v>533.68476101511158</v>
      </c>
      <c r="P4" s="446">
        <f>huishoudens!P8</f>
        <v>916.45445976859696</v>
      </c>
      <c r="Q4" s="447">
        <f>SUM(B4:P4)</f>
        <v>100827.78605416069</v>
      </c>
    </row>
    <row r="5" spans="1:17">
      <c r="A5" s="444" t="s">
        <v>149</v>
      </c>
      <c r="B5" s="445">
        <f ca="1">tertiair!B16</f>
        <v>7520.1639339999992</v>
      </c>
      <c r="C5" s="445">
        <f ca="1">tertiair!C16</f>
        <v>128.57142857142858</v>
      </c>
      <c r="D5" s="445">
        <f ca="1">tertiair!D16</f>
        <v>7242.5751535371437</v>
      </c>
      <c r="E5" s="445">
        <f>tertiair!E16</f>
        <v>21.002934835826618</v>
      </c>
      <c r="F5" s="445">
        <f ca="1">tertiair!F16</f>
        <v>1349.8835450275756</v>
      </c>
      <c r="G5" s="445">
        <f>tertiair!G16</f>
        <v>0</v>
      </c>
      <c r="H5" s="445">
        <f>tertiair!H16</f>
        <v>0</v>
      </c>
      <c r="I5" s="445">
        <f>tertiair!I16</f>
        <v>0</v>
      </c>
      <c r="J5" s="445">
        <f>tertiair!J16</f>
        <v>7.75133794214641E-3</v>
      </c>
      <c r="K5" s="445">
        <f>tertiair!K16</f>
        <v>0</v>
      </c>
      <c r="L5" s="445">
        <f ca="1">tertiair!L16</f>
        <v>0</v>
      </c>
      <c r="M5" s="445">
        <f>tertiair!M16</f>
        <v>0</v>
      </c>
      <c r="N5" s="445">
        <f ca="1">tertiair!N16</f>
        <v>278.64720231392386</v>
      </c>
      <c r="O5" s="445">
        <f>tertiair!O16</f>
        <v>4.8972607658411542</v>
      </c>
      <c r="P5" s="446">
        <f>tertiair!P16</f>
        <v>0</v>
      </c>
      <c r="Q5" s="444">
        <f t="shared" ref="Q5:Q14" ca="1" si="0">SUM(B5:P5)</f>
        <v>16545.749210389677</v>
      </c>
    </row>
    <row r="6" spans="1:17">
      <c r="A6" s="444" t="s">
        <v>187</v>
      </c>
      <c r="B6" s="445">
        <f>'openbare verlichting'!B8</f>
        <v>927.58030700000006</v>
      </c>
      <c r="C6" s="445"/>
      <c r="D6" s="445"/>
      <c r="E6" s="445"/>
      <c r="F6" s="445"/>
      <c r="G6" s="445"/>
      <c r="H6" s="445"/>
      <c r="I6" s="445"/>
      <c r="J6" s="445"/>
      <c r="K6" s="445"/>
      <c r="L6" s="445"/>
      <c r="M6" s="445"/>
      <c r="N6" s="445"/>
      <c r="O6" s="445"/>
      <c r="P6" s="446"/>
      <c r="Q6" s="444">
        <f t="shared" si="0"/>
        <v>927.58030700000006</v>
      </c>
    </row>
    <row r="7" spans="1:17">
      <c r="A7" s="444" t="s">
        <v>105</v>
      </c>
      <c r="B7" s="445">
        <f>landbouw!B8</f>
        <v>688.97881699999994</v>
      </c>
      <c r="C7" s="445">
        <f>landbouw!C8</f>
        <v>0</v>
      </c>
      <c r="D7" s="445">
        <f>landbouw!D8</f>
        <v>53.829761516999966</v>
      </c>
      <c r="E7" s="445">
        <f>landbouw!E8</f>
        <v>20.313043357732166</v>
      </c>
      <c r="F7" s="445">
        <f>landbouw!F8</f>
        <v>2189.8195360259924</v>
      </c>
      <c r="G7" s="445">
        <f>landbouw!G8</f>
        <v>0</v>
      </c>
      <c r="H7" s="445">
        <f>landbouw!H8</f>
        <v>0</v>
      </c>
      <c r="I7" s="445">
        <f>landbouw!I8</f>
        <v>0</v>
      </c>
      <c r="J7" s="445">
        <f>landbouw!J8</f>
        <v>173.75622680318793</v>
      </c>
      <c r="K7" s="445">
        <f>landbouw!K8</f>
        <v>0</v>
      </c>
      <c r="L7" s="445">
        <f>landbouw!L8</f>
        <v>0</v>
      </c>
      <c r="M7" s="445">
        <f>landbouw!M8</f>
        <v>0</v>
      </c>
      <c r="N7" s="445">
        <f>landbouw!N8</f>
        <v>0</v>
      </c>
      <c r="O7" s="445">
        <f>landbouw!O8</f>
        <v>0</v>
      </c>
      <c r="P7" s="446">
        <f>landbouw!P8</f>
        <v>0</v>
      </c>
      <c r="Q7" s="444">
        <f t="shared" si="0"/>
        <v>3126.6973847039126</v>
      </c>
    </row>
    <row r="8" spans="1:17">
      <c r="A8" s="444" t="s">
        <v>587</v>
      </c>
      <c r="B8" s="445">
        <f>industrie!B18</f>
        <v>3533.592451</v>
      </c>
      <c r="C8" s="445">
        <f>industrie!C18</f>
        <v>0</v>
      </c>
      <c r="D8" s="445">
        <f>industrie!D18</f>
        <v>2913.910283361</v>
      </c>
      <c r="E8" s="445">
        <f>industrie!E18</f>
        <v>41.759732117719722</v>
      </c>
      <c r="F8" s="445">
        <f>industrie!F18</f>
        <v>977.64736065523584</v>
      </c>
      <c r="G8" s="445">
        <f>industrie!G18</f>
        <v>0</v>
      </c>
      <c r="H8" s="445">
        <f>industrie!H18</f>
        <v>0</v>
      </c>
      <c r="I8" s="445">
        <f>industrie!I18</f>
        <v>0</v>
      </c>
      <c r="J8" s="445">
        <f>industrie!J18</f>
        <v>3.7136225893424815</v>
      </c>
      <c r="K8" s="445">
        <f>industrie!K18</f>
        <v>0</v>
      </c>
      <c r="L8" s="445">
        <f>industrie!L18</f>
        <v>0</v>
      </c>
      <c r="M8" s="445">
        <f>industrie!M18</f>
        <v>0</v>
      </c>
      <c r="N8" s="445">
        <f>industrie!N18</f>
        <v>91.051447426713821</v>
      </c>
      <c r="O8" s="445">
        <f>industrie!O18</f>
        <v>0</v>
      </c>
      <c r="P8" s="446">
        <f>industrie!P18</f>
        <v>0</v>
      </c>
      <c r="Q8" s="444">
        <f t="shared" si="0"/>
        <v>7561.6748971500119</v>
      </c>
    </row>
    <row r="9" spans="1:17" s="450" customFormat="1">
      <c r="A9" s="448" t="s">
        <v>536</v>
      </c>
      <c r="B9" s="449">
        <f>transport!B14</f>
        <v>189.23098258781599</v>
      </c>
      <c r="C9" s="449">
        <f>transport!C14</f>
        <v>0</v>
      </c>
      <c r="D9" s="449">
        <f>transport!D14</f>
        <v>337.31442739592535</v>
      </c>
      <c r="E9" s="449">
        <f>transport!E14</f>
        <v>184.51642150091973</v>
      </c>
      <c r="F9" s="449">
        <f>transport!F14</f>
        <v>0</v>
      </c>
      <c r="G9" s="449">
        <f>transport!G14</f>
        <v>89152.272789440918</v>
      </c>
      <c r="H9" s="449">
        <f>transport!H14</f>
        <v>22231.626567191233</v>
      </c>
      <c r="I9" s="449">
        <f>transport!I14</f>
        <v>0</v>
      </c>
      <c r="J9" s="449">
        <f>transport!J14</f>
        <v>0</v>
      </c>
      <c r="K9" s="449">
        <f>transport!K14</f>
        <v>0</v>
      </c>
      <c r="L9" s="449">
        <f>transport!L14</f>
        <v>0</v>
      </c>
      <c r="M9" s="449">
        <f>transport!M14</f>
        <v>6564.8615000077152</v>
      </c>
      <c r="N9" s="449">
        <f>transport!N14</f>
        <v>0</v>
      </c>
      <c r="O9" s="449">
        <f>transport!O14</f>
        <v>0</v>
      </c>
      <c r="P9" s="449">
        <f>transport!P14</f>
        <v>0</v>
      </c>
      <c r="Q9" s="448">
        <f>SUM(B9:P9)</f>
        <v>118659.82268812452</v>
      </c>
    </row>
    <row r="10" spans="1:17">
      <c r="A10" s="444" t="s">
        <v>526</v>
      </c>
      <c r="B10" s="445">
        <f>transport!B54</f>
        <v>26.777404514091224</v>
      </c>
      <c r="C10" s="445">
        <f>transport!C54</f>
        <v>0</v>
      </c>
      <c r="D10" s="445">
        <f>transport!D54</f>
        <v>0</v>
      </c>
      <c r="E10" s="445">
        <f>transport!E54</f>
        <v>0</v>
      </c>
      <c r="F10" s="445">
        <f>transport!F54</f>
        <v>0</v>
      </c>
      <c r="G10" s="445">
        <f>transport!G54</f>
        <v>1911.3228904393152</v>
      </c>
      <c r="H10" s="445">
        <f>transport!H54</f>
        <v>0</v>
      </c>
      <c r="I10" s="445">
        <f>transport!I54</f>
        <v>0</v>
      </c>
      <c r="J10" s="445">
        <f>transport!J54</f>
        <v>0</v>
      </c>
      <c r="K10" s="445">
        <f>transport!K54</f>
        <v>0</v>
      </c>
      <c r="L10" s="445">
        <f>transport!L54</f>
        <v>0</v>
      </c>
      <c r="M10" s="445">
        <f>transport!M54</f>
        <v>105.54056246300235</v>
      </c>
      <c r="N10" s="445">
        <f>transport!N54</f>
        <v>0</v>
      </c>
      <c r="O10" s="445">
        <f>transport!O54</f>
        <v>0</v>
      </c>
      <c r="P10" s="446">
        <f>transport!P54</f>
        <v>0</v>
      </c>
      <c r="Q10" s="444">
        <f t="shared" si="0"/>
        <v>2043.6408574164086</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304.05085100000002</v>
      </c>
      <c r="C14" s="452"/>
      <c r="D14" s="452">
        <f>'SEAP template'!E25</f>
        <v>571.75487100000009</v>
      </c>
      <c r="E14" s="452"/>
      <c r="F14" s="452"/>
      <c r="G14" s="452"/>
      <c r="H14" s="452"/>
      <c r="I14" s="452"/>
      <c r="J14" s="452"/>
      <c r="K14" s="452"/>
      <c r="L14" s="452"/>
      <c r="M14" s="452"/>
      <c r="N14" s="452"/>
      <c r="O14" s="452"/>
      <c r="P14" s="453"/>
      <c r="Q14" s="444">
        <f t="shared" si="0"/>
        <v>875.80572200000006</v>
      </c>
    </row>
    <row r="15" spans="1:17" s="456" customFormat="1">
      <c r="A15" s="454" t="s">
        <v>530</v>
      </c>
      <c r="B15" s="455">
        <f ca="1">SUM(B4:B14)</f>
        <v>35687.591023892848</v>
      </c>
      <c r="C15" s="455">
        <f t="shared" ref="C15:Q15" ca="1" si="1">SUM(C4:C14)</f>
        <v>128.57142857142858</v>
      </c>
      <c r="D15" s="455">
        <f t="shared" ca="1" si="1"/>
        <v>47545.443058263074</v>
      </c>
      <c r="E15" s="455">
        <f t="shared" si="1"/>
        <v>2169.1352556656498</v>
      </c>
      <c r="F15" s="455">
        <f t="shared" ca="1" si="1"/>
        <v>35679.23431508628</v>
      </c>
      <c r="G15" s="455">
        <f t="shared" si="1"/>
        <v>91063.595679880236</v>
      </c>
      <c r="H15" s="455">
        <f t="shared" si="1"/>
        <v>22231.626567191233</v>
      </c>
      <c r="I15" s="455">
        <f t="shared" si="1"/>
        <v>0</v>
      </c>
      <c r="J15" s="455">
        <f t="shared" si="1"/>
        <v>349.47558196903276</v>
      </c>
      <c r="K15" s="455">
        <f t="shared" si="1"/>
        <v>0</v>
      </c>
      <c r="L15" s="455">
        <f t="shared" ca="1" si="1"/>
        <v>0</v>
      </c>
      <c r="M15" s="455">
        <f t="shared" si="1"/>
        <v>6670.4020624707173</v>
      </c>
      <c r="N15" s="455">
        <f t="shared" ca="1" si="1"/>
        <v>7588.6456664051948</v>
      </c>
      <c r="O15" s="455">
        <f t="shared" si="1"/>
        <v>538.58202178095269</v>
      </c>
      <c r="P15" s="455">
        <f t="shared" si="1"/>
        <v>916.45445976859696</v>
      </c>
      <c r="Q15" s="455">
        <f t="shared" ca="1" si="1"/>
        <v>250568.7571209452</v>
      </c>
    </row>
    <row r="17" spans="1:17">
      <c r="A17" s="457" t="s">
        <v>531</v>
      </c>
      <c r="B17" s="737">
        <f ca="1">huishoudens!B10</f>
        <v>0.17406933875168676</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3916.075561054683</v>
      </c>
      <c r="C22" s="445">
        <f t="shared" ref="C22:C32" ca="1" si="3">C4*$C$17</f>
        <v>0</v>
      </c>
      <c r="D22" s="445">
        <f t="shared" ref="D22:D32" si="4">D4*$D$17</f>
        <v>7358.063829413305</v>
      </c>
      <c r="E22" s="445">
        <f t="shared" ref="E22:E32" si="5">E4*$E$17</f>
        <v>431.65028911473348</v>
      </c>
      <c r="F22" s="445">
        <f t="shared" ref="F22:F32" si="6">F4*$F$17</f>
        <v>8320.2229941917849</v>
      </c>
      <c r="G22" s="445">
        <f t="shared" ref="G22:G32" si="7">G4*$G$17</f>
        <v>0</v>
      </c>
      <c r="H22" s="445">
        <f t="shared" ref="H22:H32" si="8">H4*$H$17</f>
        <v>0</v>
      </c>
      <c r="I22" s="445">
        <f t="shared" ref="I22:I32" si="9">I4*$I$17</f>
        <v>0</v>
      </c>
      <c r="J22" s="445">
        <f t="shared" ref="J22:J32" si="10">J4*$J$17</f>
        <v>60.887285358450306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20086.899959132959</v>
      </c>
    </row>
    <row r="23" spans="1:17">
      <c r="A23" s="444" t="s">
        <v>149</v>
      </c>
      <c r="B23" s="445">
        <f t="shared" ca="1" si="2"/>
        <v>1309.0299632956633</v>
      </c>
      <c r="C23" s="445">
        <f t="shared" ca="1" si="3"/>
        <v>30.554621848739504</v>
      </c>
      <c r="D23" s="445">
        <f t="shared" ca="1" si="4"/>
        <v>1463.0001810145031</v>
      </c>
      <c r="E23" s="445">
        <f t="shared" si="5"/>
        <v>4.7676662077326428</v>
      </c>
      <c r="F23" s="445">
        <f t="shared" ca="1" si="6"/>
        <v>360.4189065223627</v>
      </c>
      <c r="G23" s="445">
        <f t="shared" si="7"/>
        <v>0</v>
      </c>
      <c r="H23" s="445">
        <f t="shared" si="8"/>
        <v>0</v>
      </c>
      <c r="I23" s="445">
        <f t="shared" si="9"/>
        <v>0</v>
      </c>
      <c r="J23" s="445">
        <f t="shared" si="10"/>
        <v>2.7439736315198289E-3</v>
      </c>
      <c r="K23" s="445">
        <f t="shared" si="11"/>
        <v>0</v>
      </c>
      <c r="L23" s="445">
        <f t="shared" ca="1" si="12"/>
        <v>0</v>
      </c>
      <c r="M23" s="445">
        <f t="shared" si="13"/>
        <v>0</v>
      </c>
      <c r="N23" s="445">
        <f t="shared" ca="1" si="14"/>
        <v>0</v>
      </c>
      <c r="O23" s="445">
        <f t="shared" si="15"/>
        <v>0</v>
      </c>
      <c r="P23" s="446">
        <f t="shared" si="16"/>
        <v>0</v>
      </c>
      <c r="Q23" s="444">
        <f t="shared" ref="Q23:Q31" ca="1" si="17">SUM(B23:P23)</f>
        <v>3167.7740828626324</v>
      </c>
    </row>
    <row r="24" spans="1:17">
      <c r="A24" s="444" t="s">
        <v>187</v>
      </c>
      <c r="B24" s="445">
        <f t="shared" ca="1" si="2"/>
        <v>161.46329067857661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161.46329067857661</v>
      </c>
    </row>
    <row r="25" spans="1:17">
      <c r="A25" s="444" t="s">
        <v>105</v>
      </c>
      <c r="B25" s="445">
        <f t="shared" ca="1" si="2"/>
        <v>119.93008708910939</v>
      </c>
      <c r="C25" s="445">
        <f t="shared" ca="1" si="3"/>
        <v>0</v>
      </c>
      <c r="D25" s="445">
        <f t="shared" si="4"/>
        <v>10.873611826433994</v>
      </c>
      <c r="E25" s="445">
        <f t="shared" si="5"/>
        <v>4.6110608422052017</v>
      </c>
      <c r="F25" s="445">
        <f t="shared" si="6"/>
        <v>584.68181611893999</v>
      </c>
      <c r="G25" s="445">
        <f t="shared" si="7"/>
        <v>0</v>
      </c>
      <c r="H25" s="445">
        <f t="shared" si="8"/>
        <v>0</v>
      </c>
      <c r="I25" s="445">
        <f t="shared" si="9"/>
        <v>0</v>
      </c>
      <c r="J25" s="445">
        <f t="shared" si="10"/>
        <v>61.509704288328521</v>
      </c>
      <c r="K25" s="445">
        <f t="shared" si="11"/>
        <v>0</v>
      </c>
      <c r="L25" s="445">
        <f t="shared" si="12"/>
        <v>0</v>
      </c>
      <c r="M25" s="445">
        <f t="shared" si="13"/>
        <v>0</v>
      </c>
      <c r="N25" s="445">
        <f t="shared" si="14"/>
        <v>0</v>
      </c>
      <c r="O25" s="445">
        <f t="shared" si="15"/>
        <v>0</v>
      </c>
      <c r="P25" s="446">
        <f t="shared" si="16"/>
        <v>0</v>
      </c>
      <c r="Q25" s="444">
        <f t="shared" ca="1" si="17"/>
        <v>781.6062801650171</v>
      </c>
    </row>
    <row r="26" spans="1:17">
      <c r="A26" s="444" t="s">
        <v>587</v>
      </c>
      <c r="B26" s="445">
        <f t="shared" ca="1" si="2"/>
        <v>615.09010136352208</v>
      </c>
      <c r="C26" s="445">
        <f t="shared" ca="1" si="3"/>
        <v>0</v>
      </c>
      <c r="D26" s="445">
        <f t="shared" si="4"/>
        <v>588.60987723892208</v>
      </c>
      <c r="E26" s="445">
        <f t="shared" si="5"/>
        <v>9.4794591907223769</v>
      </c>
      <c r="F26" s="445">
        <f t="shared" si="6"/>
        <v>261.03184529494797</v>
      </c>
      <c r="G26" s="445">
        <f t="shared" si="7"/>
        <v>0</v>
      </c>
      <c r="H26" s="445">
        <f t="shared" si="8"/>
        <v>0</v>
      </c>
      <c r="I26" s="445">
        <f t="shared" si="9"/>
        <v>0</v>
      </c>
      <c r="J26" s="445">
        <f t="shared" si="10"/>
        <v>1.3146223966272383</v>
      </c>
      <c r="K26" s="445">
        <f t="shared" si="11"/>
        <v>0</v>
      </c>
      <c r="L26" s="445">
        <f t="shared" si="12"/>
        <v>0</v>
      </c>
      <c r="M26" s="445">
        <f t="shared" si="13"/>
        <v>0</v>
      </c>
      <c r="N26" s="445">
        <f t="shared" si="14"/>
        <v>0</v>
      </c>
      <c r="O26" s="445">
        <f t="shared" si="15"/>
        <v>0</v>
      </c>
      <c r="P26" s="446">
        <f t="shared" si="16"/>
        <v>0</v>
      </c>
      <c r="Q26" s="444">
        <f t="shared" ca="1" si="17"/>
        <v>1475.5259054847418</v>
      </c>
    </row>
    <row r="27" spans="1:17" s="450" customFormat="1">
      <c r="A27" s="448" t="s">
        <v>536</v>
      </c>
      <c r="B27" s="731">
        <f t="shared" ca="1" si="2"/>
        <v>32.939312010393081</v>
      </c>
      <c r="C27" s="449">
        <f t="shared" ca="1" si="3"/>
        <v>0</v>
      </c>
      <c r="D27" s="449">
        <f t="shared" si="4"/>
        <v>68.137514333976924</v>
      </c>
      <c r="E27" s="449">
        <f t="shared" si="5"/>
        <v>41.88522768070878</v>
      </c>
      <c r="F27" s="449">
        <f t="shared" si="6"/>
        <v>0</v>
      </c>
      <c r="G27" s="449">
        <f t="shared" si="7"/>
        <v>23803.656834780726</v>
      </c>
      <c r="H27" s="449">
        <f t="shared" si="8"/>
        <v>5535.6750152306167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29482.293904036422</v>
      </c>
    </row>
    <row r="28" spans="1:17" ht="16.5" customHeight="1">
      <c r="A28" s="444" t="s">
        <v>526</v>
      </c>
      <c r="B28" s="445">
        <f t="shared" ca="1" si="2"/>
        <v>4.661125097254291</v>
      </c>
      <c r="C28" s="445">
        <f t="shared" ca="1" si="3"/>
        <v>0</v>
      </c>
      <c r="D28" s="445">
        <f t="shared" si="4"/>
        <v>0</v>
      </c>
      <c r="E28" s="445">
        <f t="shared" si="5"/>
        <v>0</v>
      </c>
      <c r="F28" s="445">
        <f t="shared" si="6"/>
        <v>0</v>
      </c>
      <c r="G28" s="445">
        <f t="shared" si="7"/>
        <v>510.32321174729719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514.98433684455154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52.925930580457639</v>
      </c>
      <c r="C32" s="445">
        <f t="shared" ca="1" si="3"/>
        <v>0</v>
      </c>
      <c r="D32" s="445">
        <f t="shared" si="4"/>
        <v>115.49448394200003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168.42041452245766</v>
      </c>
    </row>
    <row r="33" spans="1:17" s="456" customFormat="1">
      <c r="A33" s="454" t="s">
        <v>530</v>
      </c>
      <c r="B33" s="455">
        <f ca="1">SUM(B22:B32)</f>
        <v>6212.1153711696597</v>
      </c>
      <c r="C33" s="455">
        <f t="shared" ref="C33:Q33" ca="1" si="19">SUM(C22:C32)</f>
        <v>30.554621848739504</v>
      </c>
      <c r="D33" s="455">
        <f t="shared" ca="1" si="19"/>
        <v>9604.1794977691407</v>
      </c>
      <c r="E33" s="455">
        <f t="shared" si="19"/>
        <v>492.39370303610247</v>
      </c>
      <c r="F33" s="455">
        <f t="shared" ca="1" si="19"/>
        <v>9526.3555621280375</v>
      </c>
      <c r="G33" s="455">
        <f t="shared" si="19"/>
        <v>24313.980046528024</v>
      </c>
      <c r="H33" s="455">
        <f t="shared" si="19"/>
        <v>5535.6750152306167</v>
      </c>
      <c r="I33" s="455">
        <f t="shared" si="19"/>
        <v>0</v>
      </c>
      <c r="J33" s="455">
        <f t="shared" si="19"/>
        <v>123.71435601703759</v>
      </c>
      <c r="K33" s="455">
        <f t="shared" si="19"/>
        <v>0</v>
      </c>
      <c r="L33" s="455">
        <f t="shared" ca="1" si="19"/>
        <v>0</v>
      </c>
      <c r="M33" s="455">
        <f t="shared" si="19"/>
        <v>0</v>
      </c>
      <c r="N33" s="455">
        <f t="shared" ca="1" si="19"/>
        <v>0</v>
      </c>
      <c r="O33" s="455">
        <f t="shared" si="19"/>
        <v>0</v>
      </c>
      <c r="P33" s="455">
        <f t="shared" si="19"/>
        <v>0</v>
      </c>
      <c r="Q33" s="455">
        <f t="shared" ca="1" si="19"/>
        <v>55838.968173727364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7585.2510425555502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90</v>
      </c>
      <c r="D8" s="972">
        <f>'SEAP template'!D76</f>
        <v>105.88235294117648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21.388235294117649</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7585.2510425555502</v>
      </c>
      <c r="C10" s="974">
        <f>SUM(C4:C9)</f>
        <v>90</v>
      </c>
      <c r="D10" s="974">
        <f t="shared" ref="D10:H10" si="0">SUM(D8:D9)</f>
        <v>105.88235294117648</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21.388235294117649</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0.17406933875168676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128.57142857142858</v>
      </c>
      <c r="D17" s="973">
        <f>'SEAP template'!D87</f>
        <v>151.2605042016807</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30.554621848739504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128.57142857142858</v>
      </c>
      <c r="D20" s="974">
        <f t="shared" ref="D20:H20" si="2">SUM(D17:D19)</f>
        <v>151.2605042016807</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30.554621848739504</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0.17406933875168676</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2022-07-26T10:01:20Z</dcterms:modified>
</cp:coreProperties>
</file>