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A65C623-C139-4FA5-AD2E-35395B03AF0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46"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55" i="18"/>
  <c r="V55" i="18"/>
  <c r="U55" i="18"/>
  <c r="T55" i="18"/>
  <c r="S55" i="18"/>
  <c r="R55" i="18"/>
  <c r="Q55" i="18"/>
  <c r="P55" i="18"/>
  <c r="O55" i="18"/>
  <c r="N55" i="18"/>
  <c r="M55" i="18"/>
  <c r="W54" i="18"/>
  <c r="V54" i="18"/>
  <c r="U54" i="18"/>
  <c r="T54" i="18"/>
  <c r="S54" i="18"/>
  <c r="R54" i="18"/>
  <c r="Q54" i="18"/>
  <c r="P54" i="18"/>
  <c r="O54" i="18"/>
  <c r="N54" i="18"/>
  <c r="M54" i="18"/>
  <c r="W53" i="18"/>
  <c r="V53" i="18"/>
  <c r="U53" i="18"/>
  <c r="T53" i="18"/>
  <c r="S53" i="18"/>
  <c r="R53" i="18"/>
  <c r="Q53" i="18"/>
  <c r="P53" i="18"/>
  <c r="O53" i="18"/>
  <c r="N53" i="18"/>
  <c r="M53" i="18"/>
  <c r="W52" i="18"/>
  <c r="H9" i="18"/>
  <c r="M77" i="14"/>
  <c r="M9" i="59"/>
  <c r="V52" i="18"/>
  <c r="U52" i="18"/>
  <c r="T52" i="18"/>
  <c r="S52" i="18"/>
  <c r="E9" i="18"/>
  <c r="F77" i="14"/>
  <c r="F9" i="59"/>
  <c r="R52" i="18"/>
  <c r="Q52" i="18"/>
  <c r="P52" i="18"/>
  <c r="O52" i="18"/>
  <c r="N52" i="18"/>
  <c r="B9" i="18"/>
  <c r="M52" i="18"/>
  <c r="W48" i="18"/>
  <c r="V48" i="18"/>
  <c r="U48" i="18"/>
  <c r="T48" i="18"/>
  <c r="L6" i="17"/>
  <c r="L5" i="17"/>
  <c r="S48" i="18"/>
  <c r="F6" i="17"/>
  <c r="R48" i="18"/>
  <c r="Q48" i="18"/>
  <c r="P48" i="18"/>
  <c r="O48" i="18"/>
  <c r="N48" i="18"/>
  <c r="M48" i="18"/>
  <c r="W47" i="18"/>
  <c r="V47" i="18"/>
  <c r="U47" i="18"/>
  <c r="T47" i="18"/>
  <c r="S47" i="18"/>
  <c r="R47" i="18"/>
  <c r="Q47" i="18"/>
  <c r="P47" i="18"/>
  <c r="O47" i="18"/>
  <c r="C13" i="15"/>
  <c r="N47" i="18"/>
  <c r="B13" i="15"/>
  <c r="M47" i="18"/>
  <c r="W46" i="18"/>
  <c r="V46" i="18"/>
  <c r="U46" i="18"/>
  <c r="T46" i="18"/>
  <c r="S46" i="18"/>
  <c r="F16" i="16"/>
  <c r="R46" i="18"/>
  <c r="Q46" i="18"/>
  <c r="P46" i="18"/>
  <c r="O46" i="18"/>
  <c r="N46" i="18"/>
  <c r="W45" i="18"/>
  <c r="V45" i="18"/>
  <c r="U45" i="18"/>
  <c r="T45" i="18"/>
  <c r="S45" i="18"/>
  <c r="R45" i="18"/>
  <c r="Q45" i="18"/>
  <c r="P45" i="18"/>
  <c r="O45" i="18"/>
  <c r="B17" i="18"/>
  <c r="N45" i="18"/>
  <c r="B8" i="18"/>
  <c r="M45"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61" i="18"/>
  <c r="B65" i="18"/>
  <c r="B16" i="16"/>
  <c r="K9" i="14"/>
  <c r="H77" i="14"/>
  <c r="J11" i="48"/>
  <c r="J29" i="48"/>
  <c r="M9" i="14"/>
  <c r="L11" i="48"/>
  <c r="O19" i="14"/>
  <c r="O22" i="14"/>
  <c r="N10" i="48"/>
  <c r="N28" i="48"/>
  <c r="J19" i="14"/>
  <c r="J22" i="14"/>
  <c r="I10" i="48"/>
  <c r="I28" i="48"/>
  <c r="J19" i="19"/>
  <c r="K39" i="14"/>
  <c r="N19" i="19"/>
  <c r="O39" i="14"/>
  <c r="C61" i="18"/>
  <c r="I64"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64" i="18"/>
  <c r="E8" i="18"/>
  <c r="F76" i="14"/>
  <c r="F7" i="48"/>
  <c r="F25" i="48"/>
  <c r="D64" i="18"/>
  <c r="O9" i="18"/>
  <c r="M29" i="48"/>
  <c r="F12" i="17"/>
  <c r="G54" i="14"/>
  <c r="G56" i="14"/>
  <c r="C65" i="18"/>
  <c r="C64" i="18"/>
  <c r="B10" i="18"/>
  <c r="E65" i="18"/>
  <c r="E17" i="18"/>
  <c r="F87" i="14"/>
  <c r="G65" i="18"/>
  <c r="D7" i="48"/>
  <c r="D25" i="48"/>
  <c r="H64" i="18"/>
  <c r="G64" i="18"/>
  <c r="D65" i="18"/>
  <c r="L28" i="48"/>
  <c r="H65" i="18"/>
  <c r="I65" i="18"/>
  <c r="H17" i="18"/>
  <c r="F65" i="18"/>
  <c r="F64" i="18"/>
  <c r="H10" i="18"/>
  <c r="M78" i="14"/>
  <c r="B64"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4" i="48"/>
  <c r="N23" i="48"/>
  <c r="R11" i="14"/>
  <c r="J22" i="48"/>
  <c r="R10" i="14"/>
  <c r="Q5" i="48"/>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<sst xmlns="http://schemas.openxmlformats.org/spreadsheetml/2006/main" count="2457" uniqueCount="867">
  <si>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</si>
  <si>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</si>
  <si>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</si>
  <si>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</si>
  <si>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</si>
  <si>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</si>
  <si>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</si>
  <si>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</si>
  <si>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</si>
  <si>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</si>
  <si>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</si>
  <si>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</si>
  <si>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</si>
  <si>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</si>
  <si>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</si>
  <si>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</si>
  <si>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</si>
  <si>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</si>
  <si>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</si>
  <si>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</si>
  <si>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</si>
  <si>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</si>
  <si>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</si>
  <si>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</si>
  <si>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</si>
  <si>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</si>
  <si>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</si>
  <si>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</si>
  <si>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</si>
  <si>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</si>
  <si>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</si>
  <si>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</si>
  <si>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</si>
  <si>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</si>
  <si>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</si>
  <si>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</si>
  <si>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</si>
  <si>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</si>
  <si>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</si>
  <si>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</si>
  <si>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</si>
  <si>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</si>
  <si>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</si>
  <si>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</si>
  <si>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</si>
  <si>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</si>
  <si>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</si>
  <si>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</si>
  <si>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</si>
  <si>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</si>
  <si>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</si>
  <si>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</si>
  <si>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</si>
  <si>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</si>
  <si>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</si>
  <si>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</si>
  <si>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</si>
  <si>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</si>
  <si>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</si>
  <si>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</si>
  <si>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</si>
  <si>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</si>
  <si>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</si>
  <si>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</si>
  <si>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</si>
  <si>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</si>
  <si>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</si>
  <si>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</si>
  <si>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</si>
  <si>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</si>
  <si>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</si>
  <si>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</si>
  <si>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</si>
  <si>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</si>
  <si>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</si>
  <si>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</si>
  <si>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</si>
  <si>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</si>
  <si>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</si>
  <si>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</si>
  <si>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</si>
  <si>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</si>
  <si>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</si>
  <si>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</si>
  <si>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</si>
  <si>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</si>
  <si>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</si>
  <si>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</si>
  <si>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</si>
  <si>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</si>
  <si>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</si>
  <si>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</si>
  <si>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</si>
  <si>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</si>
  <si>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</si>
  <si>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</si>
  <si>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</si>
  <si>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</si>
  <si>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</si>
  <si>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</si>
  <si>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</si>
  <si>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</si>
  <si>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</si>
  <si>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</si>
  <si>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</si>
  <si>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</si>
  <si>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</si>
  <si>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</si>
  <si>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</si>
  <si>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</si>
  <si>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</si>
  <si>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</si>
  <si>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</si>
  <si>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</si>
  <si>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</si>
  <si>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</si>
  <si>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</si>
  <si>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</si>
  <si>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</si>
  <si>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</si>
  <si>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</si>
  <si>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</si>
  <si>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</si>
  <si>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</si>
  <si>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</si>
  <si>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</si>
  <si>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</si>
  <si>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</si>
  <si>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</si>
  <si>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</si>
  <si>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</si>
  <si>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</si>
  <si>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</si>
  <si>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</si>
  <si>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</si>
  <si>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</si>
  <si>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</si>
  <si>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</si>
  <si>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</si>
  <si>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</si>
  <si>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</si>
  <si>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</si>
  <si>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</si>
  <si>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</si>
  <si>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</si>
  <si>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</si>
  <si>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</si>
  <si>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</si>
  <si>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</si>
  <si>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</si>
  <si>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</si>
  <si>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</si>
  <si>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</si>
  <si>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</si>
  <si>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</si>
  <si>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</si>
  <si>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</si>
  <si>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</si>
  <si>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</si>
  <si>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</si>
  <si>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</si>
  <si>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</si>
  <si>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</si>
  <si>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</si>
  <si>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</si>
  <si>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</si>
  <si>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</si>
  <si>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</si>
  <si>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</si>
  <si>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</si>
  <si>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</si>
  <si>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</si>
  <si>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</si>
  <si>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</si>
  <si>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</si>
  <si>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</si>
  <si>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</si>
  <si>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</si>
  <si>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</si>
  <si>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</si>
  <si>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</si>
  <si>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</si>
  <si>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</si>
  <si>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</si>
  <si>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</si>
  <si>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</si>
  <si>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</si>
  <si>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</si>
  <si>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</si>
  <si>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</si>
  <si>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</si>
  <si>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</si>
  <si>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</si>
  <si>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</si>
  <si>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</si>
  <si>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</si>
  <si>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</si>
  <si>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</si>
  <si>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</si>
  <si>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</si>
  <si>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</si>
  <si>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</si>
  <si>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</si>
  <si>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</si>
  <si>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</si>
  <si>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</si>
  <si>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</si>
  <si>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</si>
  <si>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</si>
  <si>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</si>
  <si>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</si>
  <si>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</si>
  <si>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</si>
  <si>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</si>
  <si>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</si>
  <si>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</si>
  <si>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</si>
  <si>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</si>
  <si>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</si>
  <si>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</si>
  <si>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</si>
  <si>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</si>
  <si>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</si>
  <si>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</si>
  <si>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</si>
  <si>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</si>
  <si>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</si>
  <si>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</si>
  <si>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</si>
  <si>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</si>
  <si>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</si>
  <si>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</si>
  <si>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</si>
  <si>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</si>
  <si>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</si>
  <si>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</si>
  <si>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</si>
  <si>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</si>
  <si>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</si>
  <si>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</si>
  <si>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</si>
  <si>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</si>
  <si>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</si>
  <si>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</si>
  <si>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</si>
  <si>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</si>
  <si>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</si>
  <si>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</si>
  <si>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</si>
  <si>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</si>
  <si>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</si>
  <si>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</si>
  <si>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</si>
  <si>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</si>
  <si>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</si>
  <si>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</si>
  <si>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</si>
  <si>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</si>
  <si>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</si>
  <si>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</si>
  <si>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</si>
  <si>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</si>
  <si>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</si>
  <si>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</si>
  <si>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</si>
  <si>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</si>
  <si>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</si>
  <si>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</si>
  <si>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</si>
  <si>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</si>
  <si>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</si>
  <si>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</si>
  <si>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</si>
  <si>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</si>
  <si>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</si>
  <si>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</si>
  <si>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</si>
  <si>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</si>
  <si>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</si>
  <si>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</si>
  <si>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</si>
  <si>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</si>
  <si>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</si>
  <si>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</si>
  <si>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</si>
  <si>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</si>
  <si>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</si>
  <si>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</si>
  <si>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</si>
  <si>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</si>
  <si>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</si>
  <si>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</si>
  <si>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</si>
  <si>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</si>
  <si>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</si>
  <si>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</si>
  <si>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</si>
  <si>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</si>
  <si>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</si>
  <si>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</si>
  <si>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</si>
  <si>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</si>
  <si>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</si>
  <si>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</si>
  <si>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</si>
  <si>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</si>
  <si>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</si>
  <si>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</si>
  <si>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</si>
  <si>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</si>
  <si>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</si>
  <si>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</si>
  <si>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</si>
  <si>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</si>
  <si>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</si>
  <si>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</si>
  <si>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</si>
  <si>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</si>
  <si>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</si>
  <si>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</si>
  <si>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</si>
  <si>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</si>
  <si>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</si>
  <si>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</si>
  <si>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</si>
  <si>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</si>
  <si>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</si>
  <si>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</si>
  <si>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</si>
  <si>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</si>
  <si>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</si>
  <si>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</si>
  <si>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</si>
  <si>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</si>
  <si>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</si>
  <si>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</si>
  <si>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</si>
  <si>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</si>
  <si>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</si>
  <si>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</si>
  <si>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</si>
  <si>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</si>
  <si>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</si>
  <si>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</si>
  <si>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</si>
  <si>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</si>
  <si>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</si>
  <si>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</si>
  <si>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</si>
  <si>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</si>
  <si>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</si>
  <si>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</si>
  <si>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</si>
  <si>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</si>
  <si>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</si>
  <si>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</si>
  <si>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</si>
  <si>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</si>
  <si>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</si>
  <si>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</si>
  <si>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</si>
  <si>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</si>
  <si>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</si>
  <si>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</si>
  <si>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</si>
  <si>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</si>
  <si>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</si>
  <si>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</si>
  <si>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</si>
  <si>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</si>
  <si>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</si>
  <si>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</si>
  <si>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</si>
  <si>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</si>
  <si>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</si>
  <si>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</si>
  <si>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</si>
  <si>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</si>
  <si>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</si>
  <si>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</si>
  <si>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</si>
  <si>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</si>
  <si>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</si>
  <si>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</si>
  <si>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</si>
  <si>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</si>
  <si>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</si>
  <si>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</si>
  <si>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</si>
  <si>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</si>
  <si>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</si>
  <si>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</si>
  <si>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</si>
  <si>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</si>
  <si>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</si>
  <si>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</si>
  <si>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</si>
  <si>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</si>
  <si>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</si>
  <si>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</si>
  <si>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</si>
  <si>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</si>
  <si>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</si>
  <si>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</si>
  <si>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</si>
  <si>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</si>
  <si>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</si>
  <si>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</si>
  <si>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</si>
  <si>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</si>
  <si>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</si>
  <si>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</si>
  <si>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</si>
  <si>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</si>
  <si>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</si>
  <si>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</si>
  <si>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</si>
  <si>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</si>
  <si>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</si>
  <si>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</si>
  <si>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</si>
  <si>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</si>
  <si>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</si>
  <si>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</si>
  <si>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</si>
  <si>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</si>
  <si>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</si>
  <si>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</si>
  <si>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</si>
  <si>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</si>
  <si>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</si>
  <si>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</si>
  <si>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</si>
  <si>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</si>
  <si>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</si>
  <si>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</si>
  <si>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</si>
  <si>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</si>
  <si>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</si>
  <si>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</si>
  <si>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</si>
  <si>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</si>
  <si>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</si>
  <si>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</si>
  <si>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</si>
  <si>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</si>
  <si>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</si>
  <si>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</si>
  <si>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</si>
  <si>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</si>
  <si>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</si>
  <si>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</si>
  <si>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</si>
  <si>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</si>
  <si>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</si>
  <si>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</si>
  <si>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</si>
  <si>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</si>
  <si>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</si>
  <si>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</si>
  <si>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</si>
  <si>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</si>
  <si>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</si>
  <si>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</si>
  <si>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</si>
  <si>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</si>
  <si>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</si>
  <si>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</si>
  <si>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</si>
  <si>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</si>
  <si>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</si>
  <si>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</si>
  <si>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</si>
  <si>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</si>
  <si>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</si>
  <si>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</si>
  <si>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</si>
  <si>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</si>
  <si>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</si>
  <si>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</si>
  <si>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</si>
  <si>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</si>
  <si>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</si>
  <si>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</si>
  <si>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</si>
  <si>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</si>
  <si>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</si>
  <si>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</si>
  <si>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</si>
  <si>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</si>
  <si>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</si>
  <si>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</si>
  <si>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</si>
  <si>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</si>
  <si>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</si>
  <si>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</si>
  <si>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</si>
  <si>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</si>
  <si>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</si>
  <si>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</si>
  <si>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</si>
  <si>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</si>
  <si>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</si>
  <si>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</si>
  <si>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</si>
  <si>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</si>
  <si>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</si>
  <si>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</si>
  <si>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</si>
  <si>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</si>
  <si>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</si>
  <si>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</si>
  <si>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</si>
  <si>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</si>
  <si>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</si>
  <si>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</si>
  <si>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</si>
  <si>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</si>
  <si>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</si>
  <si>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</si>
  <si>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</si>
  <si>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</si>
  <si>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</si>
  <si>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</si>
  <si>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</si>
  <si>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</si>
  <si>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</si>
  <si>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</si>
  <si>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</si>
  <si>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</si>
  <si>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</si>
  <si>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</si>
  <si>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</si>
  <si>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</si>
  <si>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</si>
  <si>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</si>
  <si>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</si>
  <si>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</si>
  <si>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</si>
  <si>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</si>
  <si>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</si>
  <si>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</si>
  <si>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</si>
  <si>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</si>
  <si>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</si>
  <si>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</si>
  <si>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</si>
  <si>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</si>
  <si>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</si>
  <si>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</si>
  <si>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</si>
  <si>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</si>
  <si>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</si>
  <si>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</si>
  <si>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</si>
  <si>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</si>
  <si>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</si>
  <si>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</si>
  <si>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</si>
  <si>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</si>
  <si>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</si>
  <si>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</si>
  <si>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</si>
  <si>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</si>
  <si>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</si>
  <si>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</si>
  <si>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</si>
  <si>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</si>
  <si>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</si>
  <si>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</si>
  <si>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</si>
  <si>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</si>
  <si>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</si>
  <si>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</si>
  <si>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</si>
  <si>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</si>
  <si>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</si>
  <si>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</si>
  <si>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</si>
  <si>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</si>
  <si>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</si>
  <si>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</si>
  <si>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</si>
  <si>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</si>
  <si>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</si>
  <si>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</si>
  <si>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</si>
  <si>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</si>
  <si>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</si>
  <si>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</si>
  <si>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</si>
  <si>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</si>
  <si>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</si>
  <si>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</si>
  <si>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</si>
  <si>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</si>
  <si>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</si>
  <si>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</si>
  <si>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</si>
  <si>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</si>
  <si>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</si>
  <si>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</si>
  <si>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</si>
  <si>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</si>
  <si>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</si>
  <si>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</si>
  <si>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</si>
  <si>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</si>
  <si>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</si>
  <si>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</si>
  <si>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</si>
  <si>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</si>
  <si>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</si>
  <si>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</si>
  <si>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</si>
  <si>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</si>
  <si>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</si>
  <si>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</si>
  <si>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</si>
  <si>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</si>
  <si>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</si>
  <si>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</si>
  <si>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</si>
  <si>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</si>
  <si>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</si>
  <si>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</si>
  <si>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</si>
  <si>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</si>
  <si>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</si>
  <si>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</si>
  <si>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</si>
  <si>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</si>
  <si>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</si>
  <si>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</si>
  <si>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</si>
  <si>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</si>
  <si>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</si>
  <si>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</si>
  <si>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</si>
  <si>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</si>
  <si>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</si>
  <si>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</si>
  <si>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</si>
  <si>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</si>
  <si>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</si>
  <si>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</si>
  <si>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</si>
  <si>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</si>
  <si>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</si>
  <si>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</si>
  <si>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</si>
  <si>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</si>
  <si>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</si>
  <si>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</si>
  <si>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</si>
  <si>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</si>
  <si>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</si>
  <si>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</si>
  <si>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</si>
  <si>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</si>
  <si>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</si>
  <si>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</si>
  <si>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</si>
  <si>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</si>
  <si>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</si>
  <si>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</si>
  <si>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</si>
  <si>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</si>
  <si>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</si>
  <si>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</si>
  <si>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</si>
  <si>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</si>
  <si>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</si>
  <si>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</si>
  <si>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</si>
  <si>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</si>
  <si>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</si>
  <si>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</si>
  <si>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</si>
  <si>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</si>
  <si>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</si>
  <si>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</si>
  <si>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</si>
  <si>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</si>
  <si>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</si>
  <si>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</si>
  <si>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</si>
  <si>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</si>
  <si>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</si>
  <si>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</si>
  <si>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</si>
  <si>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</si>
  <si>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</si>
  <si>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</si>
  <si>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</si>
  <si>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</si>
  <si>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</si>
  <si>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</si>
  <si>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</si>
  <si>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</si>
  <si>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</si>
  <si>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</si>
  <si>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</si>
  <si>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</si>
  <si>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</si>
  <si>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</si>
  <si>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</si>
  <si>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</si>
  <si>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</si>
  <si>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</si>
  <si>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</si>
  <si>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</si>
  <si>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</si>
  <si>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</si>
  <si>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</si>
  <si>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</si>
  <si>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</si>
  <si>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</si>
  <si>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</si>
  <si>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</si>
  <si>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</si>
  <si>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</si>
  <si>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</si>
  <si>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</si>
  <si>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</si>
  <si>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</si>
  <si>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</si>
  <si>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</si>
  <si>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</si>
  <si>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</si>
  <si>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</si>
  <si>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</si>
  <si>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</si>
  <si>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</si>
  <si>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</si>
  <si>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</si>
  <si>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</si>
  <si>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</si>
  <si>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</si>
  <si>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</si>
  <si>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</si>
  <si>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</si>
  <si>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</si>
  <si>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</si>
  <si>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</si>
  <si>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</si>
  <si>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</si>
  <si>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</si>
  <si>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</si>
  <si>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</si>
  <si>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</si>
  <si>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</si>
  <si>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</si>
  <si>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</si>
  <si>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</si>
  <si>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</si>
  <si>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</si>
  <si>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</si>
  <si>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</si>
  <si>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</si>
  <si>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</si>
  <si>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</si>
  <si>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</si>
  <si>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</si>
  <si>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</si>
  <si>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</si>
  <si>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</si>
  <si>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</si>
  <si>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</si>
  <si>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</si>
  <si>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</si>
  <si>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</si>
  <si>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</si>
  <si>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</si>
  <si>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</si>
  <si>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</si>
  <si>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</si>
  <si>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</si>
  <si>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</si>
  <si>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</si>
  <si>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</si>
  <si>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</si>
  <si>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</si>
  <si>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</si>
  <si>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</si>
  <si>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</si>
  <si>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</si>
  <si>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</si>
  <si>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</si>
  <si>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</si>
  <si>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</si>
  <si>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</si>
  <si>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</si>
  <si>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</si>
  <si>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</si>
  <si>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</si>
  <si>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</si>
  <si>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</si>
  <si>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</si>
  <si>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</si>
  <si>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</si>
  <si>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</si>
  <si>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</si>
  <si>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</si>
  <si>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</si>
  <si>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</si>
  <si>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</si>
  <si>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</si>
  <si>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</si>
  <si>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</si>
  <si>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</si>
  <si>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</si>
  <si>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</si>
  <si>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</si>
  <si>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</si>
  <si>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</si>
  <si>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</si>
  <si>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</si>
  <si>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</si>
  <si>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</si>
  <si>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</si>
  <si>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</si>
  <si>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</si>
  <si>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</si>
  <si>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</si>
  <si>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</si>
  <si>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</si>
  <si>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</si>
  <si>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</si>
  <si>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</si>
  <si>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</si>
  <si>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</si>
  <si>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</si>
  <si>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</si>
  <si>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</si>
  <si>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</si>
  <si>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</si>
  <si>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</si>
  <si>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</si>
  <si>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</si>
  <si>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</si>
  <si>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</si>
  <si>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</si>
  <si>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</si>
  <si>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</si>
  <si>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</si>
  <si>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</si>
  <si>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</si>
  <si>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</si>
  <si>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</si>
  <si>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</si>
  <si>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</si>
  <si>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</si>
  <si>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</si>
  <si>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</si>
  <si>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</si>
  <si>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</si>
  <si>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46003</t>
  </si>
  <si>
    <t>BEVEREN</t>
  </si>
  <si>
    <t>waterkracht</t>
  </si>
  <si>
    <t>vloeibaar gas (MWh)</t>
  </si>
  <si>
    <t>interne verbrandingsmotor</t>
  </si>
  <si>
    <t>WKK interne verbrandinsgmotor (gas)</t>
  </si>
  <si>
    <t>INTERGEM</t>
  </si>
  <si>
    <t>INTERGEM (via EANDIS)</t>
  </si>
  <si>
    <t>Elia (DNB)</t>
  </si>
  <si>
    <t>Interne verbrandingsmotor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</si>
</sst>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851E4B9A-781B-4A85-98B7-6C690705E5AE}"/>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390398.67047888436</c:v>
                </c:pt>
                <c:pt idx="1">
                  <c:v>347704.01962776965</c:v>
                </c:pt>
                <c:pt idx="2">
                  <c:v>2959.0455975130199</c:v>
                </c:pt>
                <c:pt idx="3">
                  <c:v>177635.34103757347</c:v>
                </c:pt>
                <c:pt idx="4">
                  <c:v>163871.19915854075</c:v>
                </c:pt>
                <c:pt idx="5">
                  <c:v>1079073.2403587161</c:v>
                </c:pt>
                <c:pt idx="6">
                  <c:v>3783.0162962973068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390398.67047888436</c:v>
                </c:pt>
                <c:pt idx="1">
                  <c:v>347704.01962776965</c:v>
                </c:pt>
                <c:pt idx="2">
                  <c:v>2959.0455975130199</c:v>
                </c:pt>
                <c:pt idx="3">
                  <c:v>177635.34103757347</c:v>
                </c:pt>
                <c:pt idx="4">
                  <c:v>163871.19915854075</c:v>
                </c:pt>
                <c:pt idx="5">
                  <c:v>1079073.2403587161</c:v>
                </c:pt>
                <c:pt idx="6">
                  <c:v>3783.0162962973068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64953.510166739637</c:v>
                </c:pt>
                <c:pt idx="1">
                  <c:v>42992.234535961215</c:v>
                </c:pt>
                <c:pt idx="2">
                  <c:v>184.98582408440112</c:v>
                </c:pt>
                <c:pt idx="3">
                  <c:v>31193.799275342117</c:v>
                </c:pt>
                <c:pt idx="4">
                  <c:v>16398.651328536042</c:v>
                </c:pt>
                <c:pt idx="5">
                  <c:v>269214.60611438291</c:v>
                </c:pt>
                <c:pt idx="6">
                  <c:v>947.76623103743088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64953.510166739637</c:v>
                </c:pt>
                <c:pt idx="1">
                  <c:v>42992.234535961215</c:v>
                </c:pt>
                <c:pt idx="2">
                  <c:v>184.98582408440112</c:v>
                </c:pt>
                <c:pt idx="3">
                  <c:v>31193.799275342117</c:v>
                </c:pt>
                <c:pt idx="4">
                  <c:v>16398.651328536042</c:v>
                </c:pt>
                <c:pt idx="5">
                  <c:v>269214.60611438291</c:v>
                </c:pt>
                <c:pt idx="6">
                  <c:v>947.76623103743088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46003</v>
      </c>
      <c r="B6" s="382"/>
      <c r="C6" s="383"/>
    </row>
    <row r="7" spans="1:7" s="380" customFormat="1" ht="15.75" customHeight="1">
      <c r="A7" s="384" t="str">
        <f>txtMunicipality</f>
        <v>BEVEREN</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6.2515367873977878E-2</v>
      </c>
      <c r="C17" s="493">
        <f ca="1">'EF ele_warmte'!B22</f>
        <v>0.15350494877636078</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6.2515367873977878E-2</v>
      </c>
      <c r="C29" s="494">
        <f ca="1">'EF ele_warmte'!B22</f>
        <v>0.15350494877636078</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20268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6856.55</v>
      </c>
      <c r="C14" s="324"/>
      <c r="D14" s="324"/>
      <c r="E14" s="324"/>
      <c r="F14" s="324"/>
    </row>
    <row r="15" spans="1:6">
      <c r="A15" s="1264" t="s">
        <v>177</v>
      </c>
      <c r="B15" s="1265">
        <v>51</v>
      </c>
      <c r="C15" s="324"/>
      <c r="D15" s="324"/>
      <c r="E15" s="324"/>
      <c r="F15" s="324"/>
    </row>
    <row r="16" spans="1:6">
      <c r="A16" s="1264" t="s">
        <v>6</v>
      </c>
      <c r="B16" s="1265">
        <v>2066</v>
      </c>
      <c r="C16" s="324"/>
      <c r="D16" s="324"/>
      <c r="E16" s="324"/>
      <c r="F16" s="324"/>
    </row>
    <row r="17" spans="1:6">
      <c r="A17" s="1264" t="s">
        <v>7</v>
      </c>
      <c r="B17" s="1265">
        <v>2133</v>
      </c>
      <c r="C17" s="324"/>
      <c r="D17" s="324"/>
      <c r="E17" s="324"/>
      <c r="F17" s="324"/>
    </row>
    <row r="18" spans="1:6">
      <c r="A18" s="1264" t="s">
        <v>8</v>
      </c>
      <c r="B18" s="1265">
        <v>2969</v>
      </c>
      <c r="C18" s="324"/>
      <c r="D18" s="324"/>
      <c r="E18" s="324"/>
      <c r="F18" s="324"/>
    </row>
    <row r="19" spans="1:6">
      <c r="A19" s="1264" t="s">
        <v>9</v>
      </c>
      <c r="B19" s="1265">
        <v>2905</v>
      </c>
      <c r="C19" s="324"/>
      <c r="D19" s="324"/>
      <c r="E19" s="324"/>
      <c r="F19" s="324"/>
    </row>
    <row r="20" spans="1:6">
      <c r="A20" s="1264" t="s">
        <v>10</v>
      </c>
      <c r="B20" s="1265">
        <v>1744</v>
      </c>
      <c r="C20" s="324"/>
      <c r="D20" s="324"/>
      <c r="E20" s="324"/>
      <c r="F20" s="324"/>
    </row>
    <row r="21" spans="1:6">
      <c r="A21" s="1264" t="s">
        <v>11</v>
      </c>
      <c r="B21" s="1265">
        <v>19221</v>
      </c>
      <c r="C21" s="324"/>
      <c r="D21" s="324"/>
      <c r="E21" s="324"/>
      <c r="F21" s="324"/>
    </row>
    <row r="22" spans="1:6">
      <c r="A22" s="1264" t="s">
        <v>12</v>
      </c>
      <c r="B22" s="1265">
        <v>42534</v>
      </c>
      <c r="C22" s="324"/>
      <c r="D22" s="324"/>
      <c r="E22" s="324"/>
      <c r="F22" s="324"/>
    </row>
    <row r="23" spans="1:6">
      <c r="A23" s="1264" t="s">
        <v>13</v>
      </c>
      <c r="B23" s="1265">
        <v>819</v>
      </c>
      <c r="C23" s="324"/>
      <c r="D23" s="324"/>
      <c r="E23" s="324"/>
      <c r="F23" s="324"/>
    </row>
    <row r="24" spans="1:6">
      <c r="A24" s="1264" t="s">
        <v>14</v>
      </c>
      <c r="B24" s="1265">
        <v>32</v>
      </c>
      <c r="C24" s="324"/>
      <c r="D24" s="324"/>
      <c r="E24" s="324"/>
      <c r="F24" s="324"/>
    </row>
    <row r="25" spans="1:6">
      <c r="A25" s="1264" t="s">
        <v>15</v>
      </c>
      <c r="B25" s="1265">
        <v>4523</v>
      </c>
      <c r="C25" s="324"/>
      <c r="D25" s="324"/>
      <c r="E25" s="324"/>
      <c r="F25" s="324"/>
    </row>
    <row r="26" spans="1:6">
      <c r="A26" s="1264" t="s">
        <v>16</v>
      </c>
      <c r="B26" s="1265">
        <v>98</v>
      </c>
      <c r="C26" s="324"/>
      <c r="D26" s="324"/>
      <c r="E26" s="324"/>
      <c r="F26" s="324"/>
    </row>
    <row r="27" spans="1:6">
      <c r="A27" s="1264" t="s">
        <v>17</v>
      </c>
      <c r="B27" s="1265">
        <v>860</v>
      </c>
      <c r="C27" s="324"/>
      <c r="D27" s="324"/>
      <c r="E27" s="324"/>
      <c r="F27" s="324"/>
    </row>
    <row r="28" spans="1:6">
      <c r="A28" s="1264" t="s">
        <v>18</v>
      </c>
      <c r="B28" s="1266">
        <v>679471</v>
      </c>
      <c r="C28" s="324"/>
      <c r="D28" s="324"/>
      <c r="E28" s="324"/>
      <c r="F28" s="324"/>
    </row>
    <row r="29" spans="1:6">
      <c r="A29" s="1264" t="s">
        <v>657</v>
      </c>
      <c r="B29" s="1266">
        <v>450</v>
      </c>
      <c r="C29" s="324"/>
      <c r="D29" s="324"/>
      <c r="E29" s="324"/>
      <c r="F29" s="324"/>
    </row>
    <row r="30" spans="1:6">
      <c r="A30" s="1259" t="s">
        <v>658</v>
      </c>
      <c r="B30" s="1267">
        <v>111</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6</v>
      </c>
      <c r="F35" s="1265">
        <v>164270.39430728601</v>
      </c>
    </row>
    <row r="36" spans="1:6">
      <c r="A36" s="1264" t="s">
        <v>24</v>
      </c>
      <c r="B36" s="1264" t="s">
        <v>26</v>
      </c>
      <c r="C36" s="1265">
        <v>0</v>
      </c>
      <c r="D36" s="1265">
        <v>0</v>
      </c>
      <c r="E36" s="1265">
        <v>39</v>
      </c>
      <c r="F36" s="1265">
        <v>2129244.8505473798</v>
      </c>
    </row>
    <row r="37" spans="1:6">
      <c r="A37" s="1264" t="s">
        <v>24</v>
      </c>
      <c r="B37" s="1264" t="s">
        <v>27</v>
      </c>
      <c r="C37" s="1265">
        <v>0</v>
      </c>
      <c r="D37" s="1265">
        <v>0</v>
      </c>
      <c r="E37" s="1265">
        <v>0</v>
      </c>
      <c r="F37" s="1265">
        <v>0</v>
      </c>
    </row>
    <row r="38" spans="1:6">
      <c r="A38" s="1264" t="s">
        <v>24</v>
      </c>
      <c r="B38" s="1264" t="s">
        <v>28</v>
      </c>
      <c r="C38" s="1265">
        <v>2</v>
      </c>
      <c r="D38" s="1265">
        <v>20939096.6043805</v>
      </c>
      <c r="E38" s="1265">
        <v>0</v>
      </c>
      <c r="F38" s="1265">
        <v>0</v>
      </c>
    </row>
    <row r="39" spans="1:6">
      <c r="A39" s="1264" t="s">
        <v>29</v>
      </c>
      <c r="B39" s="1264" t="s">
        <v>30</v>
      </c>
      <c r="C39" s="1265">
        <v>15301</v>
      </c>
      <c r="D39" s="1265">
        <v>213080738.60060999</v>
      </c>
      <c r="E39" s="1265">
        <v>20190</v>
      </c>
      <c r="F39" s="1265">
        <v>77969265.3258982</v>
      </c>
    </row>
    <row r="40" spans="1:6">
      <c r="A40" s="1264" t="s">
        <v>29</v>
      </c>
      <c r="B40" s="1264" t="s">
        <v>28</v>
      </c>
      <c r="C40" s="1265">
        <v>0</v>
      </c>
      <c r="D40" s="1265">
        <v>0</v>
      </c>
      <c r="E40" s="1265">
        <v>0</v>
      </c>
      <c r="F40" s="1265">
        <v>0</v>
      </c>
    </row>
    <row r="41" spans="1:6">
      <c r="A41" s="1264" t="s">
        <v>31</v>
      </c>
      <c r="B41" s="1264" t="s">
        <v>32</v>
      </c>
      <c r="C41" s="1265">
        <v>208</v>
      </c>
      <c r="D41" s="1265">
        <v>4883205.9679691</v>
      </c>
      <c r="E41" s="1265">
        <v>452</v>
      </c>
      <c r="F41" s="1265">
        <v>8344901.3262339802</v>
      </c>
    </row>
    <row r="42" spans="1:6">
      <c r="A42" s="1264" t="s">
        <v>31</v>
      </c>
      <c r="B42" s="1264" t="s">
        <v>33</v>
      </c>
      <c r="C42" s="1265">
        <v>0</v>
      </c>
      <c r="D42" s="1265">
        <v>0</v>
      </c>
      <c r="E42" s="1265">
        <v>17</v>
      </c>
      <c r="F42" s="1265">
        <v>24702013.846544899</v>
      </c>
    </row>
    <row r="43" spans="1:6">
      <c r="A43" s="1264" t="s">
        <v>31</v>
      </c>
      <c r="B43" s="1264" t="s">
        <v>34</v>
      </c>
      <c r="C43" s="1265">
        <v>0</v>
      </c>
      <c r="D43" s="1265">
        <v>0</v>
      </c>
      <c r="E43" s="1265">
        <v>0</v>
      </c>
      <c r="F43" s="1265">
        <v>0</v>
      </c>
    </row>
    <row r="44" spans="1:6">
      <c r="A44" s="1264" t="s">
        <v>31</v>
      </c>
      <c r="B44" s="1264" t="s">
        <v>35</v>
      </c>
      <c r="C44" s="1265">
        <v>21</v>
      </c>
      <c r="D44" s="1265">
        <v>690778.91624260403</v>
      </c>
      <c r="E44" s="1265">
        <v>58</v>
      </c>
      <c r="F44" s="1265">
        <v>5797882.9464826398</v>
      </c>
    </row>
    <row r="45" spans="1:6">
      <c r="A45" s="1264" t="s">
        <v>31</v>
      </c>
      <c r="B45" s="1264" t="s">
        <v>36</v>
      </c>
      <c r="C45" s="1265">
        <v>4</v>
      </c>
      <c r="D45" s="1265">
        <v>25241335.997442599</v>
      </c>
      <c r="E45" s="1265">
        <v>8</v>
      </c>
      <c r="F45" s="1265">
        <v>13708245.357805001</v>
      </c>
    </row>
    <row r="46" spans="1:6">
      <c r="A46" s="1264" t="s">
        <v>31</v>
      </c>
      <c r="B46" s="1264" t="s">
        <v>37</v>
      </c>
      <c r="C46" s="1265">
        <v>0</v>
      </c>
      <c r="D46" s="1265">
        <v>0</v>
      </c>
      <c r="E46" s="1265">
        <v>0</v>
      </c>
      <c r="F46" s="1265">
        <v>0</v>
      </c>
    </row>
    <row r="47" spans="1:6">
      <c r="A47" s="1264" t="s">
        <v>31</v>
      </c>
      <c r="B47" s="1264" t="s">
        <v>38</v>
      </c>
      <c r="C47" s="1265">
        <v>9</v>
      </c>
      <c r="D47" s="1265">
        <v>749526.10538491898</v>
      </c>
      <c r="E47" s="1265">
        <v>14</v>
      </c>
      <c r="F47" s="1265">
        <v>2523371.0279971999</v>
      </c>
    </row>
    <row r="48" spans="1:6">
      <c r="A48" s="1264" t="s">
        <v>31</v>
      </c>
      <c r="B48" s="1264" t="s">
        <v>28</v>
      </c>
      <c r="C48" s="1265">
        <v>0</v>
      </c>
      <c r="D48" s="1265">
        <v>0</v>
      </c>
      <c r="E48" s="1265">
        <v>2</v>
      </c>
      <c r="F48" s="1265">
        <v>613532.50141371996</v>
      </c>
    </row>
    <row r="49" spans="1:6">
      <c r="A49" s="1264" t="s">
        <v>31</v>
      </c>
      <c r="B49" s="1264" t="s">
        <v>39</v>
      </c>
      <c r="C49" s="1265">
        <v>5</v>
      </c>
      <c r="D49" s="1265">
        <v>127789.528600099</v>
      </c>
      <c r="E49" s="1265">
        <v>9</v>
      </c>
      <c r="F49" s="1265">
        <v>44827.603833171401</v>
      </c>
    </row>
    <row r="50" spans="1:6">
      <c r="A50" s="1264" t="s">
        <v>31</v>
      </c>
      <c r="B50" s="1264" t="s">
        <v>40</v>
      </c>
      <c r="C50" s="1265">
        <v>26</v>
      </c>
      <c r="D50" s="1265">
        <v>34290468.923199303</v>
      </c>
      <c r="E50" s="1265">
        <v>37</v>
      </c>
      <c r="F50" s="1265">
        <v>27186419.522652801</v>
      </c>
    </row>
    <row r="51" spans="1:6">
      <c r="A51" s="1264" t="s">
        <v>41</v>
      </c>
      <c r="B51" s="1264" t="s">
        <v>42</v>
      </c>
      <c r="C51" s="1265">
        <v>71</v>
      </c>
      <c r="D51" s="1265">
        <v>147889613.282671</v>
      </c>
      <c r="E51" s="1265">
        <v>352</v>
      </c>
      <c r="F51" s="1265">
        <v>12174508.447648</v>
      </c>
    </row>
    <row r="52" spans="1:6">
      <c r="A52" s="1264" t="s">
        <v>41</v>
      </c>
      <c r="B52" s="1264" t="s">
        <v>28</v>
      </c>
      <c r="C52" s="1265">
        <v>0</v>
      </c>
      <c r="D52" s="1265">
        <v>0</v>
      </c>
      <c r="E52" s="1265">
        <v>0</v>
      </c>
      <c r="F52" s="1265">
        <v>0</v>
      </c>
    </row>
    <row r="53" spans="1:6">
      <c r="A53" s="1264" t="s">
        <v>43</v>
      </c>
      <c r="B53" s="1264" t="s">
        <v>44</v>
      </c>
      <c r="C53" s="1265">
        <v>314</v>
      </c>
      <c r="D53" s="1265">
        <v>5931242.0615935801</v>
      </c>
      <c r="E53" s="1265">
        <v>866</v>
      </c>
      <c r="F53" s="1265">
        <v>9332974.1697937306</v>
      </c>
    </row>
    <row r="54" spans="1:6">
      <c r="A54" s="1264" t="s">
        <v>45</v>
      </c>
      <c r="B54" s="1264" t="s">
        <v>46</v>
      </c>
      <c r="C54" s="1265">
        <v>0</v>
      </c>
      <c r="D54" s="1265">
        <v>0</v>
      </c>
      <c r="E54" s="1265">
        <v>8</v>
      </c>
      <c r="F54" s="1265">
        <v>2959045.59751302</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164</v>
      </c>
      <c r="D57" s="1265">
        <v>12178799.5228782</v>
      </c>
      <c r="E57" s="1265">
        <v>253</v>
      </c>
      <c r="F57" s="1265">
        <v>14787643.530463099</v>
      </c>
    </row>
    <row r="58" spans="1:6">
      <c r="A58" s="1264" t="s">
        <v>48</v>
      </c>
      <c r="B58" s="1264" t="s">
        <v>50</v>
      </c>
      <c r="C58" s="1265">
        <v>86</v>
      </c>
      <c r="D58" s="1265">
        <v>5415065.3081992297</v>
      </c>
      <c r="E58" s="1265">
        <v>113</v>
      </c>
      <c r="F58" s="1265">
        <v>3478246.4096179102</v>
      </c>
    </row>
    <row r="59" spans="1:6">
      <c r="A59" s="1264" t="s">
        <v>48</v>
      </c>
      <c r="B59" s="1264" t="s">
        <v>51</v>
      </c>
      <c r="C59" s="1265">
        <v>335</v>
      </c>
      <c r="D59" s="1265">
        <v>26343973.884594399</v>
      </c>
      <c r="E59" s="1265">
        <v>632</v>
      </c>
      <c r="F59" s="1265">
        <v>20979877.374749701</v>
      </c>
    </row>
    <row r="60" spans="1:6">
      <c r="A60" s="1264" t="s">
        <v>48</v>
      </c>
      <c r="B60" s="1264" t="s">
        <v>52</v>
      </c>
      <c r="C60" s="1265">
        <v>150</v>
      </c>
      <c r="D60" s="1265">
        <v>14317701.2884627</v>
      </c>
      <c r="E60" s="1265">
        <v>190</v>
      </c>
      <c r="F60" s="1265">
        <v>4547358.2147698402</v>
      </c>
    </row>
    <row r="61" spans="1:6">
      <c r="A61" s="1264" t="s">
        <v>48</v>
      </c>
      <c r="B61" s="1264" t="s">
        <v>53</v>
      </c>
      <c r="C61" s="1265">
        <v>540</v>
      </c>
      <c r="D61" s="1265">
        <v>70377800.142692104</v>
      </c>
      <c r="E61" s="1265">
        <v>964</v>
      </c>
      <c r="F61" s="1265">
        <v>125952327.907511</v>
      </c>
    </row>
    <row r="62" spans="1:6">
      <c r="A62" s="1264" t="s">
        <v>48</v>
      </c>
      <c r="B62" s="1264" t="s">
        <v>54</v>
      </c>
      <c r="C62" s="1265">
        <v>33</v>
      </c>
      <c r="D62" s="1265">
        <v>3495399.4089146801</v>
      </c>
      <c r="E62" s="1265">
        <v>40</v>
      </c>
      <c r="F62" s="1265">
        <v>1172857.26966103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38754.532796662199</v>
      </c>
      <c r="E65" s="1265">
        <v>0</v>
      </c>
      <c r="F65" s="1265">
        <v>0</v>
      </c>
    </row>
    <row r="66" spans="1:6">
      <c r="A66" s="1264" t="s">
        <v>55</v>
      </c>
      <c r="B66" s="1264" t="s">
        <v>57</v>
      </c>
      <c r="C66" s="1265">
        <v>0</v>
      </c>
      <c r="D66" s="1265">
        <v>0</v>
      </c>
      <c r="E66" s="1265">
        <v>37</v>
      </c>
      <c r="F66" s="1265">
        <v>3526302.9124097298</v>
      </c>
    </row>
    <row r="67" spans="1:6">
      <c r="A67" s="1264" t="s">
        <v>55</v>
      </c>
      <c r="B67" s="1264" t="s">
        <v>58</v>
      </c>
      <c r="C67" s="1265">
        <v>0</v>
      </c>
      <c r="D67" s="1265">
        <v>0</v>
      </c>
      <c r="E67" s="1265">
        <v>0</v>
      </c>
      <c r="F67" s="1265">
        <v>0</v>
      </c>
    </row>
    <row r="68" spans="1:6">
      <c r="A68" s="1259" t="s">
        <v>55</v>
      </c>
      <c r="B68" s="1259" t="s">
        <v>59</v>
      </c>
      <c r="C68" s="1267">
        <v>16</v>
      </c>
      <c r="D68" s="1267">
        <v>1478756.53275115</v>
      </c>
      <c r="E68" s="1267">
        <v>53</v>
      </c>
      <c r="F68" s="1267">
        <v>1289328.6700816499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284068194</v>
      </c>
      <c r="E73" s="443"/>
      <c r="F73" s="324"/>
    </row>
    <row r="74" spans="1:6">
      <c r="A74" s="1264" t="s">
        <v>63</v>
      </c>
      <c r="B74" s="1264" t="s">
        <v>608</v>
      </c>
      <c r="C74" s="1277" t="s">
        <v>610</v>
      </c>
      <c r="D74" s="1265">
        <v>53955186.547191799</v>
      </c>
      <c r="E74" s="443"/>
      <c r="F74" s="324"/>
    </row>
    <row r="75" spans="1:6">
      <c r="A75" s="1264" t="s">
        <v>64</v>
      </c>
      <c r="B75" s="1264" t="s">
        <v>607</v>
      </c>
      <c r="C75" s="1277" t="s">
        <v>611</v>
      </c>
      <c r="D75" s="1265">
        <v>180978590</v>
      </c>
      <c r="E75" s="443"/>
      <c r="F75" s="324"/>
    </row>
    <row r="76" spans="1:6">
      <c r="A76" s="1264" t="s">
        <v>64</v>
      </c>
      <c r="B76" s="1264" t="s">
        <v>608</v>
      </c>
      <c r="C76" s="1277" t="s">
        <v>612</v>
      </c>
      <c r="D76" s="1265">
        <v>35320696.547191799</v>
      </c>
      <c r="E76" s="443"/>
      <c r="F76" s="324"/>
    </row>
    <row r="77" spans="1:6">
      <c r="A77" s="1264" t="s">
        <v>65</v>
      </c>
      <c r="B77" s="1264" t="s">
        <v>607</v>
      </c>
      <c r="C77" s="1277" t="s">
        <v>613</v>
      </c>
      <c r="D77" s="1265">
        <v>319619802</v>
      </c>
      <c r="E77" s="443"/>
      <c r="F77" s="324"/>
    </row>
    <row r="78" spans="1:6">
      <c r="A78" s="1259" t="s">
        <v>65</v>
      </c>
      <c r="B78" s="1259" t="s">
        <v>608</v>
      </c>
      <c r="C78" s="1259" t="s">
        <v>614</v>
      </c>
      <c r="D78" s="1267">
        <v>91505526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1047716.9056163999</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211405.98069829514</v>
      </c>
      <c r="C90" s="324"/>
      <c r="D90" s="324"/>
      <c r="E90" s="324"/>
      <c r="F90" s="324"/>
    </row>
    <row r="91" spans="1:6">
      <c r="A91" s="1264" t="s">
        <v>67</v>
      </c>
      <c r="B91" s="1265">
        <v>15574.741753931645</v>
      </c>
      <c r="C91" s="324"/>
      <c r="D91" s="324"/>
      <c r="E91" s="324"/>
      <c r="F91" s="324"/>
    </row>
    <row r="92" spans="1:6">
      <c r="A92" s="1259" t="s">
        <v>68</v>
      </c>
      <c r="B92" s="1260">
        <v>35683.381803188029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9871</v>
      </c>
      <c r="C97" s="324"/>
      <c r="D97" s="324"/>
      <c r="E97" s="324"/>
      <c r="F97" s="324"/>
    </row>
    <row r="98" spans="1:6">
      <c r="A98" s="1264" t="s">
        <v>71</v>
      </c>
      <c r="B98" s="1265">
        <v>3</v>
      </c>
      <c r="C98" s="324"/>
      <c r="D98" s="324"/>
      <c r="E98" s="324"/>
      <c r="F98" s="324"/>
    </row>
    <row r="99" spans="1:6">
      <c r="A99" s="1264" t="s">
        <v>72</v>
      </c>
      <c r="B99" s="1265">
        <v>133</v>
      </c>
      <c r="C99" s="324"/>
      <c r="D99" s="324"/>
      <c r="E99" s="324"/>
      <c r="F99" s="324"/>
    </row>
    <row r="100" spans="1:6">
      <c r="A100" s="1264" t="s">
        <v>73</v>
      </c>
      <c r="B100" s="1265">
        <v>2776</v>
      </c>
      <c r="C100" s="324"/>
      <c r="D100" s="324"/>
      <c r="E100" s="324"/>
      <c r="F100" s="324"/>
    </row>
    <row r="101" spans="1:6">
      <c r="A101" s="1264" t="s">
        <v>74</v>
      </c>
      <c r="B101" s="1265">
        <v>316</v>
      </c>
      <c r="C101" s="324"/>
      <c r="D101" s="324"/>
      <c r="E101" s="324"/>
      <c r="F101" s="324"/>
    </row>
    <row r="102" spans="1:6">
      <c r="A102" s="1264" t="s">
        <v>75</v>
      </c>
      <c r="B102" s="1265">
        <v>369</v>
      </c>
      <c r="C102" s="324"/>
      <c r="D102" s="324"/>
      <c r="E102" s="324"/>
      <c r="F102" s="324"/>
    </row>
    <row r="103" spans="1:6">
      <c r="A103" s="1264" t="s">
        <v>76</v>
      </c>
      <c r="B103" s="1265">
        <v>626</v>
      </c>
      <c r="C103" s="324"/>
      <c r="D103" s="324"/>
      <c r="E103" s="324"/>
      <c r="F103" s="324"/>
    </row>
    <row r="104" spans="1:6">
      <c r="A104" s="1264" t="s">
        <v>77</v>
      </c>
      <c r="B104" s="1265">
        <v>3115</v>
      </c>
      <c r="C104" s="324"/>
      <c r="D104" s="324"/>
      <c r="E104" s="324"/>
      <c r="F104" s="324"/>
    </row>
    <row r="105" spans="1:6">
      <c r="A105" s="1259" t="s">
        <v>78</v>
      </c>
      <c r="B105" s="1267">
        <v>19</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11</v>
      </c>
      <c r="C121" s="1265">
        <v>0</v>
      </c>
      <c r="D121" s="324"/>
      <c r="E121" s="324"/>
      <c r="F121" s="324"/>
    </row>
    <row r="122" spans="1:6">
      <c r="A122" s="1264" t="s">
        <v>86</v>
      </c>
      <c r="B122" s="1265">
        <v>3</v>
      </c>
      <c r="C122" s="1265">
        <v>0</v>
      </c>
      <c r="D122" s="324"/>
      <c r="E122" s="324"/>
      <c r="F122" s="324"/>
    </row>
    <row r="123" spans="1:6">
      <c r="A123" s="1264" t="s">
        <v>87</v>
      </c>
      <c r="B123" s="1265">
        <v>84</v>
      </c>
      <c r="C123" s="1265">
        <v>223</v>
      </c>
      <c r="D123" s="324"/>
      <c r="E123" s="324"/>
      <c r="F123" s="324"/>
    </row>
    <row r="124" spans="1:6">
      <c r="A124" s="1264" t="s">
        <v>88</v>
      </c>
      <c r="B124" s="1265">
        <v>2</v>
      </c>
      <c r="C124" s="1265">
        <v>3</v>
      </c>
      <c r="D124" s="324"/>
      <c r="E124" s="324"/>
      <c r="F124" s="324"/>
    </row>
    <row r="125" spans="1:6">
      <c r="A125" s="1259" t="s">
        <v>793</v>
      </c>
      <c r="B125" s="1265">
        <v>1</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645</v>
      </c>
      <c r="C129" s="324"/>
      <c r="D129" s="324"/>
      <c r="E129" s="324"/>
      <c r="F129" s="324"/>
    </row>
    <row r="130" spans="1:6">
      <c r="A130" s="1264" t="s">
        <v>284</v>
      </c>
      <c r="B130" s="1265">
        <v>9</v>
      </c>
      <c r="C130" s="324"/>
      <c r="D130" s="324"/>
      <c r="E130" s="324"/>
      <c r="F130" s="324"/>
    </row>
    <row r="131" spans="1:6">
      <c r="A131" s="1264" t="s">
        <v>285</v>
      </c>
      <c r="B131" s="1265">
        <v>3</v>
      </c>
      <c r="C131" s="324"/>
      <c r="D131" s="324"/>
      <c r="E131" s="324"/>
      <c r="F131" s="324"/>
    </row>
    <row r="132" spans="1:6">
      <c r="A132" s="1259" t="s">
        <v>286</v>
      </c>
      <c r="B132" s="1260">
        <v>61</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425189.72926501615</v>
      </c>
      <c r="C3" s="43" t="s">
        <v>163</v>
      </c>
      <c r="D3" s="43"/>
      <c r="E3" s="153"/>
      <c r="F3" s="43"/>
      <c r="G3" s="43"/>
      <c r="H3" s="43"/>
      <c r="I3" s="43"/>
      <c r="J3" s="43"/>
      <c r="K3" s="96"/>
    </row>
    <row r="4" spans="1:11">
      <c r="A4" s="350" t="s">
        <v>164</v>
      </c>
      <c r="B4" s="49">
        <f>IF(ISERROR('SEAP template'!B78+'SEAP template'!C78),0,'SEAP template'!B78+'SEAP template'!C78)</f>
        <v>401004.18425541482</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21235.886894117652</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6.2515367873977878E-2</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30336.981277310933</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197628.6857142857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0.15350494877636078</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2959.0455975130199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2959.0455975130199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6.2515367873977878E-2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184.98582408440112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77969.265325898203</v>
      </c>
      <c r="C5" s="17">
        <f>IF(ISERROR('Eigen informatie GS &amp; warmtenet'!B59),0,'Eigen informatie GS &amp; warmtenet'!B59)</f>
        <v>0</v>
      </c>
      <c r="D5" s="30">
        <f>(SUM(HH_hh_gas_kWh,HH_rest_gas_kWh)/1000)*0.903</f>
        <v>192411.90695635084</v>
      </c>
      <c r="E5" s="17">
        <f>B32*B41</f>
        <v>4366.8640723181406</v>
      </c>
      <c r="F5" s="17">
        <f>B36*B45</f>
        <v>71562.779410775824</v>
      </c>
      <c r="G5" s="18"/>
      <c r="H5" s="17"/>
      <c r="I5" s="17"/>
      <c r="J5" s="17">
        <f>B35*B44+C35*C44</f>
        <v>394.99067644589655</v>
      </c>
      <c r="K5" s="17"/>
      <c r="L5" s="17"/>
      <c r="M5" s="17"/>
      <c r="N5" s="17">
        <f>B34*B43+C34*C43</f>
        <v>24841.602655848041</v>
      </c>
      <c r="O5" s="17">
        <f>B52*B53*B54</f>
        <v>1728.0276090861048</v>
      </c>
      <c r="P5" s="17">
        <f>B60*B61*B62/1000-B60*B61*B62/1000/B63</f>
        <v>1548.4920182296985</v>
      </c>
    </row>
    <row r="6" spans="1:16">
      <c r="A6" s="16" t="s">
        <v>573</v>
      </c>
      <c r="B6" s="739">
        <f>kWh_PV_kleiner_dan_10kW</f>
        <v>15574.741753931645</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93544.00707982984</v>
      </c>
      <c r="C8" s="21">
        <f>C5</f>
        <v>0</v>
      </c>
      <c r="D8" s="21">
        <f>D5</f>
        <v>192411.90695635084</v>
      </c>
      <c r="E8" s="21">
        <f>E5</f>
        <v>4366.8640723181406</v>
      </c>
      <c r="F8" s="21">
        <f>F5</f>
        <v>71562.779410775824</v>
      </c>
      <c r="G8" s="21"/>
      <c r="H8" s="21"/>
      <c r="I8" s="21"/>
      <c r="J8" s="21">
        <f>J5</f>
        <v>394.99067644589655</v>
      </c>
      <c r="K8" s="21"/>
      <c r="L8" s="21">
        <f>L5</f>
        <v>0</v>
      </c>
      <c r="M8" s="21">
        <f>M5</f>
        <v>0</v>
      </c>
      <c r="N8" s="21">
        <f>N5</f>
        <v>24841.602655848041</v>
      </c>
      <c r="O8" s="21">
        <f>O5</f>
        <v>1728.0276090861048</v>
      </c>
      <c r="P8" s="21">
        <f>P5</f>
        <v>1548.4920182296985</v>
      </c>
    </row>
    <row r="9" spans="1:16">
      <c r="B9" s="19"/>
      <c r="C9" s="19"/>
      <c r="D9" s="253"/>
      <c r="E9" s="19"/>
      <c r="F9" s="19"/>
      <c r="G9" s="19"/>
      <c r="H9" s="19"/>
      <c r="I9" s="19"/>
      <c r="J9" s="19"/>
      <c r="K9" s="19"/>
      <c r="L9" s="19"/>
      <c r="M9" s="19"/>
      <c r="N9" s="19"/>
      <c r="O9" s="19"/>
      <c r="P9" s="19"/>
    </row>
    <row r="10" spans="1:16">
      <c r="A10" s="24" t="s">
        <v>207</v>
      </c>
      <c r="B10" s="25">
        <f ca="1">'EF ele_warmte'!B12</f>
        <v>6.2515367873977878E-2</v>
      </c>
      <c r="C10" s="25">
        <f ca="1">'EF ele_warmte'!B22</f>
        <v>0.15350494877636078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5847.938015001554</v>
      </c>
      <c r="C12" s="23">
        <f ca="1">C10*C8</f>
        <v>0</v>
      </c>
      <c r="D12" s="23">
        <f>D8*D10</f>
        <v>38867.205205182872</v>
      </c>
      <c r="E12" s="23">
        <f>E10*E8</f>
        <v>991.27814441621797</v>
      </c>
      <c r="F12" s="23">
        <f>F10*F8</f>
        <v>19107.262102677145</v>
      </c>
      <c r="G12" s="23"/>
      <c r="H12" s="23"/>
      <c r="I12" s="23"/>
      <c r="J12" s="23">
        <f>J10*J8</f>
        <v>139.82669946184737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20268</v>
      </c>
      <c r="C26" s="36"/>
      <c r="D26" s="224"/>
    </row>
    <row r="27" spans="1:5" s="15" customFormat="1">
      <c r="A27" s="226" t="s">
        <v>784</v>
      </c>
      <c r="B27" s="37">
        <f>SUM(HH_hh_gas_aantal,HH_rest_gas_aantal)</f>
        <v>15301</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14535.95</v>
      </c>
      <c r="C31" s="34" t="s">
        <v>104</v>
      </c>
      <c r="D31" s="170"/>
    </row>
    <row r="32" spans="1:5">
      <c r="A32" s="167" t="s">
        <v>72</v>
      </c>
      <c r="B32" s="33">
        <f>IF((B21*($B$26-($B$27-0.05*$B$27)-$B$60))&lt;0,0,B21*($B$26-($B$27-0.05*$B$27)-$B$60))</f>
        <v>86.149185055276561</v>
      </c>
      <c r="C32" s="34" t="s">
        <v>104</v>
      </c>
      <c r="D32" s="170"/>
    </row>
    <row r="33" spans="1:6">
      <c r="A33" s="167" t="s">
        <v>73</v>
      </c>
      <c r="B33" s="33">
        <f>IF((B22*($B$26-($B$27-0.05*$B$27)-$B$60))&lt;0,0,B22*($B$26-($B$27-0.05*$B$27)-$B$60))</f>
        <v>1398.8921449639799</v>
      </c>
      <c r="C33" s="34" t="s">
        <v>104</v>
      </c>
      <c r="D33" s="170"/>
    </row>
    <row r="34" spans="1:6">
      <c r="A34" s="167" t="s">
        <v>74</v>
      </c>
      <c r="B34" s="33">
        <f>IF((B24*($B$26-($B$27-0.05*$B$27)-$B$60))&lt;0,0,B24*($B$26-($B$27-0.05*$B$27)-$B$60))</f>
        <v>611.6785602388901</v>
      </c>
      <c r="C34" s="33">
        <f>B26*C24</f>
        <v>3405.02261797754</v>
      </c>
      <c r="D34" s="229"/>
    </row>
    <row r="35" spans="1:6">
      <c r="A35" s="167" t="s">
        <v>76</v>
      </c>
      <c r="B35" s="33">
        <f>IF((B19*($B$26-($B$27-0.05*$B$27)-$B$60))&lt;0,0,B19*($B$26-($B$27-0.05*$B$27)-$B$60))</f>
        <v>37.448845358249876</v>
      </c>
      <c r="C35" s="33">
        <f>B35/2</f>
        <v>18.724422679124938</v>
      </c>
      <c r="D35" s="229"/>
    </row>
    <row r="36" spans="1:6">
      <c r="A36" s="167" t="s">
        <v>77</v>
      </c>
      <c r="B36" s="33">
        <f>IF((B18*($B$26-($B$27-0.05*$B$27)-$B$60))&lt;0,0,B18*($B$26-($B$27-0.05*$B$27)-$B$60))</f>
        <v>3450.8812643836013</v>
      </c>
      <c r="C36" s="34" t="s">
        <v>104</v>
      </c>
      <c r="D36" s="170"/>
    </row>
    <row r="37" spans="1:6">
      <c r="A37" s="167" t="s">
        <v>78</v>
      </c>
      <c r="B37" s="33">
        <f>B60</f>
        <v>147</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871</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147</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170918.31070677258</v>
      </c>
      <c r="C5" s="17">
        <f>IF(ISERROR('Eigen informatie GS &amp; warmtenet'!B60),0,'Eigen informatie GS &amp; warmtenet'!B60)</f>
        <v>0</v>
      </c>
      <c r="D5" s="30">
        <f>SUM(D6:D12)</f>
        <v>119312.25181883441</v>
      </c>
      <c r="E5" s="17">
        <f>SUM(E6:E12)</f>
        <v>317.02147050555391</v>
      </c>
      <c r="F5" s="17">
        <f>SUM(F6:F12)</f>
        <v>28298.408326568904</v>
      </c>
      <c r="G5" s="18"/>
      <c r="H5" s="17"/>
      <c r="I5" s="17"/>
      <c r="J5" s="17">
        <f>SUM(J6:J12)</f>
        <v>0.14604010731491218</v>
      </c>
      <c r="K5" s="17"/>
      <c r="L5" s="17"/>
      <c r="M5" s="17"/>
      <c r="N5" s="17">
        <f>SUM(N6:N12)</f>
        <v>5105.5908387855307</v>
      </c>
      <c r="O5" s="17">
        <f>B38*B39*B40</f>
        <v>44.075346892570387</v>
      </c>
      <c r="P5" s="17">
        <f>B46*B47*B48/1000-B46*B47*B48/1000/B49</f>
        <v>945.70448951691037</v>
      </c>
      <c r="R5" s="32"/>
    </row>
    <row r="6" spans="1:18">
      <c r="A6" s="32" t="s">
        <v>53</v>
      </c>
      <c r="B6" s="37">
        <f>B26</f>
        <v>125952.32790751099</v>
      </c>
      <c r="C6" s="33"/>
      <c r="D6" s="37">
        <f>IF(ISERROR(TER_kantoor_gas_kWh/1000),0,TER_kantoor_gas_kWh/1000)*0.903</f>
        <v>63551.153528850977</v>
      </c>
      <c r="E6" s="33">
        <f>$C$26*'E Balans VL '!I12/100/3.6*1000000</f>
        <v>30.632497580337667</v>
      </c>
      <c r="F6" s="33">
        <f>$C$26*('E Balans VL '!L12+'E Balans VL '!N12)/100/3.6*1000000</f>
        <v>12060.732944590161</v>
      </c>
      <c r="G6" s="34"/>
      <c r="H6" s="33"/>
      <c r="I6" s="33"/>
      <c r="J6" s="33">
        <f>$C$26*('E Balans VL '!D12+'E Balans VL '!E12)/100/3.6*1000000</f>
        <v>0</v>
      </c>
      <c r="K6" s="33"/>
      <c r="L6" s="33"/>
      <c r="M6" s="33"/>
      <c r="N6" s="33">
        <f>$C$26*'E Balans VL '!Y12/100/3.6*1000000</f>
        <v>63.942723995816131</v>
      </c>
      <c r="O6" s="33"/>
      <c r="P6" s="33"/>
      <c r="R6" s="32"/>
    </row>
    <row r="7" spans="1:18">
      <c r="A7" s="32" t="s">
        <v>52</v>
      </c>
      <c r="B7" s="37">
        <f t="shared" ref="B7:B12" si="0">B27</f>
        <v>4547.3582147698398</v>
      </c>
      <c r="C7" s="33"/>
      <c r="D7" s="37">
        <f>IF(ISERROR(TER_horeca_gas_kWh/1000),0,TER_horeca_gas_kWh/1000)*0.903</f>
        <v>12928.884263481819</v>
      </c>
      <c r="E7" s="33">
        <f>$C$27*'E Balans VL '!I9/100/3.6*1000000</f>
        <v>0</v>
      </c>
      <c r="F7" s="33">
        <f>$C$27*('E Balans VL '!L9+'E Balans VL '!N9)/100/3.6*1000000</f>
        <v>372.97017834443216</v>
      </c>
      <c r="G7" s="34"/>
      <c r="H7" s="33"/>
      <c r="I7" s="33"/>
      <c r="J7" s="33">
        <f>$C$27*('E Balans VL '!D9+'E Balans VL '!E9)/100/3.6*1000000</f>
        <v>0</v>
      </c>
      <c r="K7" s="33"/>
      <c r="L7" s="33"/>
      <c r="M7" s="33"/>
      <c r="N7" s="33">
        <f>$C$27*'E Balans VL '!Y9/100/3.6*1000000</f>
        <v>29.866147712233886</v>
      </c>
      <c r="O7" s="33"/>
      <c r="P7" s="33"/>
      <c r="R7" s="32"/>
    </row>
    <row r="8" spans="1:18">
      <c r="A8" s="6" t="s">
        <v>51</v>
      </c>
      <c r="B8" s="37">
        <f t="shared" si="0"/>
        <v>20979.8773747497</v>
      </c>
      <c r="C8" s="33"/>
      <c r="D8" s="37">
        <f>IF(ISERROR(TER_handel_gas_kWh/1000),0,TER_handel_gas_kWh/1000)*0.903</f>
        <v>23788.608417788746</v>
      </c>
      <c r="E8" s="33">
        <f>$C$28*'E Balans VL '!I13/100/3.6*1000000</f>
        <v>74.164953388282669</v>
      </c>
      <c r="F8" s="33">
        <f>$C$28*('E Balans VL '!L13+'E Balans VL '!N13)/100/3.6*1000000</f>
        <v>1931.7979142291038</v>
      </c>
      <c r="G8" s="34"/>
      <c r="H8" s="33"/>
      <c r="I8" s="33"/>
      <c r="J8" s="33">
        <f>$C$28*('E Balans VL '!D13+'E Balans VL '!E13)/100/3.6*1000000</f>
        <v>0</v>
      </c>
      <c r="K8" s="33"/>
      <c r="L8" s="33"/>
      <c r="M8" s="33"/>
      <c r="N8" s="33">
        <f>$C$28*'E Balans VL '!Y13/100/3.6*1000000</f>
        <v>7.5980083676107695</v>
      </c>
      <c r="O8" s="33"/>
      <c r="P8" s="33"/>
      <c r="R8" s="32"/>
    </row>
    <row r="9" spans="1:18">
      <c r="A9" s="32" t="s">
        <v>50</v>
      </c>
      <c r="B9" s="37">
        <f t="shared" si="0"/>
        <v>3478.2464096179101</v>
      </c>
      <c r="C9" s="33"/>
      <c r="D9" s="37">
        <f>IF(ISERROR(TER_gezond_gas_kWh/1000),0,TER_gezond_gas_kWh/1000)*0.903</f>
        <v>4889.8039733039041</v>
      </c>
      <c r="E9" s="33">
        <f>$C$29*'E Balans VL '!I10/100/3.6*1000000</f>
        <v>0</v>
      </c>
      <c r="F9" s="33">
        <f>$C$29*('E Balans VL '!L10+'E Balans VL '!N10)/100/3.6*1000000</f>
        <v>427.28837099204799</v>
      </c>
      <c r="G9" s="34"/>
      <c r="H9" s="33"/>
      <c r="I9" s="33"/>
      <c r="J9" s="33">
        <f>$C$29*('E Balans VL '!D10+'E Balans VL '!E10)/100/3.6*1000000</f>
        <v>0</v>
      </c>
      <c r="K9" s="33"/>
      <c r="L9" s="33"/>
      <c r="M9" s="33"/>
      <c r="N9" s="33">
        <f>$C$29*'E Balans VL '!Y10/100/3.6*1000000</f>
        <v>25.649643438103087</v>
      </c>
      <c r="O9" s="33"/>
      <c r="P9" s="33"/>
      <c r="R9" s="32"/>
    </row>
    <row r="10" spans="1:18">
      <c r="A10" s="32" t="s">
        <v>49</v>
      </c>
      <c r="B10" s="37">
        <f t="shared" si="0"/>
        <v>14787.6435304631</v>
      </c>
      <c r="C10" s="33"/>
      <c r="D10" s="37">
        <f>IF(ISERROR(TER_ander_gas_kWh/1000),0,TER_ander_gas_kWh/1000)*0.903</f>
        <v>10997.455969159015</v>
      </c>
      <c r="E10" s="33">
        <f>$C$30*'E Balans VL '!I14/100/3.6*1000000</f>
        <v>212.22401953693355</v>
      </c>
      <c r="F10" s="33">
        <f>$C$30*('E Balans VL '!L14+'E Balans VL '!N14)/100/3.6*1000000</f>
        <v>13368.497936721276</v>
      </c>
      <c r="G10" s="34"/>
      <c r="H10" s="33"/>
      <c r="I10" s="33"/>
      <c r="J10" s="33">
        <f>$C$30*('E Balans VL '!D14+'E Balans VL '!E14)/100/3.6*1000000</f>
        <v>0.14604010731491218</v>
      </c>
      <c r="K10" s="33"/>
      <c r="L10" s="33"/>
      <c r="M10" s="33"/>
      <c r="N10" s="33">
        <f>$C$30*'E Balans VL '!Y14/100/3.6*1000000</f>
        <v>4975.2316838810293</v>
      </c>
      <c r="O10" s="33"/>
      <c r="P10" s="33"/>
      <c r="R10" s="32"/>
    </row>
    <row r="11" spans="1:18">
      <c r="A11" s="32" t="s">
        <v>54</v>
      </c>
      <c r="B11" s="37">
        <f t="shared" si="0"/>
        <v>1172.8572696610299</v>
      </c>
      <c r="C11" s="33"/>
      <c r="D11" s="37">
        <f>IF(ISERROR(TER_onderwijs_gas_kWh/1000),0,TER_onderwijs_gas_kWh/1000)*0.903</f>
        <v>3156.3456662499561</v>
      </c>
      <c r="E11" s="33">
        <f>$C$31*'E Balans VL '!I11/100/3.6*1000000</f>
        <v>0</v>
      </c>
      <c r="F11" s="33">
        <f>$C$31*('E Balans VL '!L11+'E Balans VL '!N11)/100/3.6*1000000</f>
        <v>137.12098169188334</v>
      </c>
      <c r="G11" s="34"/>
      <c r="H11" s="33"/>
      <c r="I11" s="33"/>
      <c r="J11" s="33">
        <f>$C$31*('E Balans VL '!D11+'E Balans VL '!E11)/100/3.6*1000000</f>
        <v>0</v>
      </c>
      <c r="K11" s="33"/>
      <c r="L11" s="33"/>
      <c r="M11" s="33"/>
      <c r="N11" s="33">
        <f>$C$31*'E Balans VL '!Y11/100/3.6*1000000</f>
        <v>3.3026313907374774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energieproductie'!N54+'lokale energieproductie'!N47</f>
        <v>24194.43</v>
      </c>
      <c r="C13" s="242">
        <f ca="1">'lokale energieproductie'!O54+'lokale energieproductie'!O47</f>
        <v>34563.471428571429</v>
      </c>
      <c r="D13" s="302">
        <f ca="1">('lokale energieproductie'!P47+'lokale energieproductie'!P54)*(-1)</f>
        <v>-30889.800000000007</v>
      </c>
      <c r="E13" s="243"/>
      <c r="F13" s="302">
        <f ca="1">('lokale energieproductie'!S47+'lokale energieproductie'!S54)*(-1)</f>
        <v>0</v>
      </c>
      <c r="G13" s="244"/>
      <c r="H13" s="243"/>
      <c r="I13" s="243"/>
      <c r="J13" s="243"/>
      <c r="K13" s="243"/>
      <c r="L13" s="302">
        <f ca="1">('lokale energieproductie'!U47+'lokale energieproductie'!T47+'lokale energieproductie'!U54+'lokale energieproductie'!T54)*(-1)</f>
        <v>0</v>
      </c>
      <c r="M13" s="243"/>
      <c r="N13" s="302">
        <f ca="1">('lokale energieproductie'!Q47+'lokale energieproductie'!R47+'lokale energieproductie'!V47+'lokale energieproductie'!Q54+'lokale energieproductie'!R54+'lokale energieproductie'!V54)*(-1)</f>
        <v>-38237.142857142862</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195112.74070677257</v>
      </c>
      <c r="C16" s="21">
        <f t="shared" ca="1" si="1"/>
        <v>34563.471428571429</v>
      </c>
      <c r="D16" s="21">
        <f t="shared" ca="1" si="1"/>
        <v>88422.451818834408</v>
      </c>
      <c r="E16" s="21">
        <f t="shared" si="1"/>
        <v>317.02147050555391</v>
      </c>
      <c r="F16" s="21">
        <f t="shared" ca="1" si="1"/>
        <v>28298.408326568904</v>
      </c>
      <c r="G16" s="21">
        <f t="shared" si="1"/>
        <v>0</v>
      </c>
      <c r="H16" s="21">
        <f t="shared" si="1"/>
        <v>0</v>
      </c>
      <c r="I16" s="21">
        <f t="shared" si="1"/>
        <v>0</v>
      </c>
      <c r="J16" s="21">
        <f t="shared" si="1"/>
        <v>0.14604010731491218</v>
      </c>
      <c r="K16" s="21">
        <f t="shared" si="1"/>
        <v>0</v>
      </c>
      <c r="L16" s="21">
        <f t="shared" ca="1" si="1"/>
        <v>0</v>
      </c>
      <c r="M16" s="21">
        <f t="shared" si="1"/>
        <v>0</v>
      </c>
      <c r="N16" s="21">
        <f t="shared" ca="1" si="1"/>
        <v>0</v>
      </c>
      <c r="O16" s="21">
        <f>O5</f>
        <v>44.075346892570387</v>
      </c>
      <c r="P16" s="21">
        <f>P5</f>
        <v>945.70448951691037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6.2515367873977878E-2</v>
      </c>
      <c r="C18" s="25">
        <f ca="1">'EF ele_warmte'!B22</f>
        <v>0.15350494877636078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12197.544762183947</v>
      </c>
      <c r="C20" s="23">
        <f t="shared" ref="C20:P20" ca="1" si="2">C16*C18</f>
        <v>5305.6639111760669</v>
      </c>
      <c r="D20" s="23">
        <f t="shared" ca="1" si="2"/>
        <v>17861.335267404553</v>
      </c>
      <c r="E20" s="23">
        <f t="shared" si="2"/>
        <v>71.963873804760738</v>
      </c>
      <c r="F20" s="23">
        <f t="shared" ca="1" si="2"/>
        <v>7555.6750231938977</v>
      </c>
      <c r="G20" s="23">
        <f t="shared" si="2"/>
        <v>0</v>
      </c>
      <c r="H20" s="23">
        <f t="shared" si="2"/>
        <v>0</v>
      </c>
      <c r="I20" s="23">
        <f t="shared" si="2"/>
        <v>0</v>
      </c>
      <c r="J20" s="23">
        <f t="shared" si="2"/>
        <v>5.169819798947891E-2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125952.32790751099</v>
      </c>
      <c r="C26" s="39">
        <f>IF(ISERROR(B26*3.6/1000000/'E Balans VL '!Z12*100),0,B26*3.6/1000000/'E Balans VL '!Z12*100)</f>
        <v>3.550271217985995</v>
      </c>
      <c r="D26" s="232" t="s">
        <v>660</v>
      </c>
      <c r="F26" s="6"/>
    </row>
    <row r="27" spans="1:18">
      <c r="A27" s="227" t="s">
        <v>52</v>
      </c>
      <c r="B27" s="33">
        <f>IF(ISERROR(TER_horeca_ele_kWh/1000),0,TER_horeca_ele_kWh/1000)</f>
        <v>4547.3582147698398</v>
      </c>
      <c r="C27" s="39">
        <f>IF(ISERROR(B27*3.6/1000000/'E Balans VL '!Z9*100),0,B27*3.6/1000000/'E Balans VL '!Z9*100)</f>
        <v>0.33713074879726457</v>
      </c>
      <c r="D27" s="232" t="s">
        <v>660</v>
      </c>
      <c r="F27" s="6"/>
    </row>
    <row r="28" spans="1:18">
      <c r="A28" s="167" t="s">
        <v>51</v>
      </c>
      <c r="B28" s="33">
        <f>IF(ISERROR(TER_handel_ele_kWh/1000),0,TER_handel_ele_kWh/1000)</f>
        <v>20979.8773747497</v>
      </c>
      <c r="C28" s="39">
        <f>IF(ISERROR(B28*3.6/1000000/'E Balans VL '!Z13*100),0,B28*3.6/1000000/'E Balans VL '!Z13*100)</f>
        <v>0.62850724462667595</v>
      </c>
      <c r="D28" s="232" t="s">
        <v>660</v>
      </c>
      <c r="F28" s="6"/>
    </row>
    <row r="29" spans="1:18">
      <c r="A29" s="227" t="s">
        <v>50</v>
      </c>
      <c r="B29" s="33">
        <f>IF(ISERROR(TER_gezond_ele_kWh/1000),0,TER_gezond_ele_kWh/1000)</f>
        <v>3478.2464096179101</v>
      </c>
      <c r="C29" s="39">
        <f>IF(ISERROR(B29*3.6/1000000/'E Balans VL '!Z10*100),0,B29*3.6/1000000/'E Balans VL '!Z10*100)</f>
        <v>0.34393036827513196</v>
      </c>
      <c r="D29" s="232" t="s">
        <v>660</v>
      </c>
      <c r="F29" s="6"/>
    </row>
    <row r="30" spans="1:18">
      <c r="A30" s="227" t="s">
        <v>49</v>
      </c>
      <c r="B30" s="33">
        <f>IF(ISERROR(TER_ander_ele_kWh/1000),0,TER_ander_ele_kWh/1000)</f>
        <v>14787.6435304631</v>
      </c>
      <c r="C30" s="39">
        <f>IF(ISERROR(B30*3.6/1000000/'E Balans VL '!Z14*100),0,B30*3.6/1000000/'E Balans VL '!Z14*100)</f>
        <v>0.59811648047063004</v>
      </c>
      <c r="D30" s="232" t="s">
        <v>660</v>
      </c>
      <c r="F30" s="6"/>
    </row>
    <row r="31" spans="1:18">
      <c r="A31" s="227" t="s">
        <v>54</v>
      </c>
      <c r="B31" s="33">
        <f>IF(ISERROR(TER_onderwijs_ele_kWh/1000),0,TER_onderwijs_ele_kWh/1000)</f>
        <v>1172.8572696610299</v>
      </c>
      <c r="C31" s="39">
        <f>IF(ISERROR(B31*3.6/1000000/'E Balans VL '!Z11*100),0,B31*3.6/1000000/'E Balans VL '!Z11*100)</f>
        <v>0.32223518646169863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9</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18</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82921.194132963414</v>
      </c>
      <c r="C5" s="17">
        <f>IF(ISERROR('Eigen informatie GS &amp; warmtenet'!B61),0,'Eigen informatie GS &amp; warmtenet'!B61)</f>
        <v>0</v>
      </c>
      <c r="D5" s="30">
        <f>SUM(D6:D15)</f>
        <v>59582.744211271282</v>
      </c>
      <c r="E5" s="17">
        <f>SUM(E6:E15)</f>
        <v>5097.2276133522673</v>
      </c>
      <c r="F5" s="17">
        <f>SUM(F6:F15)</f>
        <v>8305.539268462373</v>
      </c>
      <c r="G5" s="18"/>
      <c r="H5" s="17"/>
      <c r="I5" s="17"/>
      <c r="J5" s="17">
        <f>SUM(J6:J15)</f>
        <v>8.6667151912638545</v>
      </c>
      <c r="K5" s="17"/>
      <c r="L5" s="17"/>
      <c r="M5" s="17"/>
      <c r="N5" s="17">
        <f>SUM(N6:N15)</f>
        <v>7886.1844710541673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5797.8829464826395</v>
      </c>
      <c r="C8" s="33"/>
      <c r="D8" s="37">
        <f>IF( ISERROR(IND_metaal_Gas_kWH/1000),0,IND_metaal_Gas_kWH/1000)*0.903</f>
        <v>623.77336136707152</v>
      </c>
      <c r="E8" s="33">
        <f>C30*'E Balans VL '!I18/100/3.6*1000000</f>
        <v>31.687948655249304</v>
      </c>
      <c r="F8" s="33">
        <f>C30*'E Balans VL '!L18/100/3.6*1000000+C30*'E Balans VL '!N18/100/3.6*1000000</f>
        <v>396.85645351226276</v>
      </c>
      <c r="G8" s="34"/>
      <c r="H8" s="33"/>
      <c r="I8" s="33"/>
      <c r="J8" s="40">
        <f>C30*'E Balans VL '!D18/100/3.6*1000000+C30*'E Balans VL '!E18/100/3.6*1000000</f>
        <v>5.7779812143794818</v>
      </c>
      <c r="K8" s="33"/>
      <c r="L8" s="33"/>
      <c r="M8" s="33"/>
      <c r="N8" s="33">
        <f>C30*'E Balans VL '!Y18/100/3.6*1000000</f>
        <v>85.753480640574921</v>
      </c>
      <c r="O8" s="33"/>
      <c r="P8" s="33"/>
      <c r="R8" s="32"/>
    </row>
    <row r="9" spans="1:18">
      <c r="A9" s="6" t="s">
        <v>32</v>
      </c>
      <c r="B9" s="37">
        <f t="shared" si="0"/>
        <v>8344.9013262339795</v>
      </c>
      <c r="C9" s="33"/>
      <c r="D9" s="37">
        <f>IF( ISERROR(IND_andere_gas_kWh/1000),0,IND_andere_gas_kWh/1000)*0.903</f>
        <v>4409.5349890760972</v>
      </c>
      <c r="E9" s="33">
        <f>C31*'E Balans VL '!I19/100/3.6*1000000</f>
        <v>31.404070444742004</v>
      </c>
      <c r="F9" s="33">
        <f>C31*'E Balans VL '!L19/100/3.6*1000000+C31*'E Balans VL '!N19/100/3.6*1000000</f>
        <v>5371.0041603013551</v>
      </c>
      <c r="G9" s="34"/>
      <c r="H9" s="33"/>
      <c r="I9" s="33"/>
      <c r="J9" s="40">
        <f>C31*'E Balans VL '!D19/100/3.6*1000000+C31*'E Balans VL '!E19/100/3.6*1000000</f>
        <v>0</v>
      </c>
      <c r="K9" s="33"/>
      <c r="L9" s="33"/>
      <c r="M9" s="33"/>
      <c r="N9" s="33">
        <f>C31*'E Balans VL '!Y19/100/3.6*1000000</f>
        <v>301.46514431512207</v>
      </c>
      <c r="O9" s="33"/>
      <c r="P9" s="33"/>
      <c r="R9" s="32"/>
    </row>
    <row r="10" spans="1:18">
      <c r="A10" s="6" t="s">
        <v>40</v>
      </c>
      <c r="B10" s="37">
        <f t="shared" si="0"/>
        <v>27186.419522652803</v>
      </c>
      <c r="C10" s="33"/>
      <c r="D10" s="37">
        <f>IF( ISERROR(IND_voed_gas_kWh/1000),0,IND_voed_gas_kWh/1000)*0.903</f>
        <v>30964.293437648972</v>
      </c>
      <c r="E10" s="33">
        <f>C32*'E Balans VL '!I20/100/3.6*1000000</f>
        <v>53.817553719462417</v>
      </c>
      <c r="F10" s="33">
        <f>C32*'E Balans VL '!L20/100/3.6*1000000+C32*'E Balans VL '!N20/100/3.6*1000000</f>
        <v>577.40620947036757</v>
      </c>
      <c r="G10" s="34"/>
      <c r="H10" s="33"/>
      <c r="I10" s="33"/>
      <c r="J10" s="40">
        <f>C32*'E Balans VL '!D20/100/3.6*1000000+C32*'E Balans VL '!E20/100/3.6*1000000</f>
        <v>0</v>
      </c>
      <c r="K10" s="33"/>
      <c r="L10" s="33"/>
      <c r="M10" s="33"/>
      <c r="N10" s="33">
        <f>C32*'E Balans VL '!Y20/100/3.6*1000000</f>
        <v>1095.7160140734968</v>
      </c>
      <c r="O10" s="33"/>
      <c r="P10" s="33"/>
      <c r="R10" s="32"/>
    </row>
    <row r="11" spans="1:18">
      <c r="A11" s="6" t="s">
        <v>39</v>
      </c>
      <c r="B11" s="37">
        <f t="shared" si="0"/>
        <v>44.827603833171402</v>
      </c>
      <c r="C11" s="33"/>
      <c r="D11" s="37">
        <f>IF( ISERROR(IND_textiel_gas_kWh/1000),0,IND_textiel_gas_kWh/1000)*0.903</f>
        <v>115.39394432588941</v>
      </c>
      <c r="E11" s="33">
        <f>C33*'E Balans VL '!I21/100/3.6*1000000</f>
        <v>8.7289823574536463E-2</v>
      </c>
      <c r="F11" s="33">
        <f>C33*'E Balans VL '!L21/100/3.6*1000000+C33*'E Balans VL '!N21/100/3.6*1000000</f>
        <v>1.0618262076132756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13708.245357805001</v>
      </c>
      <c r="C12" s="33"/>
      <c r="D12" s="37">
        <f>IF( ISERROR(IND_min_gas_kWh/1000),0,IND_min_gas_kWh/1000)*0.903</f>
        <v>22792.926405690669</v>
      </c>
      <c r="E12" s="33">
        <f>C34*'E Balans VL '!I22/100/3.6*1000000</f>
        <v>167.73332124962931</v>
      </c>
      <c r="F12" s="33">
        <f>C34*'E Balans VL '!L22/100/3.6*1000000+C34*'E Balans VL '!N22/100/3.6*1000000</f>
        <v>1479.977930560512</v>
      </c>
      <c r="G12" s="34"/>
      <c r="H12" s="33"/>
      <c r="I12" s="33"/>
      <c r="J12" s="40">
        <f>C34*'E Balans VL '!D22/100/3.6*1000000+C34*'E Balans VL '!E22/100/3.6*1000000</f>
        <v>0</v>
      </c>
      <c r="K12" s="33"/>
      <c r="L12" s="33"/>
      <c r="M12" s="33"/>
      <c r="N12" s="33">
        <f>C34*'E Balans VL '!Y22/100/3.6*1000000</f>
        <v>6611.9102777419484</v>
      </c>
      <c r="O12" s="33"/>
      <c r="P12" s="33"/>
      <c r="R12" s="32"/>
    </row>
    <row r="13" spans="1:18">
      <c r="A13" s="6" t="s">
        <v>38</v>
      </c>
      <c r="B13" s="37">
        <f t="shared" si="0"/>
        <v>2523.3710279971997</v>
      </c>
      <c r="C13" s="33"/>
      <c r="D13" s="37">
        <f>IF( ISERROR(IND_papier_gas_kWh/1000),0,IND_papier_gas_kWh/1000)*0.903</f>
        <v>676.82207316258189</v>
      </c>
      <c r="E13" s="33">
        <f>C35*'E Balans VL '!I23/100/3.6*1000000</f>
        <v>0</v>
      </c>
      <c r="F13" s="33">
        <f>C35*'E Balans VL '!L23/100/3.6*1000000+C35*'E Balans VL '!N23/100/3.6*1000000</f>
        <v>0.30912887896040142</v>
      </c>
      <c r="G13" s="34"/>
      <c r="H13" s="33"/>
      <c r="I13" s="33"/>
      <c r="J13" s="40">
        <f>C35*'E Balans VL '!D23/100/3.6*1000000+C35*'E Balans VL '!E23/100/3.6*1000000</f>
        <v>0.1966080500502429</v>
      </c>
      <c r="K13" s="33"/>
      <c r="L13" s="33"/>
      <c r="M13" s="33"/>
      <c r="N13" s="33">
        <f>C35*'E Balans VL '!Y23/100/3.6*1000000</f>
        <v>-231.55965074339343</v>
      </c>
      <c r="O13" s="33"/>
      <c r="P13" s="33"/>
      <c r="R13" s="32"/>
    </row>
    <row r="14" spans="1:18">
      <c r="A14" s="6" t="s">
        <v>33</v>
      </c>
      <c r="B14" s="37">
        <f t="shared" si="0"/>
        <v>24702.013846544898</v>
      </c>
      <c r="C14" s="33"/>
      <c r="D14" s="37">
        <f>IF( ISERROR(IND_chemie_gas_kWh/1000),0,IND_chemie_gas_kWh/1000)*0.903</f>
        <v>0</v>
      </c>
      <c r="E14" s="33">
        <f>C36*'E Balans VL '!I24/100/3.6*1000000</f>
        <v>4779.2811867603086</v>
      </c>
      <c r="F14" s="33">
        <f>C36*'E Balans VL '!L24/100/3.6*1000000+C36*'E Balans VL '!N24/100/3.6*1000000</f>
        <v>385.28990005944956</v>
      </c>
      <c r="G14" s="34"/>
      <c r="H14" s="33"/>
      <c r="I14" s="33"/>
      <c r="J14" s="40">
        <f>C36*'E Balans VL '!D24/100/3.6*1000000+C36*'E Balans VL '!E24/100/3.6*1000000</f>
        <v>0</v>
      </c>
      <c r="K14" s="33"/>
      <c r="L14" s="33"/>
      <c r="M14" s="33"/>
      <c r="N14" s="33">
        <f>C36*'E Balans VL '!Y24/100/3.6*1000000</f>
        <v>5.5076509195887589</v>
      </c>
      <c r="O14" s="33"/>
      <c r="P14" s="33"/>
      <c r="R14" s="32"/>
    </row>
    <row r="15" spans="1:18">
      <c r="A15" s="6" t="s">
        <v>259</v>
      </c>
      <c r="B15" s="37">
        <f t="shared" si="0"/>
        <v>613.53250141371996</v>
      </c>
      <c r="C15" s="33"/>
      <c r="D15" s="37">
        <f>IF( ISERROR(IND_rest_gas_kWh/1000),0,IND_rest_gas_kWh/1000)*0.903</f>
        <v>0</v>
      </c>
      <c r="E15" s="33">
        <f>C37*'E Balans VL '!I15/100/3.6*1000000</f>
        <v>33.216242699300757</v>
      </c>
      <c r="F15" s="33">
        <f>C37*'E Balans VL '!L15/100/3.6*1000000+C37*'E Balans VL '!N15/100/3.6*1000000</f>
        <v>93.633659471851502</v>
      </c>
      <c r="G15" s="34"/>
      <c r="H15" s="33"/>
      <c r="I15" s="33"/>
      <c r="J15" s="40">
        <f>C37*'E Balans VL '!D15/100/3.6*1000000+C37*'E Balans VL '!E15/100/3.6*1000000</f>
        <v>2.6921259268341311</v>
      </c>
      <c r="K15" s="33"/>
      <c r="L15" s="33"/>
      <c r="M15" s="33"/>
      <c r="N15" s="33">
        <f>C37*'E Balans VL '!Y15/100/3.6*1000000</f>
        <v>17.391554106830402</v>
      </c>
      <c r="O15" s="33"/>
      <c r="P15" s="33"/>
      <c r="R15" s="32"/>
    </row>
    <row r="16" spans="1:18">
      <c r="A16" s="16" t="s">
        <v>466</v>
      </c>
      <c r="B16" s="242">
        <f>'lokale energieproductie'!N53+'lokale energieproductie'!N46</f>
        <v>27810</v>
      </c>
      <c r="C16" s="242">
        <f>'lokale energieproductie'!O53+'lokale energieproductie'!O46</f>
        <v>39728.571428571435</v>
      </c>
      <c r="D16" s="302">
        <f>('lokale energieproductie'!P46+'lokale energieproductie'!P53)*(-1)</f>
        <v>-64170</v>
      </c>
      <c r="E16" s="243"/>
      <c r="F16" s="302">
        <f>('lokale energieproductie'!S46+'lokale energieproductie'!S53)*(-1)</f>
        <v>0</v>
      </c>
      <c r="G16" s="244"/>
      <c r="H16" s="243"/>
      <c r="I16" s="243"/>
      <c r="J16" s="243"/>
      <c r="K16" s="243"/>
      <c r="L16" s="302">
        <f>('lokale energieproductie'!T46+'lokale energieproductie'!U46+'lokale energieproductie'!T53+'lokale energieproductie'!U53)*(-1)</f>
        <v>0</v>
      </c>
      <c r="M16" s="243"/>
      <c r="N16" s="302">
        <f>('lokale energieproductie'!Q46+'lokale energieproductie'!R46+'lokale energieproductie'!V46+'lokale energieproductie'!Q53+'lokale energieproductie'!R53+'lokale energieproductie'!V53)*(-1)</f>
        <v>-15287.142857142859</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110731.19413296341</v>
      </c>
      <c r="C18" s="21">
        <f>C5+C16</f>
        <v>39728.571428571435</v>
      </c>
      <c r="D18" s="21">
        <f>MAX((D5+D16),0)</f>
        <v>0</v>
      </c>
      <c r="E18" s="21">
        <f>MAX((E5+E16),0)</f>
        <v>5097.2276133522673</v>
      </c>
      <c r="F18" s="21">
        <f>MAX((F5+F16),0)</f>
        <v>8305.539268462373</v>
      </c>
      <c r="G18" s="21"/>
      <c r="H18" s="21"/>
      <c r="I18" s="21"/>
      <c r="J18" s="21">
        <f>MAX((J5+J16),0)</f>
        <v>8.6667151912638545</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6.2515367873977878E-2</v>
      </c>
      <c r="C20" s="25">
        <f ca="1">'EF ele_warmte'!B22</f>
        <v>0.15350494877636078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6922.4013363470685</v>
      </c>
      <c r="C22" s="23">
        <f ca="1">C18*C20</f>
        <v>6098.5323221008484</v>
      </c>
      <c r="D22" s="23">
        <f>D18*D20</f>
        <v>0</v>
      </c>
      <c r="E22" s="23">
        <f>E18*E20</f>
        <v>1157.0706682309647</v>
      </c>
      <c r="F22" s="23">
        <f>F18*F20</f>
        <v>2217.5789846794537</v>
      </c>
      <c r="G22" s="23"/>
      <c r="H22" s="23"/>
      <c r="I22" s="23"/>
      <c r="J22" s="23">
        <f>J18*J20</f>
        <v>3.0680171777074041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5797.8829464826395</v>
      </c>
      <c r="C30" s="39">
        <f>IF(ISERROR(B30*3.6/1000000/'E Balans VL '!Z18*100),0,B30*3.6/1000000/'E Balans VL '!Z18*100)</f>
        <v>0.32349506021409136</v>
      </c>
      <c r="D30" s="232" t="s">
        <v>660</v>
      </c>
    </row>
    <row r="31" spans="1:18">
      <c r="A31" s="6" t="s">
        <v>32</v>
      </c>
      <c r="B31" s="37">
        <f>IF( ISERROR(IND_ander_ele_kWh/1000),0,IND_ander_ele_kWh/1000)</f>
        <v>8344.9013262339795</v>
      </c>
      <c r="C31" s="39">
        <f>IF(ISERROR(B31*3.6/1000000/'E Balans VL '!Z19*100),0,B31*3.6/1000000/'E Balans VL '!Z19*100)</f>
        <v>0.33966323425510347</v>
      </c>
      <c r="D31" s="232" t="s">
        <v>660</v>
      </c>
    </row>
    <row r="32" spans="1:18">
      <c r="A32" s="167" t="s">
        <v>40</v>
      </c>
      <c r="B32" s="37">
        <f>IF( ISERROR(IND_voed_ele_kWh/1000),0,IND_voed_ele_kWh/1000)</f>
        <v>27186.419522652803</v>
      </c>
      <c r="C32" s="39">
        <f>IF(ISERROR(B32*3.6/1000000/'E Balans VL '!Z20*100),0,B32*3.6/1000000/'E Balans VL '!Z20*100)</f>
        <v>0.79071269259816446</v>
      </c>
      <c r="D32" s="232" t="s">
        <v>660</v>
      </c>
    </row>
    <row r="33" spans="1:5">
      <c r="A33" s="167" t="s">
        <v>39</v>
      </c>
      <c r="B33" s="37">
        <f>IF( ISERROR(IND_textiel_ele_kWh/1000),0,IND_textiel_ele_kWh/1000)</f>
        <v>44.827603833171402</v>
      </c>
      <c r="C33" s="39">
        <f>IF(ISERROR(B33*3.6/1000000/'E Balans VL '!Z21*100),0,B33*3.6/1000000/'E Balans VL '!Z21*100)</f>
        <v>6.6031385767667842E-3</v>
      </c>
      <c r="D33" s="232" t="s">
        <v>660</v>
      </c>
    </row>
    <row r="34" spans="1:5">
      <c r="A34" s="167" t="s">
        <v>36</v>
      </c>
      <c r="B34" s="37">
        <f>IF( ISERROR(IND_min_ele_kWh/1000),0,IND_min_ele_kWh/1000)</f>
        <v>13708.245357805001</v>
      </c>
      <c r="C34" s="39">
        <f>IF(ISERROR(B34*3.6/1000000/'E Balans VL '!Z22*100),0,B34*3.6/1000000/'E Balans VL '!Z22*100)</f>
        <v>5.4991829044418337</v>
      </c>
      <c r="D34" s="232" t="s">
        <v>660</v>
      </c>
    </row>
    <row r="35" spans="1:5">
      <c r="A35" s="167" t="s">
        <v>38</v>
      </c>
      <c r="B35" s="37">
        <f>IF( ISERROR(IND_papier_ele_kWh/1000),0,IND_papier_ele_kWh/1000)</f>
        <v>2523.3710279971997</v>
      </c>
      <c r="C35" s="39">
        <f>IF(ISERROR(B35*3.6/1000000/'E Balans VL '!Z22*100),0,B35*3.6/1000000/'E Balans VL '!Z22*100)</f>
        <v>1.0122724284932081</v>
      </c>
      <c r="D35" s="232" t="s">
        <v>660</v>
      </c>
    </row>
    <row r="36" spans="1:5">
      <c r="A36" s="167" t="s">
        <v>33</v>
      </c>
      <c r="B36" s="37">
        <f>IF( ISERROR(IND_chemie_ele_kWh/1000),0,IND_chemie_ele_kWh/1000)</f>
        <v>24702.013846544898</v>
      </c>
      <c r="C36" s="39">
        <f>IF(ISERROR(B36*3.6/1000000/'E Balans VL '!Z24*100),0,B36*3.6/1000000/'E Balans VL '!Z24*100)</f>
        <v>0.74623798684679643</v>
      </c>
      <c r="D36" s="232" t="s">
        <v>660</v>
      </c>
    </row>
    <row r="37" spans="1:5">
      <c r="A37" s="167" t="s">
        <v>259</v>
      </c>
      <c r="B37" s="37">
        <f>IF( ISERROR(IND_rest_ele_kWh/1000),0,IND_rest_ele_kWh/1000)</f>
        <v>613.53250141371996</v>
      </c>
      <c r="C37" s="39">
        <f>IF(ISERROR(B37*3.6/1000000/'E Balans VL '!Z15*100),0,B37*3.6/1000000/'E Balans VL '!Z15*100)</f>
        <v>4.9417227552900535E-3</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12174.508447648001</v>
      </c>
      <c r="C5" s="17">
        <f>'Eigen informatie GS &amp; warmtenet'!B62</f>
        <v>0</v>
      </c>
      <c r="D5" s="30">
        <f>IF(ISERROR(SUM(LB_lb_gas_kWh,LB_rest_gas_kWh)/1000),0,SUM(LB_lb_gas_kWh,LB_rest_gas_kWh)/1000)*0.903</f>
        <v>133544.32079425192</v>
      </c>
      <c r="E5" s="17">
        <f>B17*'E Balans VL '!I25/3.6*1000000/100</f>
        <v>358.93892795277401</v>
      </c>
      <c r="F5" s="17">
        <f>B17*('E Balans VL '!L25/3.6*1000000+'E Balans VL '!N25/3.6*1000000)/100</f>
        <v>38694.91453490228</v>
      </c>
      <c r="G5" s="18"/>
      <c r="H5" s="17"/>
      <c r="I5" s="17"/>
      <c r="J5" s="17">
        <f>('E Balans VL '!D25+'E Balans VL '!E25)/3.6*1000000*landbouw!B17/100</f>
        <v>3070.3362699275185</v>
      </c>
      <c r="K5" s="17"/>
      <c r="L5" s="17">
        <f>L6*(-1)</f>
        <v>0</v>
      </c>
      <c r="M5" s="17"/>
      <c r="N5" s="17">
        <f>N6*(-1)</f>
        <v>86421.857142857159</v>
      </c>
      <c r="O5" s="17"/>
      <c r="P5" s="17"/>
      <c r="R5" s="32"/>
    </row>
    <row r="6" spans="1:18">
      <c r="A6" s="16" t="s">
        <v>466</v>
      </c>
      <c r="B6" s="17" t="s">
        <v>204</v>
      </c>
      <c r="C6" s="17">
        <f>'lokale energieproductie'!O55+'lokale energieproductie'!O48</f>
        <v>123336.64285714286</v>
      </c>
      <c r="D6" s="302">
        <f>('lokale energieproductie'!P48+'lokale energieproductie'!P55)*(-1)</f>
        <v>-160251.42857142861</v>
      </c>
      <c r="E6" s="243"/>
      <c r="F6" s="302">
        <f>('lokale energieproductie'!S48+'lokale energieproductie'!S55)*(-1)</f>
        <v>0</v>
      </c>
      <c r="G6" s="244"/>
      <c r="H6" s="243"/>
      <c r="I6" s="243"/>
      <c r="J6" s="243"/>
      <c r="K6" s="243"/>
      <c r="L6" s="302">
        <f>('lokale energieproductie'!T48+'lokale energieproductie'!U48+'lokale energieproductie'!T55+'lokale energieproductie'!U55)*(-1)</f>
        <v>0</v>
      </c>
      <c r="M6" s="243"/>
      <c r="N6" s="302">
        <f>('lokale energieproductie'!V48+'lokale energieproductie'!R48+'lokale energieproductie'!Q48+'lokale energieproductie'!Q55+'lokale energieproductie'!R55+'lokale energieproductie'!V55)*(-1)</f>
        <v>-86421.857142857159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12174.508447648001</v>
      </c>
      <c r="C8" s="21">
        <f>C5+C6</f>
        <v>123336.64285714286</v>
      </c>
      <c r="D8" s="21">
        <f>MAX((D5+D6),0)</f>
        <v>0</v>
      </c>
      <c r="E8" s="21">
        <f>MAX((E5+E6),0)</f>
        <v>358.93892795277401</v>
      </c>
      <c r="F8" s="21">
        <f>MAX((F5+F6),0)</f>
        <v>38694.91453490228</v>
      </c>
      <c r="G8" s="21"/>
      <c r="H8" s="21"/>
      <c r="I8" s="21"/>
      <c r="J8" s="21">
        <f>MAX((J5+J6),0)</f>
        <v>3070.3362699275185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6.2515367873977878E-2</v>
      </c>
      <c r="C10" s="31">
        <f ca="1">'EF ele_warmte'!B22</f>
        <v>0.15350494877636078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761.09387428956609</v>
      </c>
      <c r="C12" s="23">
        <f ca="1">C8*C10</f>
        <v>18932.785044034019</v>
      </c>
      <c r="D12" s="23">
        <f>D8*D10</f>
        <v>0</v>
      </c>
      <c r="E12" s="23">
        <f>E8*E10</f>
        <v>81.479136645279709</v>
      </c>
      <c r="F12" s="23">
        <f>F8*F10</f>
        <v>10331.542180818909</v>
      </c>
      <c r="G12" s="23"/>
      <c r="H12" s="23"/>
      <c r="I12" s="23"/>
      <c r="J12" s="23">
        <f>J8*J10</f>
        <v>1086.8990395543415</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1.6721369656812066</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841.00805465318365</v>
      </c>
      <c r="C26" s="242">
        <f>B26*'GWP N2O_CH4'!B5</f>
        <v>17661.169147716857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410.15182378262068</v>
      </c>
      <c r="C27" s="242">
        <f>B27*'GWP N2O_CH4'!B5</f>
        <v>8613.1882994350344</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13.465587431038392</v>
      </c>
      <c r="C28" s="242">
        <f>B28*'GWP N2O_CH4'!B4</f>
        <v>4174.3321036219013</v>
      </c>
      <c r="D28" s="50"/>
    </row>
    <row r="29" spans="1:4">
      <c r="A29" s="41" t="s">
        <v>266</v>
      </c>
      <c r="B29" s="242">
        <f>B34*'ha_N2O bodem landbouw'!B4</f>
        <v>44.510596054353535</v>
      </c>
      <c r="C29" s="242">
        <f>B29*'GWP N2O_CH4'!B4</f>
        <v>13798.284776849596</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1.0144091954675999E-2</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4.6284877744952532E-3</v>
      </c>
      <c r="C5" s="430" t="s">
        <v>204</v>
      </c>
      <c r="D5" s="415">
        <f>SUM(D6:D11)</f>
        <v>7.9485870234173705E-3</v>
      </c>
      <c r="E5" s="415">
        <f>SUM(E6:E11)</f>
        <v>4.6603541725944476E-3</v>
      </c>
      <c r="F5" s="428" t="s">
        <v>204</v>
      </c>
      <c r="G5" s="415">
        <f>SUM(G6:G11)</f>
        <v>3.1230190744095987</v>
      </c>
      <c r="H5" s="415">
        <f>SUM(H6:H11)</f>
        <v>0.5316209741067609</v>
      </c>
      <c r="I5" s="430" t="s">
        <v>204</v>
      </c>
      <c r="J5" s="430" t="s">
        <v>204</v>
      </c>
      <c r="K5" s="430" t="s">
        <v>204</v>
      </c>
      <c r="L5" s="430" t="s">
        <v>204</v>
      </c>
      <c r="M5" s="415">
        <f>SUM(M6:M11)</f>
        <v>0.21278618780451108</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1.4178536930906061E-3</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2.4743621730199858E-3</v>
      </c>
      <c r="E6" s="844">
        <f>vkm_GW_PW*SUMIFS(TableVerdeelsleutelVkm[LPG],TableVerdeelsleutelVkm[Voertuigtype],"Lichte voertuigen")*SUMIFS(TableECFTransport[EnergieConsumptieFactor (PJ per km)],TableECFTransport[Index],CONCATENATE($A6,"_LPG_LPG"))</f>
        <v>1.3604801049334927E-3</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0.41872083984098935</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0.1633676349033191</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3.4931441005020894E-2</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1.24896538571712E-5</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0.51691486572451673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5.6651301706680669E-6</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2.9103132126776177E-2</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1.1965266559393088E-3</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2.6768466382236212E-3</v>
      </c>
      <c r="E8" s="418">
        <f>vkm_NGW_PW*SUMIFS(TableVerdeelsleutelVkm[LPG],TableVerdeelsleutelVkm[Voertuigtype],"Lichte voertuigen")*SUMIFS(TableECFTransport[EnergieConsumptieFactor (PJ per km)],TableECFTransport[Index],CONCATENATE($A8,"_LPG_LPG"))</f>
        <v>1.4057445408541284E-3</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0.39981469401513808</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0.17397876857071926</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3.460468161225954E-2</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8.1761050623513725E-6</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0.43576504218505985</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4.4763331435643843E-6</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2.4534246700146364E-2</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1.9722597854534619E-3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2.7973782121737635E-3</v>
      </c>
      <c r="E10" s="418">
        <f>vkm_SW_PW*SUMIFS(TableVerdeelsleutelVkm[LPG],TableVerdeelsleutelVkm[Voertuigtype],"Lichte voertuigen")*SUMIFS(TableECFTransport[EnergieConsumptieFactor (PJ per km)],TableECFTransport[Index],CONCATENATE($A10,"_LPG_LPG"))</f>
        <v>1.8941295268068263E-3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0.52360076345403439</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0.19425454012206483</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4.2983486234247817E-2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2.1181881092353716E-5</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0.82820286918986041</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9.8890473435095716E-6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4.6629200126060297E-2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1285.6910484709038</v>
      </c>
      <c r="C14" s="21"/>
      <c r="D14" s="21">
        <f t="shared" ref="D14:M14" si="0">((D5)*10^9/3600)+D12</f>
        <v>2207.9408398381584</v>
      </c>
      <c r="E14" s="21">
        <f t="shared" si="0"/>
        <v>1294.54282572068</v>
      </c>
      <c r="F14" s="21"/>
      <c r="G14" s="21">
        <f t="shared" si="0"/>
        <v>867505.29844711081</v>
      </c>
      <c r="H14" s="21">
        <f t="shared" si="0"/>
        <v>147672.49280743359</v>
      </c>
      <c r="I14" s="21"/>
      <c r="J14" s="21"/>
      <c r="K14" s="21"/>
      <c r="L14" s="21"/>
      <c r="M14" s="21">
        <f t="shared" si="0"/>
        <v>59107.274390141967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6.2515367873977878E-2</v>
      </c>
      <c r="C16" s="56">
        <f ca="1">'EF ele_warmte'!B22</f>
        <v>0.15350494877636078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80.375448867438877</v>
      </c>
      <c r="C18" s="23"/>
      <c r="D18" s="23">
        <f t="shared" ref="D18:M18" si="1">D14*D16</f>
        <v>446.00404964730802</v>
      </c>
      <c r="E18" s="23">
        <f t="shared" si="1"/>
        <v>293.86122143859438</v>
      </c>
      <c r="F18" s="23"/>
      <c r="G18" s="23">
        <f t="shared" si="1"/>
        <v>231623.91468537861</v>
      </c>
      <c r="H18" s="23">
        <f t="shared" si="1"/>
        <v>36770.450709050965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1.7844509528875684E-4</v>
      </c>
      <c r="C50" s="313">
        <f t="shared" ref="C50:P50" si="2">SUM(C51:C52)</f>
        <v>0</v>
      </c>
      <c r="D50" s="313">
        <f t="shared" si="2"/>
        <v>0</v>
      </c>
      <c r="E50" s="313">
        <f t="shared" si="2"/>
        <v>0</v>
      </c>
      <c r="F50" s="313">
        <f t="shared" si="2"/>
        <v>0</v>
      </c>
      <c r="G50" s="313">
        <f t="shared" si="2"/>
        <v>1.2737089404335083E-2</v>
      </c>
      <c r="H50" s="313">
        <f t="shared" si="2"/>
        <v>0</v>
      </c>
      <c r="I50" s="313">
        <f t="shared" si="2"/>
        <v>0</v>
      </c>
      <c r="J50" s="313">
        <f t="shared" si="2"/>
        <v>0</v>
      </c>
      <c r="K50" s="313">
        <f t="shared" si="2"/>
        <v>0</v>
      </c>
      <c r="L50" s="313">
        <f t="shared" si="2"/>
        <v>0</v>
      </c>
      <c r="M50" s="313">
        <f t="shared" si="2"/>
        <v>7.033241670464643E-4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1.7844509528875684E-4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1.2737089404335083E-2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7.033241670464643E-4</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49.568082024654672</v>
      </c>
      <c r="C54" s="21">
        <f t="shared" ref="C54:P54" si="3">(C50)*10^9/3600</f>
        <v>0</v>
      </c>
      <c r="D54" s="21">
        <f t="shared" si="3"/>
        <v>0</v>
      </c>
      <c r="E54" s="21">
        <f t="shared" si="3"/>
        <v>0</v>
      </c>
      <c r="F54" s="21">
        <f t="shared" si="3"/>
        <v>0</v>
      </c>
      <c r="G54" s="21">
        <f t="shared" si="3"/>
        <v>3538.0803900930787</v>
      </c>
      <c r="H54" s="21">
        <f t="shared" si="3"/>
        <v>0</v>
      </c>
      <c r="I54" s="21">
        <f t="shared" si="3"/>
        <v>0</v>
      </c>
      <c r="J54" s="21">
        <f t="shared" si="3"/>
        <v>0</v>
      </c>
      <c r="K54" s="21">
        <f t="shared" si="3"/>
        <v>0</v>
      </c>
      <c r="L54" s="21">
        <f t="shared" si="3"/>
        <v>0</v>
      </c>
      <c r="M54" s="21">
        <f t="shared" si="3"/>
        <v>195.3678241795734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6.2515367873977878E-2</v>
      </c>
      <c r="C56" s="56">
        <f ca="1">'EF ele_warmte'!B22</f>
        <v>0.15350494877636078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3.0987668825787971</v>
      </c>
      <c r="C58" s="23">
        <f t="shared" ref="C58:P58" ca="1" si="4">C54*C56</f>
        <v>0</v>
      </c>
      <c r="D58" s="23">
        <f t="shared" si="4"/>
        <v>0</v>
      </c>
      <c r="E58" s="23">
        <f t="shared" si="4"/>
        <v>0</v>
      </c>
      <c r="F58" s="23">
        <f t="shared" si="4"/>
        <v>0</v>
      </c>
      <c r="G58" s="23">
        <f t="shared" si="4"/>
        <v>944.66746415485204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7"/>
  <sheetViews>
    <sheetView showGridLines="0" zoomScale="65" zoomScaleNormal="65" workbookViewId="0">
      <selection activeCell="A28" sqref="A28:XFD45"/>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211405.98069829514</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51258.123557119674</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N45</f>
        <v>138340.07999999999</v>
      </c>
      <c r="C8" s="540">
        <f>B64</f>
        <v>105128.15294117648</v>
      </c>
      <c r="D8" s="541"/>
      <c r="E8" s="541">
        <f>E64</f>
        <v>0</v>
      </c>
      <c r="F8" s="542"/>
      <c r="G8" s="543"/>
      <c r="H8" s="541">
        <f>I64</f>
        <v>0</v>
      </c>
      <c r="I8" s="541">
        <f>G64+F64</f>
        <v>0</v>
      </c>
      <c r="J8" s="541">
        <f>H64+D64+C64</f>
        <v>57624.882352941182</v>
      </c>
      <c r="K8" s="541"/>
      <c r="L8" s="541"/>
      <c r="M8" s="541"/>
      <c r="N8" s="544"/>
      <c r="O8" s="545">
        <f>C8*$C$12+D8*$D$12+E8*$E$12+F8*$F$12+G8*$G$12+H8*$H$12+I8*$I$12+J8*$J$12</f>
        <v>21235.886894117652</v>
      </c>
      <c r="P8" s="1210"/>
      <c r="Q8" s="1211"/>
      <c r="S8" s="535"/>
      <c r="T8" s="1198"/>
      <c r="U8" s="1198"/>
    </row>
    <row r="9" spans="1:21" s="526" customFormat="1" ht="17.45" customHeight="1" thickBot="1">
      <c r="A9" s="546" t="s">
        <v>237</v>
      </c>
      <c r="B9" s="547">
        <f>N52+'Eigen informatie GS &amp; warmtenet'!B12</f>
        <v>0</v>
      </c>
      <c r="C9" s="548">
        <f>P52+IF(ISERROR(('Eigen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S52+IF(ISERROR('Eigen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W52+IF(ISERROR('Eigen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(T52+U52)+IF(ISERROR('Eigen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V52+Q52+R52+IF(ISERROR('Eigen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401004.18425541476</v>
      </c>
      <c r="C10" s="555">
        <f t="shared" ref="C10:L10" si="0">SUM(C8:C9)</f>
        <v>105128.15294117648</v>
      </c>
      <c r="D10" s="555">
        <f t="shared" si="0"/>
        <v>0</v>
      </c>
      <c r="E10" s="555">
        <f t="shared" si="0"/>
        <v>0</v>
      </c>
      <c r="F10" s="555">
        <f t="shared" si="0"/>
        <v>0</v>
      </c>
      <c r="G10" s="555">
        <f t="shared" si="0"/>
        <v>0</v>
      </c>
      <c r="H10" s="555">
        <f t="shared" si="0"/>
        <v>0</v>
      </c>
      <c r="I10" s="555">
        <f t="shared" si="0"/>
        <v>0</v>
      </c>
      <c r="J10" s="555">
        <f t="shared" si="0"/>
        <v>57624.882352941182</v>
      </c>
      <c r="K10" s="555">
        <f t="shared" si="0"/>
        <v>0</v>
      </c>
      <c r="L10" s="555">
        <f t="shared" si="0"/>
        <v>0</v>
      </c>
      <c r="M10" s="917"/>
      <c r="N10" s="917"/>
      <c r="O10" s="556">
        <f>SUM(O4:O9)</f>
        <v>21235.886894117652</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O45</f>
        <v>197628.68571428573</v>
      </c>
      <c r="C17" s="571">
        <f>B65</f>
        <v>150183.07563025213</v>
      </c>
      <c r="D17" s="572"/>
      <c r="E17" s="572">
        <f>E65</f>
        <v>0</v>
      </c>
      <c r="F17" s="573"/>
      <c r="G17" s="574"/>
      <c r="H17" s="571">
        <f>I65</f>
        <v>0</v>
      </c>
      <c r="I17" s="572">
        <f>G65+F65</f>
        <v>0</v>
      </c>
      <c r="J17" s="572">
        <f>H65+D65+C65</f>
        <v>82321.260504201695</v>
      </c>
      <c r="K17" s="572"/>
      <c r="L17" s="572"/>
      <c r="M17" s="572"/>
      <c r="N17" s="918"/>
      <c r="O17" s="575">
        <f>C17*$C$22+E17*$E$22+H17*$H$22+I17*$I$22+J17*$J$22+D17*$D$22+F17*$F$22+G17*$G$22+K17*$K$22+L17*$L$22</f>
        <v>30336.981277310933</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197628.68571428573</v>
      </c>
      <c r="C20" s="554">
        <f>SUM(C17:C19)</f>
        <v>150183.07563025213</v>
      </c>
      <c r="D20" s="554">
        <f t="shared" ref="D20:L20" si="1">SUM(D17:D19)</f>
        <v>0</v>
      </c>
      <c r="E20" s="554">
        <f t="shared" si="1"/>
        <v>0</v>
      </c>
      <c r="F20" s="554">
        <f t="shared" si="1"/>
        <v>0</v>
      </c>
      <c r="G20" s="554">
        <f t="shared" si="1"/>
        <v>0</v>
      </c>
      <c r="H20" s="554">
        <f t="shared" si="1"/>
        <v>0</v>
      </c>
      <c r="I20" s="554">
        <f t="shared" si="1"/>
        <v>0</v>
      </c>
      <c r="J20" s="554">
        <f t="shared" si="1"/>
        <v>82321.260504201695</v>
      </c>
      <c r="K20" s="554">
        <f t="shared" si="1"/>
        <v>0</v>
      </c>
      <c r="L20" s="554">
        <f t="shared" si="1"/>
        <v>0</v>
      </c>
      <c r="M20" s="554"/>
      <c r="N20" s="554"/>
      <c r="O20" s="580">
        <f>SUM(O17:O19)</f>
        <v>30336.981277310933</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25.5" hidden="1">
      <c r="A28" s="584"/>
      <c r="B28" s="746">
        <v>46003</v>
      </c>
      <c r="C28" s="746">
        <v>9120</v>
      </c>
      <c r="D28" s="632"/>
      <c r="E28" s="631"/>
      <c r="F28" s="631"/>
      <c r="G28" s="631" t="s">
        <v>861</v>
      </c>
      <c r="H28" s="631" t="s">
        <v>862</v>
      </c>
      <c r="I28" s="631"/>
      <c r="J28" s="745"/>
      <c r="K28" s="745"/>
      <c r="L28" s="631" t="s">
        <v>863</v>
      </c>
      <c r="M28" s="631">
        <v>1540</v>
      </c>
      <c r="N28" s="631">
        <v>6930</v>
      </c>
      <c r="O28" s="631">
        <v>9900</v>
      </c>
      <c r="P28" s="631">
        <v>19800</v>
      </c>
      <c r="Q28" s="631">
        <v>0</v>
      </c>
      <c r="R28" s="631">
        <v>0</v>
      </c>
      <c r="S28" s="631">
        <v>0</v>
      </c>
      <c r="T28" s="631">
        <v>0</v>
      </c>
      <c r="U28" s="631">
        <v>0</v>
      </c>
      <c r="V28" s="631">
        <v>0</v>
      </c>
      <c r="W28" s="631">
        <v>0</v>
      </c>
      <c r="X28" s="631"/>
      <c r="Y28" s="631">
        <v>10</v>
      </c>
      <c r="Z28" s="631" t="s">
        <v>105</v>
      </c>
      <c r="AA28" s="633" t="s">
        <v>105</v>
      </c>
    </row>
    <row r="29" spans="1:27" s="585" customFormat="1" ht="25.5" hidden="1">
      <c r="A29" s="584"/>
      <c r="B29" s="746">
        <v>46003</v>
      </c>
      <c r="C29" s="746">
        <v>9120</v>
      </c>
      <c r="D29" s="632"/>
      <c r="E29" s="631"/>
      <c r="F29" s="631"/>
      <c r="G29" s="631" t="s">
        <v>861</v>
      </c>
      <c r="H29" s="631" t="s">
        <v>862</v>
      </c>
      <c r="I29" s="631"/>
      <c r="J29" s="745"/>
      <c r="K29" s="745"/>
      <c r="L29" s="631" t="s">
        <v>864</v>
      </c>
      <c r="M29" s="631">
        <v>3314</v>
      </c>
      <c r="N29" s="631">
        <v>14913</v>
      </c>
      <c r="O29" s="631">
        <v>21304.285714285714</v>
      </c>
      <c r="P29" s="631">
        <v>42608.571428571435</v>
      </c>
      <c r="Q29" s="631">
        <v>0</v>
      </c>
      <c r="R29" s="631">
        <v>0</v>
      </c>
      <c r="S29" s="631">
        <v>0</v>
      </c>
      <c r="T29" s="631">
        <v>0</v>
      </c>
      <c r="U29" s="631">
        <v>0</v>
      </c>
      <c r="V29" s="631">
        <v>0</v>
      </c>
      <c r="W29" s="631">
        <v>0</v>
      </c>
      <c r="X29" s="631"/>
      <c r="Y29" s="631">
        <v>10</v>
      </c>
      <c r="Z29" s="631" t="s">
        <v>105</v>
      </c>
      <c r="AA29" s="633" t="s">
        <v>105</v>
      </c>
    </row>
    <row r="30" spans="1:27" s="585" customFormat="1" ht="25.5" hidden="1">
      <c r="A30" s="584"/>
      <c r="B30" s="746">
        <v>46003</v>
      </c>
      <c r="C30" s="746">
        <v>9120</v>
      </c>
      <c r="D30" s="632"/>
      <c r="E30" s="631"/>
      <c r="F30" s="631"/>
      <c r="G30" s="631" t="s">
        <v>861</v>
      </c>
      <c r="H30" s="631" t="s">
        <v>862</v>
      </c>
      <c r="I30" s="631"/>
      <c r="J30" s="745"/>
      <c r="K30" s="745"/>
      <c r="L30" s="631" t="s">
        <v>864</v>
      </c>
      <c r="M30" s="631">
        <v>1718</v>
      </c>
      <c r="N30" s="631">
        <v>7731</v>
      </c>
      <c r="O30" s="631">
        <v>11044.285714285714</v>
      </c>
      <c r="P30" s="631">
        <v>22088.571428571431</v>
      </c>
      <c r="Q30" s="631">
        <v>0</v>
      </c>
      <c r="R30" s="631">
        <v>0</v>
      </c>
      <c r="S30" s="631">
        <v>0</v>
      </c>
      <c r="T30" s="631">
        <v>0</v>
      </c>
      <c r="U30" s="631">
        <v>0</v>
      </c>
      <c r="V30" s="631">
        <v>0</v>
      </c>
      <c r="W30" s="631">
        <v>0</v>
      </c>
      <c r="X30" s="631"/>
      <c r="Y30" s="631">
        <v>10</v>
      </c>
      <c r="Z30" s="631" t="s">
        <v>105</v>
      </c>
      <c r="AA30" s="633" t="s">
        <v>105</v>
      </c>
    </row>
    <row r="31" spans="1:27" s="585" customFormat="1" ht="25.5" hidden="1">
      <c r="A31" s="584"/>
      <c r="B31" s="746">
        <v>46003</v>
      </c>
      <c r="C31" s="746">
        <v>9120</v>
      </c>
      <c r="D31" s="632"/>
      <c r="E31" s="631"/>
      <c r="F31" s="631"/>
      <c r="G31" s="631" t="s">
        <v>861</v>
      </c>
      <c r="H31" s="631" t="s">
        <v>862</v>
      </c>
      <c r="I31" s="631"/>
      <c r="J31" s="745"/>
      <c r="K31" s="745"/>
      <c r="L31" s="631" t="s">
        <v>863</v>
      </c>
      <c r="M31" s="631">
        <v>2233</v>
      </c>
      <c r="N31" s="631">
        <v>10048.5</v>
      </c>
      <c r="O31" s="631">
        <v>14355</v>
      </c>
      <c r="P31" s="631">
        <v>0</v>
      </c>
      <c r="Q31" s="631">
        <v>28710.000000000004</v>
      </c>
      <c r="R31" s="631">
        <v>0</v>
      </c>
      <c r="S31" s="631">
        <v>0</v>
      </c>
      <c r="T31" s="631">
        <v>0</v>
      </c>
      <c r="U31" s="631">
        <v>0</v>
      </c>
      <c r="V31" s="631">
        <v>0</v>
      </c>
      <c r="W31" s="631">
        <v>0</v>
      </c>
      <c r="X31" s="631"/>
      <c r="Y31" s="631">
        <v>10</v>
      </c>
      <c r="Z31" s="631" t="s">
        <v>105</v>
      </c>
      <c r="AA31" s="633" t="s">
        <v>105</v>
      </c>
    </row>
    <row r="32" spans="1:27" s="585" customFormat="1" ht="25.5" hidden="1">
      <c r="A32" s="584"/>
      <c r="B32" s="746">
        <v>46003</v>
      </c>
      <c r="C32" s="746">
        <v>9120</v>
      </c>
      <c r="D32" s="632"/>
      <c r="E32" s="631"/>
      <c r="F32" s="631"/>
      <c r="G32" s="631" t="s">
        <v>861</v>
      </c>
      <c r="H32" s="631" t="s">
        <v>862</v>
      </c>
      <c r="I32" s="631"/>
      <c r="J32" s="745"/>
      <c r="K32" s="745"/>
      <c r="L32" s="631" t="s">
        <v>863</v>
      </c>
      <c r="M32" s="631">
        <v>3898</v>
      </c>
      <c r="N32" s="631">
        <v>17541</v>
      </c>
      <c r="O32" s="631">
        <v>25058.571428571428</v>
      </c>
      <c r="P32" s="631">
        <v>50117.142857142862</v>
      </c>
      <c r="Q32" s="631">
        <v>0</v>
      </c>
      <c r="R32" s="631">
        <v>0</v>
      </c>
      <c r="S32" s="631">
        <v>0</v>
      </c>
      <c r="T32" s="631">
        <v>0</v>
      </c>
      <c r="U32" s="631">
        <v>0</v>
      </c>
      <c r="V32" s="631">
        <v>0</v>
      </c>
      <c r="W32" s="631">
        <v>0</v>
      </c>
      <c r="X32" s="631"/>
      <c r="Y32" s="631">
        <v>10</v>
      </c>
      <c r="Z32" s="631" t="s">
        <v>105</v>
      </c>
      <c r="AA32" s="633" t="s">
        <v>105</v>
      </c>
    </row>
    <row r="33" spans="1:27" s="585" customFormat="1" ht="25.5" hidden="1">
      <c r="A33" s="584"/>
      <c r="B33" s="746">
        <v>46003</v>
      </c>
      <c r="C33" s="746">
        <v>9120</v>
      </c>
      <c r="D33" s="632"/>
      <c r="E33" s="631"/>
      <c r="F33" s="631"/>
      <c r="G33" s="631" t="s">
        <v>861</v>
      </c>
      <c r="H33" s="631" t="s">
        <v>862</v>
      </c>
      <c r="I33" s="631"/>
      <c r="J33" s="745"/>
      <c r="K33" s="745"/>
      <c r="L33" s="631" t="s">
        <v>863</v>
      </c>
      <c r="M33" s="631">
        <v>1994</v>
      </c>
      <c r="N33" s="631">
        <v>8973</v>
      </c>
      <c r="O33" s="631">
        <v>12818.571428571429</v>
      </c>
      <c r="P33" s="631">
        <v>25637.142857142859</v>
      </c>
      <c r="Q33" s="631">
        <v>0</v>
      </c>
      <c r="R33" s="631">
        <v>0</v>
      </c>
      <c r="S33" s="631">
        <v>0</v>
      </c>
      <c r="T33" s="631">
        <v>0</v>
      </c>
      <c r="U33" s="631">
        <v>0</v>
      </c>
      <c r="V33" s="631">
        <v>0</v>
      </c>
      <c r="W33" s="631">
        <v>0</v>
      </c>
      <c r="X33" s="631"/>
      <c r="Y33" s="631">
        <v>10</v>
      </c>
      <c r="Z33" s="631" t="s">
        <v>105</v>
      </c>
      <c r="AA33" s="633" t="s">
        <v>105</v>
      </c>
    </row>
    <row r="34" spans="1:27" s="585" customFormat="1" ht="25.5" hidden="1">
      <c r="A34" s="584"/>
      <c r="B34" s="746">
        <v>46003</v>
      </c>
      <c r="C34" s="746">
        <v>9120</v>
      </c>
      <c r="D34" s="632"/>
      <c r="E34" s="631"/>
      <c r="F34" s="631"/>
      <c r="G34" s="631" t="s">
        <v>861</v>
      </c>
      <c r="H34" s="631" t="s">
        <v>862</v>
      </c>
      <c r="I34" s="631"/>
      <c r="J34" s="745"/>
      <c r="K34" s="745"/>
      <c r="L34" s="631" t="s">
        <v>863</v>
      </c>
      <c r="M34" s="631">
        <v>197</v>
      </c>
      <c r="N34" s="631">
        <v>886.5</v>
      </c>
      <c r="O34" s="631">
        <v>1266.4285714285716</v>
      </c>
      <c r="P34" s="631">
        <v>2532.8571428571431</v>
      </c>
      <c r="Q34" s="631">
        <v>0</v>
      </c>
      <c r="R34" s="631">
        <v>0</v>
      </c>
      <c r="S34" s="631">
        <v>0</v>
      </c>
      <c r="T34" s="631">
        <v>0</v>
      </c>
      <c r="U34" s="631">
        <v>0</v>
      </c>
      <c r="V34" s="631">
        <v>0</v>
      </c>
      <c r="W34" s="631">
        <v>0</v>
      </c>
      <c r="X34" s="631"/>
      <c r="Y34" s="631">
        <v>1200</v>
      </c>
      <c r="Z34" s="631" t="s">
        <v>52</v>
      </c>
      <c r="AA34" s="633" t="s">
        <v>149</v>
      </c>
    </row>
    <row r="35" spans="1:27" s="585" customFormat="1" ht="25.5" hidden="1">
      <c r="A35" s="584"/>
      <c r="B35" s="746">
        <v>46003</v>
      </c>
      <c r="C35" s="746">
        <v>9120</v>
      </c>
      <c r="D35" s="632"/>
      <c r="E35" s="631"/>
      <c r="F35" s="631"/>
      <c r="G35" s="631" t="s">
        <v>861</v>
      </c>
      <c r="H35" s="631" t="s">
        <v>862</v>
      </c>
      <c r="I35" s="631"/>
      <c r="J35" s="745"/>
      <c r="K35" s="745"/>
      <c r="L35" s="631" t="s">
        <v>863</v>
      </c>
      <c r="M35" s="631">
        <v>2978</v>
      </c>
      <c r="N35" s="631">
        <v>13401.000000000002</v>
      </c>
      <c r="O35" s="631">
        <v>19144.285714285717</v>
      </c>
      <c r="P35" s="631">
        <v>0</v>
      </c>
      <c r="Q35" s="631">
        <v>38288.571428571435</v>
      </c>
      <c r="R35" s="631">
        <v>0</v>
      </c>
      <c r="S35" s="631">
        <v>0</v>
      </c>
      <c r="T35" s="631">
        <v>0</v>
      </c>
      <c r="U35" s="631">
        <v>0</v>
      </c>
      <c r="V35" s="631">
        <v>0</v>
      </c>
      <c r="W35" s="631">
        <v>0</v>
      </c>
      <c r="X35" s="631"/>
      <c r="Y35" s="631">
        <v>10</v>
      </c>
      <c r="Z35" s="631" t="s">
        <v>105</v>
      </c>
      <c r="AA35" s="633" t="s">
        <v>105</v>
      </c>
    </row>
    <row r="36" spans="1:27" s="585" customFormat="1" ht="63.75" hidden="1">
      <c r="A36" s="584"/>
      <c r="B36" s="746">
        <v>46003</v>
      </c>
      <c r="C36" s="746">
        <v>9120</v>
      </c>
      <c r="D36" s="632"/>
      <c r="E36" s="631"/>
      <c r="F36" s="631"/>
      <c r="G36" s="631" t="s">
        <v>861</v>
      </c>
      <c r="H36" s="631" t="s">
        <v>862</v>
      </c>
      <c r="I36" s="631"/>
      <c r="J36" s="745"/>
      <c r="K36" s="745"/>
      <c r="L36" s="631" t="s">
        <v>863</v>
      </c>
      <c r="M36" s="631">
        <v>70</v>
      </c>
      <c r="N36" s="631">
        <v>315.00000000000006</v>
      </c>
      <c r="O36" s="631">
        <v>450.00000000000011</v>
      </c>
      <c r="P36" s="631">
        <v>900.00000000000023</v>
      </c>
      <c r="Q36" s="631">
        <v>0</v>
      </c>
      <c r="R36" s="631">
        <v>0</v>
      </c>
      <c r="S36" s="631">
        <v>0</v>
      </c>
      <c r="T36" s="631">
        <v>0</v>
      </c>
      <c r="U36" s="631">
        <v>0</v>
      </c>
      <c r="V36" s="631">
        <v>0</v>
      </c>
      <c r="W36" s="631">
        <v>0</v>
      </c>
      <c r="X36" s="631"/>
      <c r="Y36" s="631">
        <v>1600</v>
      </c>
      <c r="Z36" s="631" t="s">
        <v>49</v>
      </c>
      <c r="AA36" s="633" t="s">
        <v>149</v>
      </c>
    </row>
    <row r="37" spans="1:27" s="585" customFormat="1" ht="25.5" hidden="1">
      <c r="A37" s="584"/>
      <c r="B37" s="746">
        <v>46003</v>
      </c>
      <c r="C37" s="746">
        <v>9120</v>
      </c>
      <c r="D37" s="632"/>
      <c r="E37" s="631"/>
      <c r="F37" s="631"/>
      <c r="G37" s="631" t="s">
        <v>861</v>
      </c>
      <c r="H37" s="631" t="s">
        <v>862</v>
      </c>
      <c r="I37" s="631"/>
      <c r="J37" s="745"/>
      <c r="K37" s="745"/>
      <c r="L37" s="631" t="s">
        <v>863</v>
      </c>
      <c r="M37" s="631">
        <v>9.6999999999999993</v>
      </c>
      <c r="N37" s="631">
        <v>43.649999999999991</v>
      </c>
      <c r="O37" s="631">
        <v>62.357142857142847</v>
      </c>
      <c r="P37" s="631">
        <v>0</v>
      </c>
      <c r="Q37" s="631">
        <v>124.71428571428569</v>
      </c>
      <c r="R37" s="631">
        <v>0</v>
      </c>
      <c r="S37" s="631">
        <v>0</v>
      </c>
      <c r="T37" s="631">
        <v>0</v>
      </c>
      <c r="U37" s="631">
        <v>0</v>
      </c>
      <c r="V37" s="631">
        <v>0</v>
      </c>
      <c r="W37" s="631">
        <v>0</v>
      </c>
      <c r="X37" s="631"/>
      <c r="Y37" s="631">
        <v>10</v>
      </c>
      <c r="Z37" s="631" t="s">
        <v>105</v>
      </c>
      <c r="AA37" s="633" t="s">
        <v>105</v>
      </c>
    </row>
    <row r="38" spans="1:27" s="585" customFormat="1" ht="25.5" hidden="1">
      <c r="A38" s="584"/>
      <c r="B38" s="746">
        <v>46003</v>
      </c>
      <c r="C38" s="746">
        <v>9130</v>
      </c>
      <c r="D38" s="632"/>
      <c r="E38" s="631"/>
      <c r="F38" s="631"/>
      <c r="G38" s="631" t="s">
        <v>861</v>
      </c>
      <c r="H38" s="631" t="s">
        <v>862</v>
      </c>
      <c r="I38" s="631"/>
      <c r="J38" s="745"/>
      <c r="K38" s="745"/>
      <c r="L38" s="631" t="s">
        <v>863</v>
      </c>
      <c r="M38" s="631">
        <v>1189</v>
      </c>
      <c r="N38" s="631">
        <v>5350.5</v>
      </c>
      <c r="O38" s="631">
        <v>7643.5714285714284</v>
      </c>
      <c r="P38" s="631">
        <v>0</v>
      </c>
      <c r="Q38" s="631">
        <v>15287.142857142859</v>
      </c>
      <c r="R38" s="631">
        <v>0</v>
      </c>
      <c r="S38" s="631">
        <v>0</v>
      </c>
      <c r="T38" s="631">
        <v>0</v>
      </c>
      <c r="U38" s="631">
        <v>0</v>
      </c>
      <c r="V38" s="631">
        <v>0</v>
      </c>
      <c r="W38" s="631">
        <v>0</v>
      </c>
      <c r="X38" s="631"/>
      <c r="Y38" s="631">
        <v>500</v>
      </c>
      <c r="Z38" s="631" t="s">
        <v>40</v>
      </c>
      <c r="AA38" s="633" t="s">
        <v>373</v>
      </c>
    </row>
    <row r="39" spans="1:27" s="585" customFormat="1" ht="63.75" hidden="1">
      <c r="A39" s="584"/>
      <c r="B39" s="746">
        <v>46003</v>
      </c>
      <c r="C39" s="746">
        <v>9120</v>
      </c>
      <c r="D39" s="632"/>
      <c r="E39" s="631"/>
      <c r="F39" s="631"/>
      <c r="G39" s="631" t="s">
        <v>861</v>
      </c>
      <c r="H39" s="631" t="s">
        <v>862</v>
      </c>
      <c r="I39" s="631"/>
      <c r="J39" s="745"/>
      <c r="K39" s="745"/>
      <c r="L39" s="631" t="s">
        <v>865</v>
      </c>
      <c r="M39" s="631">
        <v>2974</v>
      </c>
      <c r="N39" s="631">
        <v>13383</v>
      </c>
      <c r="O39" s="631">
        <v>19118.571428571428</v>
      </c>
      <c r="P39" s="631">
        <v>0</v>
      </c>
      <c r="Q39" s="631">
        <v>38237.142857142862</v>
      </c>
      <c r="R39" s="631">
        <v>0</v>
      </c>
      <c r="S39" s="631">
        <v>0</v>
      </c>
      <c r="T39" s="631">
        <v>0</v>
      </c>
      <c r="U39" s="631">
        <v>0</v>
      </c>
      <c r="V39" s="631">
        <v>0</v>
      </c>
      <c r="W39" s="631">
        <v>0</v>
      </c>
      <c r="X39" s="631"/>
      <c r="Y39" s="631">
        <v>1600</v>
      </c>
      <c r="Z39" s="631" t="s">
        <v>49</v>
      </c>
      <c r="AA39" s="633" t="s">
        <v>149</v>
      </c>
    </row>
    <row r="40" spans="1:27" s="585" customFormat="1" ht="63.75" hidden="1">
      <c r="A40" s="584"/>
      <c r="B40" s="746">
        <v>46003</v>
      </c>
      <c r="C40" s="746">
        <v>9120</v>
      </c>
      <c r="D40" s="632"/>
      <c r="E40" s="631"/>
      <c r="F40" s="631"/>
      <c r="G40" s="631" t="s">
        <v>861</v>
      </c>
      <c r="H40" s="631" t="s">
        <v>862</v>
      </c>
      <c r="I40" s="631"/>
      <c r="J40" s="745"/>
      <c r="K40" s="745"/>
      <c r="L40" s="631" t="s">
        <v>863</v>
      </c>
      <c r="M40" s="631">
        <v>2126</v>
      </c>
      <c r="N40" s="631">
        <v>9567</v>
      </c>
      <c r="O40" s="631">
        <v>13667.142857142857</v>
      </c>
      <c r="P40" s="631">
        <v>27334.285714285717</v>
      </c>
      <c r="Q40" s="631">
        <v>0</v>
      </c>
      <c r="R40" s="631">
        <v>0</v>
      </c>
      <c r="S40" s="631">
        <v>0</v>
      </c>
      <c r="T40" s="631">
        <v>0</v>
      </c>
      <c r="U40" s="631">
        <v>0</v>
      </c>
      <c r="V40" s="631">
        <v>0</v>
      </c>
      <c r="W40" s="631">
        <v>0</v>
      </c>
      <c r="X40" s="631"/>
      <c r="Y40" s="631">
        <v>1600</v>
      </c>
      <c r="Z40" s="631" t="s">
        <v>49</v>
      </c>
      <c r="AA40" s="633" t="s">
        <v>149</v>
      </c>
    </row>
    <row r="41" spans="1:27" s="585" customFormat="1" ht="25.5" hidden="1">
      <c r="A41" s="584"/>
      <c r="B41" s="746">
        <v>46003</v>
      </c>
      <c r="C41" s="746">
        <v>9120</v>
      </c>
      <c r="D41" s="632"/>
      <c r="E41" s="631"/>
      <c r="F41" s="631"/>
      <c r="G41" s="631" t="s">
        <v>861</v>
      </c>
      <c r="H41" s="631" t="s">
        <v>862</v>
      </c>
      <c r="I41" s="631"/>
      <c r="J41" s="745"/>
      <c r="K41" s="745"/>
      <c r="L41" s="631" t="s">
        <v>864</v>
      </c>
      <c r="M41" s="631">
        <v>2004</v>
      </c>
      <c r="N41" s="631">
        <v>9018</v>
      </c>
      <c r="O41" s="631">
        <v>12882.857142857143</v>
      </c>
      <c r="P41" s="631">
        <v>25765.714285714286</v>
      </c>
      <c r="Q41" s="631">
        <v>0</v>
      </c>
      <c r="R41" s="631">
        <v>0</v>
      </c>
      <c r="S41" s="631">
        <v>0</v>
      </c>
      <c r="T41" s="631">
        <v>0</v>
      </c>
      <c r="U41" s="631">
        <v>0</v>
      </c>
      <c r="V41" s="631">
        <v>0</v>
      </c>
      <c r="W41" s="631">
        <v>0</v>
      </c>
      <c r="X41" s="631"/>
      <c r="Y41" s="631">
        <v>400</v>
      </c>
      <c r="Z41" s="631" t="s">
        <v>36</v>
      </c>
      <c r="AA41" s="633" t="s">
        <v>373</v>
      </c>
    </row>
    <row r="42" spans="1:27" s="585" customFormat="1" ht="25.5" hidden="1">
      <c r="A42" s="584"/>
      <c r="B42" s="746">
        <v>46003</v>
      </c>
      <c r="C42" s="746">
        <v>9120</v>
      </c>
      <c r="D42" s="632"/>
      <c r="E42" s="631"/>
      <c r="F42" s="631"/>
      <c r="G42" s="631" t="s">
        <v>866</v>
      </c>
      <c r="H42" s="631" t="s">
        <v>862</v>
      </c>
      <c r="I42" s="631"/>
      <c r="J42" s="745"/>
      <c r="K42" s="745"/>
      <c r="L42" s="631" t="s">
        <v>864</v>
      </c>
      <c r="M42" s="631">
        <v>2987</v>
      </c>
      <c r="N42" s="631">
        <v>13441.5</v>
      </c>
      <c r="O42" s="631">
        <v>19202.142857142859</v>
      </c>
      <c r="P42" s="631">
        <v>38404.285714285717</v>
      </c>
      <c r="Q42" s="631">
        <v>0</v>
      </c>
      <c r="R42" s="631">
        <v>0</v>
      </c>
      <c r="S42" s="631">
        <v>0</v>
      </c>
      <c r="T42" s="631">
        <v>0</v>
      </c>
      <c r="U42" s="631">
        <v>0</v>
      </c>
      <c r="V42" s="631">
        <v>0</v>
      </c>
      <c r="W42" s="631">
        <v>0</v>
      </c>
      <c r="X42" s="631"/>
      <c r="Y42" s="631">
        <v>16000</v>
      </c>
      <c r="Z42" s="631" t="s">
        <v>32</v>
      </c>
      <c r="AA42" s="633" t="s">
        <v>373</v>
      </c>
    </row>
    <row r="43" spans="1:27" s="585" customFormat="1" ht="25.5" hidden="1">
      <c r="A43" s="584"/>
      <c r="B43" s="746">
        <v>46003</v>
      </c>
      <c r="C43" s="746">
        <v>9120</v>
      </c>
      <c r="D43" s="632"/>
      <c r="E43" s="631"/>
      <c r="F43" s="631"/>
      <c r="G43" s="631" t="s">
        <v>866</v>
      </c>
      <c r="H43" s="631" t="s">
        <v>862</v>
      </c>
      <c r="I43" s="631"/>
      <c r="J43" s="745"/>
      <c r="K43" s="745"/>
      <c r="L43" s="631" t="s">
        <v>864</v>
      </c>
      <c r="M43" s="631">
        <v>9.5399999999999991</v>
      </c>
      <c r="N43" s="631">
        <v>42.93</v>
      </c>
      <c r="O43" s="631">
        <v>61.328571428571429</v>
      </c>
      <c r="P43" s="631">
        <v>122.65714285714286</v>
      </c>
      <c r="Q43" s="631">
        <v>0</v>
      </c>
      <c r="R43" s="631">
        <v>0</v>
      </c>
      <c r="S43" s="631">
        <v>0</v>
      </c>
      <c r="T43" s="631">
        <v>0</v>
      </c>
      <c r="U43" s="631">
        <v>0</v>
      </c>
      <c r="V43" s="631">
        <v>0</v>
      </c>
      <c r="W43" s="631">
        <v>0</v>
      </c>
      <c r="X43" s="631"/>
      <c r="Y43" s="631">
        <v>1100</v>
      </c>
      <c r="Z43" s="631" t="s">
        <v>154</v>
      </c>
      <c r="AA43" s="633" t="s">
        <v>149</v>
      </c>
    </row>
    <row r="44" spans="1:27" s="585" customFormat="1" ht="25.5" hidden="1">
      <c r="A44" s="584"/>
      <c r="B44" s="746">
        <v>46003</v>
      </c>
      <c r="C44" s="746">
        <v>9120</v>
      </c>
      <c r="D44" s="632"/>
      <c r="E44" s="631"/>
      <c r="F44" s="631"/>
      <c r="G44" s="631" t="s">
        <v>866</v>
      </c>
      <c r="H44" s="631" t="s">
        <v>862</v>
      </c>
      <c r="I44" s="631"/>
      <c r="J44" s="745"/>
      <c r="K44" s="745"/>
      <c r="L44" s="631" t="s">
        <v>864</v>
      </c>
      <c r="M44" s="631">
        <v>1501</v>
      </c>
      <c r="N44" s="631">
        <v>6754.4999999999991</v>
      </c>
      <c r="O44" s="631">
        <v>9649.2857142857138</v>
      </c>
      <c r="P44" s="631">
        <v>0</v>
      </c>
      <c r="Q44" s="631">
        <v>19298.571428571428</v>
      </c>
      <c r="R44" s="631">
        <v>0</v>
      </c>
      <c r="S44" s="631">
        <v>0</v>
      </c>
      <c r="T44" s="631">
        <v>0</v>
      </c>
      <c r="U44" s="631">
        <v>0</v>
      </c>
      <c r="V44" s="631">
        <v>0</v>
      </c>
      <c r="W44" s="631">
        <v>0</v>
      </c>
      <c r="X44" s="631"/>
      <c r="Y44" s="631">
        <v>10</v>
      </c>
      <c r="Z44" s="631" t="s">
        <v>105</v>
      </c>
      <c r="AA44" s="633" t="s">
        <v>105</v>
      </c>
    </row>
    <row r="45" spans="1:27" s="565" customFormat="1" hidden="1">
      <c r="A45" s="587" t="s">
        <v>269</v>
      </c>
      <c r="B45" s="588"/>
      <c r="C45" s="588"/>
      <c r="D45" s="588"/>
      <c r="E45" s="588"/>
      <c r="F45" s="588"/>
      <c r="G45" s="588"/>
      <c r="H45" s="588"/>
      <c r="I45" s="588"/>
      <c r="J45" s="588"/>
      <c r="K45" s="588"/>
      <c r="L45" s="589"/>
      <c r="M45" s="589">
        <f>SUM(M28:M44)</f>
        <v>30742.240000000002</v>
      </c>
      <c r="N45" s="589">
        <f>SUM(N28:N44)</f>
        <v>138340.07999999999</v>
      </c>
      <c r="O45" s="589">
        <f>SUM(O28:O44)</f>
        <v>197628.68571428573</v>
      </c>
      <c r="P45" s="589">
        <f>SUM(P28:P44)</f>
        <v>255311.2285714286</v>
      </c>
      <c r="Q45" s="589">
        <f>SUM(Q28:Q44)</f>
        <v>139946.14285714287</v>
      </c>
      <c r="R45" s="589">
        <f>SUM(R28:R44)</f>
        <v>0</v>
      </c>
      <c r="S45" s="589">
        <f>SUM(S28:S44)</f>
        <v>0</v>
      </c>
      <c r="T45" s="589">
        <f>SUM(T28:T44)</f>
        <v>0</v>
      </c>
      <c r="U45" s="589">
        <f>SUM(U28:U44)</f>
        <v>0</v>
      </c>
      <c r="V45" s="589">
        <f>SUM(V28:V44)</f>
        <v>0</v>
      </c>
      <c r="W45" s="589">
        <f>SUM(W28:W44)</f>
        <v>0</v>
      </c>
      <c r="X45" s="589"/>
      <c r="Y45" s="590"/>
      <c r="Z45" s="590"/>
      <c r="AA45" s="591"/>
    </row>
    <row r="46" spans="1:27" s="565" customFormat="1">
      <c r="A46" s="587" t="s">
        <v>276</v>
      </c>
      <c r="B46" s="588"/>
      <c r="C46" s="588"/>
      <c r="D46" s="588"/>
      <c r="E46" s="588"/>
      <c r="F46" s="588"/>
      <c r="G46" s="588"/>
      <c r="H46" s="588"/>
      <c r="I46" s="588"/>
      <c r="J46" s="588"/>
      <c r="K46" s="588"/>
      <c r="L46" s="589"/>
      <c r="M46" s="589">
        <f>SUMIF($AA$28:$AA$44,"industrie",M28:M44)</f>
        <v>6180</v>
      </c>
      <c r="N46" s="589">
        <f>SUMIF($AA$28:$AA$44,"industrie",N28:N44)</f>
        <v>27810</v>
      </c>
      <c r="O46" s="589">
        <f>SUMIF($AA$28:$AA$44,"industrie",O28:O44)</f>
        <v>39728.571428571435</v>
      </c>
      <c r="P46" s="589">
        <f>SUMIF($AA$28:$AA$44,"industrie",P28:P44)</f>
        <v>64170</v>
      </c>
      <c r="Q46" s="589">
        <f>SUMIF($AA$28:$AA$44,"industrie",Q28:Q44)</f>
        <v>15287.142857142859</v>
      </c>
      <c r="R46" s="589">
        <f>SUMIF($AA$28:$AA$44,"industrie",R28:R44)</f>
        <v>0</v>
      </c>
      <c r="S46" s="589">
        <f>SUMIF($AA$28:$AA$44,"industrie",S28:S44)</f>
        <v>0</v>
      </c>
      <c r="T46" s="589">
        <f>SUMIF($AA$28:$AA$44,"industrie",T28:T44)</f>
        <v>0</v>
      </c>
      <c r="U46" s="589">
        <f>SUMIF($AA$28:$AA$44,"industrie",U28:U44)</f>
        <v>0</v>
      </c>
      <c r="V46" s="589">
        <f>SUMIF($AA$28:$AA$44,"industrie",V28:V44)</f>
        <v>0</v>
      </c>
      <c r="W46" s="589">
        <f>SUMIF($AA$28:$AA$44,"industrie",W28:W44)</f>
        <v>0</v>
      </c>
      <c r="X46" s="589"/>
      <c r="Y46" s="590"/>
      <c r="Z46" s="590"/>
      <c r="AA46" s="591"/>
    </row>
    <row r="47" spans="1:27" s="565" customFormat="1">
      <c r="A47" s="587" t="s">
        <v>277</v>
      </c>
      <c r="B47" s="588"/>
      <c r="C47" s="588"/>
      <c r="D47" s="588"/>
      <c r="E47" s="588"/>
      <c r="F47" s="588"/>
      <c r="G47" s="588"/>
      <c r="H47" s="588"/>
      <c r="I47" s="588"/>
      <c r="J47" s="588"/>
      <c r="K47" s="588"/>
      <c r="L47" s="589"/>
      <c r="M47" s="589">
        <f ca="1">SUMIF($AA$28:AD44,"tertiair",M28:M44)</f>
        <v>5376.54</v>
      </c>
      <c r="N47" s="589">
        <f ca="1">SUMIF($AA$28:AE44,"tertiair",N28:N44)</f>
        <v>24194.43</v>
      </c>
      <c r="O47" s="589">
        <f ca="1">SUMIF($AA$28:AF44,"tertiair",O28:O44)</f>
        <v>34563.471428571429</v>
      </c>
      <c r="P47" s="589">
        <f ca="1">SUMIF($AA$28:AG44,"tertiair",P28:P44)</f>
        <v>30889.800000000007</v>
      </c>
      <c r="Q47" s="589">
        <f ca="1">SUMIF($AA$28:AH44,"tertiair",Q28:Q44)</f>
        <v>38237.142857142862</v>
      </c>
      <c r="R47" s="589">
        <f ca="1">SUMIF($AA$28:AI44,"tertiair",R28:R44)</f>
        <v>0</v>
      </c>
      <c r="S47" s="589">
        <f ca="1">SUMIF($AA$28:AJ44,"tertiair",S28:S44)</f>
        <v>0</v>
      </c>
      <c r="T47" s="589">
        <f ca="1">SUMIF($AA$28:AK44,"tertiair",T28:T44)</f>
        <v>0</v>
      </c>
      <c r="U47" s="589">
        <f ca="1">SUMIF($AA$28:AL44,"tertiair",U28:U44)</f>
        <v>0</v>
      </c>
      <c r="V47" s="589">
        <f ca="1">SUMIF($AA$28:AM44,"tertiair",V28:V44)</f>
        <v>0</v>
      </c>
      <c r="W47" s="589">
        <f ca="1">SUMIF($AA$28:AN44,"tertiair",W28:W44)</f>
        <v>0</v>
      </c>
      <c r="X47" s="589"/>
      <c r="Y47" s="590"/>
      <c r="Z47" s="590"/>
      <c r="AA47" s="591"/>
    </row>
    <row r="48" spans="1:27" s="565" customFormat="1" ht="15.75" thickBot="1">
      <c r="A48" s="592" t="s">
        <v>278</v>
      </c>
      <c r="B48" s="593"/>
      <c r="C48" s="593"/>
      <c r="D48" s="593"/>
      <c r="E48" s="593"/>
      <c r="F48" s="593"/>
      <c r="G48" s="593"/>
      <c r="H48" s="593"/>
      <c r="I48" s="593"/>
      <c r="J48" s="593"/>
      <c r="K48" s="593"/>
      <c r="L48" s="594"/>
      <c r="M48" s="594">
        <f>SUMIF($AA$28:$AA$44,"landbouw",M28:M44)</f>
        <v>19185.7</v>
      </c>
      <c r="N48" s="594">
        <f>SUMIF($AA$28:$AA$44,"landbouw",N28:N44)</f>
        <v>86335.65</v>
      </c>
      <c r="O48" s="594">
        <f>SUMIF($AA$28:$AA$44,"landbouw",O28:O44)</f>
        <v>123336.64285714286</v>
      </c>
      <c r="P48" s="594">
        <f>SUMIF($AA$28:$AA$44,"landbouw",P28:P44)</f>
        <v>160251.42857142861</v>
      </c>
      <c r="Q48" s="594">
        <f>SUMIF($AA$28:$AA$44,"landbouw",Q28:Q44)</f>
        <v>86421.857142857159</v>
      </c>
      <c r="R48" s="594">
        <f>SUMIF($AA$28:$AA$44,"landbouw",R28:R44)</f>
        <v>0</v>
      </c>
      <c r="S48" s="594">
        <f>SUMIF($AA$28:$AA$44,"landbouw",S28:S44)</f>
        <v>0</v>
      </c>
      <c r="T48" s="594">
        <f>SUMIF($AA$28:$AA$44,"landbouw",T28:T44)</f>
        <v>0</v>
      </c>
      <c r="U48" s="594">
        <f>SUMIF($AA$28:$AA$44,"landbouw",U28:U44)</f>
        <v>0</v>
      </c>
      <c r="V48" s="594">
        <f>SUMIF($AA$28:$AA$44,"landbouw",V28:V44)</f>
        <v>0</v>
      </c>
      <c r="W48" s="594">
        <f>SUMIF($AA$28:$AA$44,"landbouw",W28:W44)</f>
        <v>0</v>
      </c>
      <c r="X48" s="594"/>
      <c r="Y48" s="595"/>
      <c r="Z48" s="595"/>
      <c r="AA48" s="596"/>
    </row>
    <row r="49" spans="1:28" s="526" customFormat="1" ht="15.75" thickBot="1">
      <c r="A49" s="597"/>
      <c r="B49" s="598"/>
      <c r="C49" s="598"/>
      <c r="D49" s="598"/>
      <c r="E49" s="598"/>
      <c r="F49" s="598"/>
      <c r="G49" s="598"/>
      <c r="H49" s="598"/>
      <c r="I49" s="598"/>
      <c r="J49" s="598"/>
      <c r="K49" s="598"/>
      <c r="L49" s="581"/>
      <c r="M49" s="581"/>
      <c r="N49" s="581"/>
      <c r="O49" s="582"/>
      <c r="P49" s="582"/>
    </row>
    <row r="50" spans="1:28" s="526" customFormat="1" ht="45">
      <c r="A50" s="599" t="s">
        <v>270</v>
      </c>
      <c r="B50" s="628" t="s">
        <v>89</v>
      </c>
      <c r="C50" s="628" t="s">
        <v>90</v>
      </c>
      <c r="D50" s="628"/>
      <c r="E50" s="628"/>
      <c r="F50" s="628"/>
      <c r="G50" s="628" t="s">
        <v>91</v>
      </c>
      <c r="H50" s="628" t="s">
        <v>92</v>
      </c>
      <c r="I50" s="628"/>
      <c r="J50" s="628"/>
      <c r="K50" s="628"/>
      <c r="L50" s="628" t="s">
        <v>93</v>
      </c>
      <c r="M50" s="629" t="s">
        <v>287</v>
      </c>
      <c r="N50" s="629" t="s">
        <v>94</v>
      </c>
      <c r="O50" s="629" t="s">
        <v>95</v>
      </c>
      <c r="P50" s="629" t="s">
        <v>510</v>
      </c>
      <c r="Q50" s="629" t="s">
        <v>96</v>
      </c>
      <c r="R50" s="629" t="s">
        <v>97</v>
      </c>
      <c r="S50" s="629" t="s">
        <v>98</v>
      </c>
      <c r="T50" s="629" t="s">
        <v>99</v>
      </c>
      <c r="U50" s="629" t="s">
        <v>100</v>
      </c>
      <c r="V50" s="629" t="s">
        <v>101</v>
      </c>
      <c r="W50" s="628" t="s">
        <v>102</v>
      </c>
      <c r="X50" s="628" t="s">
        <v>860</v>
      </c>
      <c r="Y50" s="628" t="s">
        <v>288</v>
      </c>
      <c r="Z50" s="628" t="s">
        <v>103</v>
      </c>
      <c r="AA50" s="630" t="s">
        <v>289</v>
      </c>
    </row>
    <row r="51" spans="1:28" s="600" customFormat="1" ht="12.75" hidden="1">
      <c r="A51" s="586"/>
      <c r="B51" s="746"/>
      <c r="C51" s="746"/>
      <c r="D51" s="634"/>
      <c r="E51" s="634"/>
      <c r="F51" s="634"/>
      <c r="G51" s="634"/>
      <c r="H51" s="634"/>
      <c r="I51" s="634"/>
      <c r="J51" s="745"/>
      <c r="K51" s="745"/>
      <c r="L51" s="634"/>
      <c r="M51" s="634"/>
      <c r="N51" s="634"/>
      <c r="O51" s="634"/>
      <c r="P51" s="634"/>
      <c r="Q51" s="634"/>
      <c r="R51" s="634"/>
      <c r="S51" s="634"/>
      <c r="T51" s="634"/>
      <c r="U51" s="634"/>
      <c r="V51" s="634"/>
      <c r="W51" s="634"/>
      <c r="X51" s="634"/>
      <c r="Y51" s="634"/>
      <c r="Z51" s="634"/>
      <c r="AA51" s="635"/>
    </row>
    <row r="52" spans="1:28" s="565" customFormat="1" hidden="1">
      <c r="A52" s="587" t="s">
        <v>269</v>
      </c>
      <c r="B52" s="588"/>
      <c r="C52" s="588"/>
      <c r="D52" s="588"/>
      <c r="E52" s="588"/>
      <c r="F52" s="588"/>
      <c r="G52" s="588"/>
      <c r="H52" s="588"/>
      <c r="I52" s="588"/>
      <c r="J52" s="588"/>
      <c r="K52" s="588"/>
      <c r="L52" s="589"/>
      <c r="M52" s="589">
        <f>SUM(M51:M51)</f>
        <v>0</v>
      </c>
      <c r="N52" s="589">
        <f>SUM(N51:N51)</f>
        <v>0</v>
      </c>
      <c r="O52" s="589">
        <f>SUM(O51:O51)</f>
        <v>0</v>
      </c>
      <c r="P52" s="589">
        <f>SUM(P51:P51)</f>
        <v>0</v>
      </c>
      <c r="Q52" s="589">
        <f>SUM(Q51:Q51)</f>
        <v>0</v>
      </c>
      <c r="R52" s="589">
        <f>SUM(R51:R51)</f>
        <v>0</v>
      </c>
      <c r="S52" s="589">
        <f>SUM(S51:S51)</f>
        <v>0</v>
      </c>
      <c r="T52" s="589">
        <f>SUM(T51:T51)</f>
        <v>0</v>
      </c>
      <c r="U52" s="589">
        <f>SUM(U51:U51)</f>
        <v>0</v>
      </c>
      <c r="V52" s="589">
        <f>SUM(V51:V51)</f>
        <v>0</v>
      </c>
      <c r="W52" s="589">
        <f>SUM(W51:W51)</f>
        <v>0</v>
      </c>
      <c r="X52" s="589"/>
      <c r="Y52" s="590"/>
      <c r="Z52" s="590"/>
      <c r="AA52" s="591"/>
    </row>
    <row r="53" spans="1:28" s="565" customFormat="1">
      <c r="A53" s="587" t="s">
        <v>276</v>
      </c>
      <c r="B53" s="588"/>
      <c r="C53" s="588"/>
      <c r="D53" s="588"/>
      <c r="E53" s="588"/>
      <c r="F53" s="588"/>
      <c r="G53" s="588"/>
      <c r="H53" s="588"/>
      <c r="I53" s="588"/>
      <c r="J53" s="588"/>
      <c r="K53" s="588"/>
      <c r="L53" s="589"/>
      <c r="M53" s="589">
        <f>SUMIF($AA$51:$AA$51,"industrie",M51:M51)</f>
        <v>0</v>
      </c>
      <c r="N53" s="589">
        <f>SUMIF($AA$51:$AA$51,"industrie",N51:N51)</f>
        <v>0</v>
      </c>
      <c r="O53" s="589">
        <f>SUMIF($AA$51:$AA$51,"industrie",O51:O51)</f>
        <v>0</v>
      </c>
      <c r="P53" s="589">
        <f>SUMIF($AA$51:$AA$51,"industrie",P51:P51)</f>
        <v>0</v>
      </c>
      <c r="Q53" s="589">
        <f>SUMIF($AA$51:$AA$51,"industrie",Q51:Q51)</f>
        <v>0</v>
      </c>
      <c r="R53" s="589">
        <f>SUMIF($AA$51:$AA$51,"industrie",R51:R51)</f>
        <v>0</v>
      </c>
      <c r="S53" s="589">
        <f>SUMIF($AA$51:$AA$51,"industrie",S51:S51)</f>
        <v>0</v>
      </c>
      <c r="T53" s="589">
        <f>SUMIF($AA$51:$AA$51,"industrie",T51:T51)</f>
        <v>0</v>
      </c>
      <c r="U53" s="589">
        <f>SUMIF($AA$51:$AA$51,"industrie",U51:U51)</f>
        <v>0</v>
      </c>
      <c r="V53" s="589">
        <f>SUMIF($AA$51:$AA$51,"industrie",V51:V51)</f>
        <v>0</v>
      </c>
      <c r="W53" s="589">
        <f>SUMIF($AA$51:$AA$51,"industrie",W51:W51)</f>
        <v>0</v>
      </c>
      <c r="X53" s="589"/>
      <c r="Y53" s="590"/>
      <c r="Z53" s="590"/>
      <c r="AA53" s="591"/>
    </row>
    <row r="54" spans="1:28" s="565" customFormat="1">
      <c r="A54" s="587" t="s">
        <v>277</v>
      </c>
      <c r="B54" s="588"/>
      <c r="C54" s="588"/>
      <c r="D54" s="588"/>
      <c r="E54" s="588"/>
      <c r="F54" s="588"/>
      <c r="G54" s="588"/>
      <c r="H54" s="588"/>
      <c r="I54" s="588"/>
      <c r="J54" s="588"/>
      <c r="K54" s="588"/>
      <c r="L54" s="589"/>
      <c r="M54" s="589">
        <f>SUMIF($AA$51:$AA$52,"tertiair",M51:M52)</f>
        <v>0</v>
      </c>
      <c r="N54" s="589">
        <f>SUMIF($AA$51:$AA$52,"tertiair",N51:N52)</f>
        <v>0</v>
      </c>
      <c r="O54" s="589">
        <f>SUMIF($AA$51:$AA$52,"tertiair",O51:O52)</f>
        <v>0</v>
      </c>
      <c r="P54" s="589">
        <f>SUMIF($AA$51:$AA$52,"tertiair",P51:P52)</f>
        <v>0</v>
      </c>
      <c r="Q54" s="589">
        <f>SUMIF($AA$51:$AA$52,"tertiair",Q51:Q52)</f>
        <v>0</v>
      </c>
      <c r="R54" s="589">
        <f>SUMIF($AA$51:$AA$52,"tertiair",R51:R52)</f>
        <v>0</v>
      </c>
      <c r="S54" s="589">
        <f>SUMIF($AA$51:$AA$52,"tertiair",S51:S52)</f>
        <v>0</v>
      </c>
      <c r="T54" s="589">
        <f>SUMIF($AA$51:$AA$52,"tertiair",T51:T52)</f>
        <v>0</v>
      </c>
      <c r="U54" s="589">
        <f>SUMIF($AA$51:$AA$52,"tertiair",U51:U52)</f>
        <v>0</v>
      </c>
      <c r="V54" s="589">
        <f>SUMIF($AA$51:$AA$52,"tertiair",V51:V52)</f>
        <v>0</v>
      </c>
      <c r="W54" s="589">
        <f>SUMIF($AA$51:$AA$52,"tertiair",W51:W52)</f>
        <v>0</v>
      </c>
      <c r="X54" s="589"/>
      <c r="Y54" s="590"/>
      <c r="Z54" s="590"/>
      <c r="AA54" s="591"/>
    </row>
    <row r="55" spans="1:28" s="565" customFormat="1" ht="15.75" thickBot="1">
      <c r="A55" s="592" t="s">
        <v>278</v>
      </c>
      <c r="B55" s="593"/>
      <c r="C55" s="593"/>
      <c r="D55" s="593"/>
      <c r="E55" s="593"/>
      <c r="F55" s="593"/>
      <c r="G55" s="593"/>
      <c r="H55" s="593"/>
      <c r="I55" s="593"/>
      <c r="J55" s="593"/>
      <c r="K55" s="593"/>
      <c r="L55" s="594"/>
      <c r="M55" s="594">
        <f>SUMIF($AA$51:$AA$53,"landbouw",M51:M53)</f>
        <v>0</v>
      </c>
      <c r="N55" s="594">
        <f>SUMIF($AA$51:$AA$53,"landbouw",N51:N53)</f>
        <v>0</v>
      </c>
      <c r="O55" s="594">
        <f>SUMIF($AA$51:$AA$53,"landbouw",O51:O53)</f>
        <v>0</v>
      </c>
      <c r="P55" s="594">
        <f>SUMIF($AA$51:$AA$53,"landbouw",P51:P53)</f>
        <v>0</v>
      </c>
      <c r="Q55" s="594">
        <f>SUMIF($AA$51:$AA$53,"landbouw",Q51:Q53)</f>
        <v>0</v>
      </c>
      <c r="R55" s="594">
        <f>SUMIF($AA$51:$AA$53,"landbouw",R51:R53)</f>
        <v>0</v>
      </c>
      <c r="S55" s="594">
        <f>SUMIF($AA$51:$AA$53,"landbouw",S51:S53)</f>
        <v>0</v>
      </c>
      <c r="T55" s="594">
        <f>SUMIF($AA$51:$AA$53,"landbouw",T51:T53)</f>
        <v>0</v>
      </c>
      <c r="U55" s="594">
        <f>SUMIF($AA$51:$AA$53,"landbouw",U51:U53)</f>
        <v>0</v>
      </c>
      <c r="V55" s="594">
        <f>SUMIF($AA$51:$AA$53,"landbouw",V51:V53)</f>
        <v>0</v>
      </c>
      <c r="W55" s="594">
        <f>SUMIF($AA$51:$AA$53,"landbouw",W51:W53)</f>
        <v>0</v>
      </c>
      <c r="X55" s="594"/>
      <c r="Y55" s="595"/>
      <c r="Z55" s="595"/>
      <c r="AA55" s="596"/>
    </row>
    <row r="56" spans="1:28" s="601" customFormat="1">
      <c r="A56" s="597"/>
      <c r="B56" s="581"/>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row>
    <row r="57" spans="1:28" s="601" customFormat="1" ht="15.75" thickBot="1">
      <c r="A57" s="597"/>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c r="AA57" s="581"/>
      <c r="AB57" s="581"/>
    </row>
    <row r="58" spans="1:28">
      <c r="A58" s="602" t="s">
        <v>271</v>
      </c>
      <c r="B58" s="603"/>
      <c r="C58" s="603"/>
      <c r="D58" s="603"/>
      <c r="E58" s="603"/>
      <c r="F58" s="603"/>
      <c r="G58" s="603"/>
      <c r="H58" s="603"/>
      <c r="I58" s="604"/>
      <c r="J58" s="605"/>
      <c r="K58" s="605"/>
      <c r="L58" s="606"/>
      <c r="M58" s="606"/>
      <c r="N58" s="606"/>
      <c r="O58" s="606"/>
      <c r="P58" s="606"/>
    </row>
    <row r="59" spans="1:28">
      <c r="A59" s="608"/>
      <c r="B59" s="598"/>
      <c r="C59" s="598"/>
      <c r="D59" s="598"/>
      <c r="E59" s="598"/>
      <c r="F59" s="598"/>
      <c r="G59" s="598"/>
      <c r="H59" s="598"/>
      <c r="I59" s="609"/>
      <c r="J59" s="598"/>
      <c r="K59" s="598"/>
      <c r="L59" s="606"/>
      <c r="M59" s="606"/>
      <c r="N59" s="606"/>
      <c r="O59" s="606"/>
      <c r="P59" s="606"/>
    </row>
    <row r="60" spans="1:28">
      <c r="A60" s="610"/>
      <c r="B60" s="611" t="s">
        <v>272</v>
      </c>
      <c r="C60" s="611" t="s">
        <v>273</v>
      </c>
      <c r="D60" s="611"/>
      <c r="E60" s="611"/>
      <c r="F60" s="611"/>
      <c r="G60" s="611"/>
      <c r="H60" s="611"/>
      <c r="I60" s="612"/>
      <c r="J60" s="611"/>
      <c r="K60" s="611"/>
      <c r="L60" s="611"/>
      <c r="M60" s="611"/>
      <c r="N60" s="611"/>
      <c r="O60" s="611"/>
      <c r="P60" s="606"/>
    </row>
    <row r="61" spans="1:28">
      <c r="A61" s="608" t="s">
        <v>269</v>
      </c>
      <c r="B61" s="613">
        <f>IF(ISERROR(O45/(O45+N45)),0,O45/(O45+N45))</f>
        <v>0.58823529411764708</v>
      </c>
      <c r="C61" s="614">
        <f>IF(ISERROR(N45/(O45+N45)),0,N45/(N45+O45))</f>
        <v>0.41176470588235292</v>
      </c>
      <c r="D61" s="581"/>
      <c r="E61" s="581"/>
      <c r="F61" s="581"/>
      <c r="G61" s="581"/>
      <c r="H61" s="581"/>
      <c r="I61" s="615"/>
      <c r="J61" s="581"/>
      <c r="K61" s="581"/>
      <c r="L61" s="616"/>
      <c r="M61" s="616"/>
      <c r="N61" s="616"/>
      <c r="O61" s="616"/>
      <c r="P61" s="606"/>
    </row>
    <row r="62" spans="1:28">
      <c r="A62" s="608"/>
      <c r="B62" s="617"/>
      <c r="C62" s="617"/>
      <c r="D62" s="617"/>
      <c r="E62" s="617"/>
      <c r="F62" s="617"/>
      <c r="G62" s="617"/>
      <c r="H62" s="617"/>
      <c r="I62" s="618"/>
      <c r="J62" s="617"/>
      <c r="K62" s="617"/>
      <c r="L62" s="619"/>
      <c r="M62" s="619"/>
      <c r="N62" s="619"/>
      <c r="O62" s="619"/>
      <c r="P62" s="606"/>
    </row>
    <row r="63" spans="1:28" ht="30">
      <c r="A63" s="620"/>
      <c r="B63" s="621" t="s">
        <v>510</v>
      </c>
      <c r="C63" s="621" t="s">
        <v>96</v>
      </c>
      <c r="D63" s="621" t="s">
        <v>97</v>
      </c>
      <c r="E63" s="621" t="s">
        <v>98</v>
      </c>
      <c r="F63" s="621" t="s">
        <v>99</v>
      </c>
      <c r="G63" s="621" t="s">
        <v>100</v>
      </c>
      <c r="H63" s="621" t="s">
        <v>101</v>
      </c>
      <c r="I63" s="622" t="s">
        <v>102</v>
      </c>
      <c r="J63" s="611"/>
      <c r="K63" s="611"/>
      <c r="L63" s="619"/>
      <c r="M63" s="619"/>
      <c r="N63" s="619"/>
      <c r="O63" s="606"/>
      <c r="P63" s="606"/>
    </row>
    <row r="64" spans="1:28">
      <c r="A64" s="610" t="s">
        <v>274</v>
      </c>
      <c r="B64" s="623">
        <f t="shared" ref="B64:I64" si="2">$C$61*P45</f>
        <v>105128.15294117648</v>
      </c>
      <c r="C64" s="623">
        <f t="shared" si="2"/>
        <v>57624.882352941182</v>
      </c>
      <c r="D64" s="623">
        <f t="shared" si="2"/>
        <v>0</v>
      </c>
      <c r="E64" s="623">
        <f t="shared" si="2"/>
        <v>0</v>
      </c>
      <c r="F64" s="623">
        <f t="shared" si="2"/>
        <v>0</v>
      </c>
      <c r="G64" s="623">
        <f t="shared" si="2"/>
        <v>0</v>
      </c>
      <c r="H64" s="623">
        <f t="shared" si="2"/>
        <v>0</v>
      </c>
      <c r="I64" s="624">
        <f t="shared" si="2"/>
        <v>0</v>
      </c>
      <c r="J64" s="581"/>
      <c r="K64" s="581"/>
      <c r="L64" s="619"/>
      <c r="M64" s="619"/>
      <c r="N64" s="619"/>
      <c r="O64" s="606"/>
      <c r="P64" s="606"/>
    </row>
    <row r="65" spans="1:16" ht="15.75" thickBot="1">
      <c r="A65" s="625" t="s">
        <v>275</v>
      </c>
      <c r="B65" s="626">
        <f t="shared" ref="B65:I65" si="3">$B$61*P45</f>
        <v>150183.07563025213</v>
      </c>
      <c r="C65" s="626">
        <f t="shared" si="3"/>
        <v>82321.260504201695</v>
      </c>
      <c r="D65" s="626">
        <f t="shared" si="3"/>
        <v>0</v>
      </c>
      <c r="E65" s="626">
        <f t="shared" si="3"/>
        <v>0</v>
      </c>
      <c r="F65" s="626">
        <f t="shared" si="3"/>
        <v>0</v>
      </c>
      <c r="G65" s="626">
        <f t="shared" si="3"/>
        <v>0</v>
      </c>
      <c r="H65" s="626">
        <f t="shared" si="3"/>
        <v>0</v>
      </c>
      <c r="I65" s="627">
        <f t="shared" si="3"/>
        <v>0</v>
      </c>
      <c r="J65" s="581"/>
      <c r="K65" s="581"/>
      <c r="L65" s="619"/>
      <c r="M65" s="619"/>
      <c r="N65" s="619"/>
      <c r="O65" s="606"/>
      <c r="P65" s="606"/>
    </row>
    <row r="66" spans="1:16">
      <c r="J66" s="561"/>
      <c r="K66" s="561"/>
      <c r="L66" s="561"/>
      <c r="M66" s="561"/>
      <c r="N66" s="561"/>
    </row>
    <row r="67" spans="1:16">
      <c r="J67" s="561"/>
      <c r="K67" s="561"/>
      <c r="L67" s="561"/>
      <c r="M67" s="561"/>
      <c r="N67"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198071.7863042856</v>
      </c>
      <c r="D10" s="642">
        <f ca="1">tertiair!C16</f>
        <v>34563.471428571429</v>
      </c>
      <c r="E10" s="642">
        <f ca="1">tertiair!D16</f>
        <v>88422.451818834408</v>
      </c>
      <c r="F10" s="642">
        <f>tertiair!E16</f>
        <v>317.02147050555391</v>
      </c>
      <c r="G10" s="642">
        <f ca="1">tertiair!F16</f>
        <v>28298.408326568904</v>
      </c>
      <c r="H10" s="642">
        <f>tertiair!G16</f>
        <v>0</v>
      </c>
      <c r="I10" s="642">
        <f>tertiair!H16</f>
        <v>0</v>
      </c>
      <c r="J10" s="642">
        <f>tertiair!I16</f>
        <v>0</v>
      </c>
      <c r="K10" s="642">
        <f>tertiair!J16</f>
        <v>0.14604010731491218</v>
      </c>
      <c r="L10" s="642">
        <f>tertiair!K16</f>
        <v>0</v>
      </c>
      <c r="M10" s="642">
        <f ca="1">tertiair!L16</f>
        <v>0</v>
      </c>
      <c r="N10" s="642">
        <f>tertiair!M16</f>
        <v>0</v>
      </c>
      <c r="O10" s="642">
        <f ca="1">tertiair!N16</f>
        <v>0</v>
      </c>
      <c r="P10" s="642">
        <f>tertiair!O16</f>
        <v>44.075346892570387</v>
      </c>
      <c r="Q10" s="643">
        <f>tertiair!P16</f>
        <v>945.70448951691037</v>
      </c>
      <c r="R10" s="645">
        <f ca="1">SUM(C10:Q10)</f>
        <v>350663.06522528268</v>
      </c>
      <c r="S10" s="67"/>
    </row>
    <row r="11" spans="1:19" s="441" customFormat="1">
      <c r="A11" s="762" t="s">
        <v>214</v>
      </c>
      <c r="B11" s="767"/>
      <c r="C11" s="642">
        <f>huishoudens!B8</f>
        <v>93544.00707982984</v>
      </c>
      <c r="D11" s="642">
        <f>huishoudens!C8</f>
        <v>0</v>
      </c>
      <c r="E11" s="642">
        <f>huishoudens!D8</f>
        <v>192411.90695635084</v>
      </c>
      <c r="F11" s="642">
        <f>huishoudens!E8</f>
        <v>4366.8640723181406</v>
      </c>
      <c r="G11" s="642">
        <f>huishoudens!F8</f>
        <v>71562.779410775824</v>
      </c>
      <c r="H11" s="642">
        <f>huishoudens!G8</f>
        <v>0</v>
      </c>
      <c r="I11" s="642">
        <f>huishoudens!H8</f>
        <v>0</v>
      </c>
      <c r="J11" s="642">
        <f>huishoudens!I8</f>
        <v>0</v>
      </c>
      <c r="K11" s="642">
        <f>huishoudens!J8</f>
        <v>394.99067644589655</v>
      </c>
      <c r="L11" s="642">
        <f>huishoudens!K8</f>
        <v>0</v>
      </c>
      <c r="M11" s="642">
        <f>huishoudens!L8</f>
        <v>0</v>
      </c>
      <c r="N11" s="642">
        <f>huishoudens!M8</f>
        <v>0</v>
      </c>
      <c r="O11" s="642">
        <f>huishoudens!N8</f>
        <v>24841.602655848041</v>
      </c>
      <c r="P11" s="642">
        <f>huishoudens!O8</f>
        <v>1728.0276090861048</v>
      </c>
      <c r="Q11" s="643">
        <f>huishoudens!P8</f>
        <v>1548.4920182296985</v>
      </c>
      <c r="R11" s="645">
        <f>SUM(C11:Q11)</f>
        <v>390398.67047888436</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110731.19413296341</v>
      </c>
      <c r="D13" s="642">
        <f>industrie!C18</f>
        <v>39728.571428571435</v>
      </c>
      <c r="E13" s="642">
        <f>industrie!D18</f>
        <v>0</v>
      </c>
      <c r="F13" s="642">
        <f>industrie!E18</f>
        <v>5097.2276133522673</v>
      </c>
      <c r="G13" s="642">
        <f>industrie!F18</f>
        <v>8305.539268462373</v>
      </c>
      <c r="H13" s="642">
        <f>industrie!G18</f>
        <v>0</v>
      </c>
      <c r="I13" s="642">
        <f>industrie!H18</f>
        <v>0</v>
      </c>
      <c r="J13" s="642">
        <f>industrie!I18</f>
        <v>0</v>
      </c>
      <c r="K13" s="642">
        <f>industrie!J18</f>
        <v>8.6667151912638545</v>
      </c>
      <c r="L13" s="642">
        <f>industrie!K18</f>
        <v>0</v>
      </c>
      <c r="M13" s="642">
        <f>industrie!L18</f>
        <v>0</v>
      </c>
      <c r="N13" s="642">
        <f>industrie!M18</f>
        <v>0</v>
      </c>
      <c r="O13" s="642">
        <f>industrie!N18</f>
        <v>0</v>
      </c>
      <c r="P13" s="642">
        <f>industrie!O18</f>
        <v>0</v>
      </c>
      <c r="Q13" s="643">
        <f>industrie!P18</f>
        <v>0</v>
      </c>
      <c r="R13" s="645">
        <f>SUM(C13:Q13)</f>
        <v>163871.19915854075</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402346.98751707887</v>
      </c>
      <c r="D16" s="678">
        <f t="shared" ref="D16:R16" ca="1" si="0">SUM(D9:D15)</f>
        <v>74292.042857142864</v>
      </c>
      <c r="E16" s="678">
        <f t="shared" ca="1" si="0"/>
        <v>280834.35877518525</v>
      </c>
      <c r="F16" s="678">
        <f t="shared" si="0"/>
        <v>9781.1131561759612</v>
      </c>
      <c r="G16" s="678">
        <f t="shared" ca="1" si="0"/>
        <v>108166.7270058071</v>
      </c>
      <c r="H16" s="678">
        <f t="shared" si="0"/>
        <v>0</v>
      </c>
      <c r="I16" s="678">
        <f t="shared" si="0"/>
        <v>0</v>
      </c>
      <c r="J16" s="678">
        <f t="shared" si="0"/>
        <v>0</v>
      </c>
      <c r="K16" s="678">
        <f t="shared" si="0"/>
        <v>403.80343174447529</v>
      </c>
      <c r="L16" s="678">
        <f t="shared" si="0"/>
        <v>0</v>
      </c>
      <c r="M16" s="678">
        <f t="shared" ca="1" si="0"/>
        <v>0</v>
      </c>
      <c r="N16" s="678">
        <f t="shared" si="0"/>
        <v>0</v>
      </c>
      <c r="O16" s="678">
        <f t="shared" ca="1" si="0"/>
        <v>24841.602655848041</v>
      </c>
      <c r="P16" s="678">
        <f t="shared" si="0"/>
        <v>1772.1029559786753</v>
      </c>
      <c r="Q16" s="678">
        <f t="shared" si="0"/>
        <v>2494.1965077466089</v>
      </c>
      <c r="R16" s="678">
        <f t="shared" ca="1" si="0"/>
        <v>904932.93486270774</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49.568082024654672</v>
      </c>
      <c r="D19" s="642">
        <f>transport!C54</f>
        <v>0</v>
      </c>
      <c r="E19" s="642">
        <f>transport!D54</f>
        <v>0</v>
      </c>
      <c r="F19" s="642">
        <f>transport!E54</f>
        <v>0</v>
      </c>
      <c r="G19" s="642">
        <f>transport!F54</f>
        <v>0</v>
      </c>
      <c r="H19" s="642">
        <f>transport!G54</f>
        <v>3538.0803900930787</v>
      </c>
      <c r="I19" s="642">
        <f>transport!H54</f>
        <v>0</v>
      </c>
      <c r="J19" s="642">
        <f>transport!I54</f>
        <v>0</v>
      </c>
      <c r="K19" s="642">
        <f>transport!J54</f>
        <v>0</v>
      </c>
      <c r="L19" s="642">
        <f>transport!K54</f>
        <v>0</v>
      </c>
      <c r="M19" s="642">
        <f>transport!L54</f>
        <v>0</v>
      </c>
      <c r="N19" s="642">
        <f>transport!M54</f>
        <v>195.3678241795734</v>
      </c>
      <c r="O19" s="642">
        <f>transport!N54</f>
        <v>0</v>
      </c>
      <c r="P19" s="642">
        <f>transport!O54</f>
        <v>0</v>
      </c>
      <c r="Q19" s="643">
        <f>transport!P54</f>
        <v>0</v>
      </c>
      <c r="R19" s="645">
        <f>SUM(C19:Q19)</f>
        <v>3783.0162962973068</v>
      </c>
      <c r="S19" s="67"/>
    </row>
    <row r="20" spans="1:19" s="441" customFormat="1">
      <c r="A20" s="762" t="s">
        <v>296</v>
      </c>
      <c r="B20" s="767"/>
      <c r="C20" s="642">
        <f>transport!B14</f>
        <v>1285.6910484709038</v>
      </c>
      <c r="D20" s="642">
        <f>transport!C14</f>
        <v>0</v>
      </c>
      <c r="E20" s="642">
        <f>transport!D14</f>
        <v>2207.9408398381584</v>
      </c>
      <c r="F20" s="642">
        <f>transport!E14</f>
        <v>1294.54282572068</v>
      </c>
      <c r="G20" s="642">
        <f>transport!F14</f>
        <v>0</v>
      </c>
      <c r="H20" s="642">
        <f>transport!G14</f>
        <v>867505.29844711081</v>
      </c>
      <c r="I20" s="642">
        <f>transport!H14</f>
        <v>147672.49280743359</v>
      </c>
      <c r="J20" s="642">
        <f>transport!I14</f>
        <v>0</v>
      </c>
      <c r="K20" s="642">
        <f>transport!J14</f>
        <v>0</v>
      </c>
      <c r="L20" s="642">
        <f>transport!K14</f>
        <v>0</v>
      </c>
      <c r="M20" s="642">
        <f>transport!L14</f>
        <v>0</v>
      </c>
      <c r="N20" s="642">
        <f>transport!M14</f>
        <v>59107.274390141967</v>
      </c>
      <c r="O20" s="642">
        <f>transport!N14</f>
        <v>0</v>
      </c>
      <c r="P20" s="642">
        <f>transport!O14</f>
        <v>0</v>
      </c>
      <c r="Q20" s="643">
        <f>transport!P14</f>
        <v>0</v>
      </c>
      <c r="R20" s="645">
        <f>SUM(C20:Q20)</f>
        <v>1079073.2403587161</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1335.2591304955583</v>
      </c>
      <c r="D22" s="765">
        <f t="shared" ref="D22:R22" si="1">SUM(D18:D21)</f>
        <v>0</v>
      </c>
      <c r="E22" s="765">
        <f t="shared" si="1"/>
        <v>2207.9408398381584</v>
      </c>
      <c r="F22" s="765">
        <f t="shared" si="1"/>
        <v>1294.54282572068</v>
      </c>
      <c r="G22" s="765">
        <f t="shared" si="1"/>
        <v>0</v>
      </c>
      <c r="H22" s="765">
        <f t="shared" si="1"/>
        <v>871043.37883720384</v>
      </c>
      <c r="I22" s="765">
        <f t="shared" si="1"/>
        <v>147672.49280743359</v>
      </c>
      <c r="J22" s="765">
        <f t="shared" si="1"/>
        <v>0</v>
      </c>
      <c r="K22" s="765">
        <f t="shared" si="1"/>
        <v>0</v>
      </c>
      <c r="L22" s="765">
        <f t="shared" si="1"/>
        <v>0</v>
      </c>
      <c r="M22" s="765">
        <f t="shared" si="1"/>
        <v>0</v>
      </c>
      <c r="N22" s="765">
        <f t="shared" si="1"/>
        <v>59302.642214321539</v>
      </c>
      <c r="O22" s="765">
        <f t="shared" si="1"/>
        <v>0</v>
      </c>
      <c r="P22" s="765">
        <f t="shared" si="1"/>
        <v>0</v>
      </c>
      <c r="Q22" s="765">
        <f t="shared" si="1"/>
        <v>0</v>
      </c>
      <c r="R22" s="765">
        <f t="shared" si="1"/>
        <v>1082856.2566550134</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12174.508447648001</v>
      </c>
      <c r="D24" s="642">
        <f>+landbouw!C8</f>
        <v>123336.64285714286</v>
      </c>
      <c r="E24" s="642">
        <f>+landbouw!D8</f>
        <v>0</v>
      </c>
      <c r="F24" s="642">
        <f>+landbouw!E8</f>
        <v>358.93892795277401</v>
      </c>
      <c r="G24" s="642">
        <f>+landbouw!F8</f>
        <v>38694.91453490228</v>
      </c>
      <c r="H24" s="642">
        <f>+landbouw!G8</f>
        <v>0</v>
      </c>
      <c r="I24" s="642">
        <f>+landbouw!H8</f>
        <v>0</v>
      </c>
      <c r="J24" s="642">
        <f>+landbouw!I8</f>
        <v>0</v>
      </c>
      <c r="K24" s="642">
        <f>+landbouw!J8</f>
        <v>3070.3362699275185</v>
      </c>
      <c r="L24" s="642">
        <f>+landbouw!K8</f>
        <v>0</v>
      </c>
      <c r="M24" s="642">
        <f>+landbouw!L8</f>
        <v>0</v>
      </c>
      <c r="N24" s="642">
        <f>+landbouw!M8</f>
        <v>0</v>
      </c>
      <c r="O24" s="642">
        <f>+landbouw!N8</f>
        <v>0</v>
      </c>
      <c r="P24" s="642">
        <f>+landbouw!O8</f>
        <v>0</v>
      </c>
      <c r="Q24" s="643">
        <f>+landbouw!P8</f>
        <v>0</v>
      </c>
      <c r="R24" s="645">
        <f>SUM(C24:Q24)</f>
        <v>177635.34103757347</v>
      </c>
      <c r="S24" s="67"/>
    </row>
    <row r="25" spans="1:19" s="441" customFormat="1" ht="15" thickBot="1">
      <c r="A25" s="784" t="s">
        <v>672</v>
      </c>
      <c r="B25" s="895"/>
      <c r="C25" s="896">
        <f>IF(Onbekend_ele_kWh="---",0,Onbekend_ele_kWh)/1000+IF(REST_rest_ele_kWh="---",0,REST_rest_ele_kWh)/1000</f>
        <v>9332.9741697937297</v>
      </c>
      <c r="D25" s="896"/>
      <c r="E25" s="896">
        <f>IF(onbekend_gas_kWh="---",0,onbekend_gas_kWh)/1000+IF(REST_rest_gas_kWh="---",0,REST_rest_gas_kWh)/1000</f>
        <v>5931.2420615935798</v>
      </c>
      <c r="F25" s="896"/>
      <c r="G25" s="896"/>
      <c r="H25" s="896"/>
      <c r="I25" s="896"/>
      <c r="J25" s="896"/>
      <c r="K25" s="896"/>
      <c r="L25" s="896"/>
      <c r="M25" s="896"/>
      <c r="N25" s="896"/>
      <c r="O25" s="896"/>
      <c r="P25" s="896"/>
      <c r="Q25" s="897"/>
      <c r="R25" s="645">
        <f>SUM(C25:Q25)</f>
        <v>15264.216231387309</v>
      </c>
      <c r="S25" s="67"/>
    </row>
    <row r="26" spans="1:19" s="441" customFormat="1" ht="15.75" thickBot="1">
      <c r="A26" s="650" t="s">
        <v>673</v>
      </c>
      <c r="B26" s="770"/>
      <c r="C26" s="765">
        <f>SUM(C24:C25)</f>
        <v>21507.482617441732</v>
      </c>
      <c r="D26" s="765">
        <f t="shared" ref="D26:R26" si="2">SUM(D24:D25)</f>
        <v>123336.64285714286</v>
      </c>
      <c r="E26" s="765">
        <f t="shared" si="2"/>
        <v>5931.2420615935798</v>
      </c>
      <c r="F26" s="765">
        <f t="shared" si="2"/>
        <v>358.93892795277401</v>
      </c>
      <c r="G26" s="765">
        <f t="shared" si="2"/>
        <v>38694.91453490228</v>
      </c>
      <c r="H26" s="765">
        <f t="shared" si="2"/>
        <v>0</v>
      </c>
      <c r="I26" s="765">
        <f t="shared" si="2"/>
        <v>0</v>
      </c>
      <c r="J26" s="765">
        <f t="shared" si="2"/>
        <v>0</v>
      </c>
      <c r="K26" s="765">
        <f t="shared" si="2"/>
        <v>3070.3362699275185</v>
      </c>
      <c r="L26" s="765">
        <f t="shared" si="2"/>
        <v>0</v>
      </c>
      <c r="M26" s="765">
        <f t="shared" si="2"/>
        <v>0</v>
      </c>
      <c r="N26" s="765">
        <f t="shared" si="2"/>
        <v>0</v>
      </c>
      <c r="O26" s="765">
        <f t="shared" si="2"/>
        <v>0</v>
      </c>
      <c r="P26" s="765">
        <f t="shared" si="2"/>
        <v>0</v>
      </c>
      <c r="Q26" s="765">
        <f t="shared" si="2"/>
        <v>0</v>
      </c>
      <c r="R26" s="765">
        <f t="shared" si="2"/>
        <v>192899.55726896078</v>
      </c>
      <c r="S26" s="67"/>
    </row>
    <row r="27" spans="1:19" s="441" customFormat="1" ht="17.25" thickTop="1" thickBot="1">
      <c r="A27" s="651" t="s">
        <v>109</v>
      </c>
      <c r="B27" s="757"/>
      <c r="C27" s="652">
        <f ca="1">C22+C16+C26</f>
        <v>425189.72926501615</v>
      </c>
      <c r="D27" s="652">
        <f t="shared" ref="D27:R27" ca="1" si="3">D22+D16+D26</f>
        <v>197628.6857142857</v>
      </c>
      <c r="E27" s="652">
        <f t="shared" ca="1" si="3"/>
        <v>288973.54167661699</v>
      </c>
      <c r="F27" s="652">
        <f t="shared" si="3"/>
        <v>11434.594909849415</v>
      </c>
      <c r="G27" s="652">
        <f t="shared" ca="1" si="3"/>
        <v>146861.64154070939</v>
      </c>
      <c r="H27" s="652">
        <f t="shared" si="3"/>
        <v>871043.37883720384</v>
      </c>
      <c r="I27" s="652">
        <f t="shared" si="3"/>
        <v>147672.49280743359</v>
      </c>
      <c r="J27" s="652">
        <f t="shared" si="3"/>
        <v>0</v>
      </c>
      <c r="K27" s="652">
        <f t="shared" si="3"/>
        <v>3474.1397016719939</v>
      </c>
      <c r="L27" s="652">
        <f t="shared" si="3"/>
        <v>0</v>
      </c>
      <c r="M27" s="652">
        <f t="shared" ca="1" si="3"/>
        <v>0</v>
      </c>
      <c r="N27" s="652">
        <f t="shared" si="3"/>
        <v>59302.642214321539</v>
      </c>
      <c r="O27" s="652">
        <f t="shared" ca="1" si="3"/>
        <v>24841.602655848041</v>
      </c>
      <c r="P27" s="652">
        <f t="shared" si="3"/>
        <v>1772.1029559786753</v>
      </c>
      <c r="Q27" s="652">
        <f t="shared" si="3"/>
        <v>2494.1965077466089</v>
      </c>
      <c r="R27" s="652">
        <f t="shared" ca="1" si="3"/>
        <v>2180688.7487866818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12382.530586268347</v>
      </c>
      <c r="D40" s="642">
        <f ca="1">tertiair!C20</f>
        <v>5305.6639111760669</v>
      </c>
      <c r="E40" s="642">
        <f ca="1">tertiair!D20</f>
        <v>17861.335267404553</v>
      </c>
      <c r="F40" s="642">
        <f>tertiair!E20</f>
        <v>71.963873804760738</v>
      </c>
      <c r="G40" s="642">
        <f ca="1">tertiair!F20</f>
        <v>7555.6750231938977</v>
      </c>
      <c r="H40" s="642">
        <f>tertiair!G20</f>
        <v>0</v>
      </c>
      <c r="I40" s="642">
        <f>tertiair!H20</f>
        <v>0</v>
      </c>
      <c r="J40" s="642">
        <f>tertiair!I20</f>
        <v>0</v>
      </c>
      <c r="K40" s="642">
        <f>tertiair!J20</f>
        <v>5.169819798947891E-2</v>
      </c>
      <c r="L40" s="642">
        <f>tertiair!K20</f>
        <v>0</v>
      </c>
      <c r="M40" s="642">
        <f ca="1">tertiair!L20</f>
        <v>0</v>
      </c>
      <c r="N40" s="642">
        <f>tertiair!M20</f>
        <v>0</v>
      </c>
      <c r="O40" s="642">
        <f ca="1">tertiair!N20</f>
        <v>0</v>
      </c>
      <c r="P40" s="642">
        <f>tertiair!O20</f>
        <v>0</v>
      </c>
      <c r="Q40" s="725">
        <f>tertiair!P20</f>
        <v>0</v>
      </c>
      <c r="R40" s="803">
        <f t="shared" ca="1" si="4"/>
        <v>43177.220360045612</v>
      </c>
    </row>
    <row r="41" spans="1:18">
      <c r="A41" s="775" t="s">
        <v>214</v>
      </c>
      <c r="B41" s="782"/>
      <c r="C41" s="642">
        <f ca="1">huishoudens!B12</f>
        <v>5847.938015001554</v>
      </c>
      <c r="D41" s="642">
        <f ca="1">huishoudens!C12</f>
        <v>0</v>
      </c>
      <c r="E41" s="642">
        <f>huishoudens!D12</f>
        <v>38867.205205182872</v>
      </c>
      <c r="F41" s="642">
        <f>huishoudens!E12</f>
        <v>991.27814441621797</v>
      </c>
      <c r="G41" s="642">
        <f>huishoudens!F12</f>
        <v>19107.262102677145</v>
      </c>
      <c r="H41" s="642">
        <f>huishoudens!G12</f>
        <v>0</v>
      </c>
      <c r="I41" s="642">
        <f>huishoudens!H12</f>
        <v>0</v>
      </c>
      <c r="J41" s="642">
        <f>huishoudens!I12</f>
        <v>0</v>
      </c>
      <c r="K41" s="642">
        <f>huishoudens!J12</f>
        <v>139.82669946184737</v>
      </c>
      <c r="L41" s="642">
        <f>huishoudens!K12</f>
        <v>0</v>
      </c>
      <c r="M41" s="642">
        <f>huishoudens!L12</f>
        <v>0</v>
      </c>
      <c r="N41" s="642">
        <f>huishoudens!M12</f>
        <v>0</v>
      </c>
      <c r="O41" s="642">
        <f>huishoudens!N12</f>
        <v>0</v>
      </c>
      <c r="P41" s="642">
        <f>huishoudens!O12</f>
        <v>0</v>
      </c>
      <c r="Q41" s="725">
        <f>huishoudens!P12</f>
        <v>0</v>
      </c>
      <c r="R41" s="803">
        <f t="shared" ca="1" si="4"/>
        <v>64953.510166739637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6922.4013363470685</v>
      </c>
      <c r="D43" s="642">
        <f ca="1">industrie!C22</f>
        <v>6098.5323221008484</v>
      </c>
      <c r="E43" s="642">
        <f>industrie!D22</f>
        <v>0</v>
      </c>
      <c r="F43" s="642">
        <f>industrie!E22</f>
        <v>1157.0706682309647</v>
      </c>
      <c r="G43" s="642">
        <f>industrie!F22</f>
        <v>2217.5789846794537</v>
      </c>
      <c r="H43" s="642">
        <f>industrie!G22</f>
        <v>0</v>
      </c>
      <c r="I43" s="642">
        <f>industrie!H22</f>
        <v>0</v>
      </c>
      <c r="J43" s="642">
        <f>industrie!I22</f>
        <v>0</v>
      </c>
      <c r="K43" s="642">
        <f>industrie!J22</f>
        <v>3.0680171777074041</v>
      </c>
      <c r="L43" s="642">
        <f>industrie!K22</f>
        <v>0</v>
      </c>
      <c r="M43" s="642">
        <f>industrie!L22</f>
        <v>0</v>
      </c>
      <c r="N43" s="642">
        <f>industrie!M22</f>
        <v>0</v>
      </c>
      <c r="O43" s="642">
        <f>industrie!N22</f>
        <v>0</v>
      </c>
      <c r="P43" s="642">
        <f>industrie!O22</f>
        <v>0</v>
      </c>
      <c r="Q43" s="725">
        <f>industrie!P22</f>
        <v>0</v>
      </c>
      <c r="R43" s="802">
        <f t="shared" ca="1" si="4"/>
        <v>16398.651328536042</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25152.869937616972</v>
      </c>
      <c r="D46" s="678">
        <f t="shared" ref="D46:Q46" ca="1" si="5">SUM(D39:D45)</f>
        <v>11404.196233276914</v>
      </c>
      <c r="E46" s="678">
        <f t="shared" ca="1" si="5"/>
        <v>56728.540472587425</v>
      </c>
      <c r="F46" s="678">
        <f t="shared" si="5"/>
        <v>2220.3126864519436</v>
      </c>
      <c r="G46" s="678">
        <f t="shared" ca="1" si="5"/>
        <v>28880.516110550496</v>
      </c>
      <c r="H46" s="678">
        <f t="shared" si="5"/>
        <v>0</v>
      </c>
      <c r="I46" s="678">
        <f t="shared" si="5"/>
        <v>0</v>
      </c>
      <c r="J46" s="678">
        <f t="shared" si="5"/>
        <v>0</v>
      </c>
      <c r="K46" s="678">
        <f t="shared" si="5"/>
        <v>142.94641483754427</v>
      </c>
      <c r="L46" s="678">
        <f t="shared" si="5"/>
        <v>0</v>
      </c>
      <c r="M46" s="678">
        <f t="shared" ca="1" si="5"/>
        <v>0</v>
      </c>
      <c r="N46" s="678">
        <f t="shared" si="5"/>
        <v>0</v>
      </c>
      <c r="O46" s="678">
        <f t="shared" ca="1" si="5"/>
        <v>0</v>
      </c>
      <c r="P46" s="678">
        <f t="shared" si="5"/>
        <v>0</v>
      </c>
      <c r="Q46" s="678">
        <f t="shared" si="5"/>
        <v>0</v>
      </c>
      <c r="R46" s="678">
        <f ca="1">SUM(R39:R45)</f>
        <v>124529.38185532129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3.0987668825787971</v>
      </c>
      <c r="D49" s="642">
        <f ca="1">transport!C58</f>
        <v>0</v>
      </c>
      <c r="E49" s="642">
        <f>transport!D58</f>
        <v>0</v>
      </c>
      <c r="F49" s="642">
        <f>transport!E58</f>
        <v>0</v>
      </c>
      <c r="G49" s="642">
        <f>transport!F58</f>
        <v>0</v>
      </c>
      <c r="H49" s="642">
        <f>transport!G58</f>
        <v>944.66746415485204</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947.76623103743088</v>
      </c>
    </row>
    <row r="50" spans="1:18">
      <c r="A50" s="778" t="s">
        <v>296</v>
      </c>
      <c r="B50" s="788"/>
      <c r="C50" s="648">
        <f ca="1">transport!B18</f>
        <v>80.375448867438877</v>
      </c>
      <c r="D50" s="648">
        <f>transport!C18</f>
        <v>0</v>
      </c>
      <c r="E50" s="648">
        <f>transport!D18</f>
        <v>446.00404964730802</v>
      </c>
      <c r="F50" s="648">
        <f>transport!E18</f>
        <v>293.86122143859438</v>
      </c>
      <c r="G50" s="648">
        <f>transport!F18</f>
        <v>0</v>
      </c>
      <c r="H50" s="648">
        <f>transport!G18</f>
        <v>231623.91468537861</v>
      </c>
      <c r="I50" s="648">
        <f>transport!H18</f>
        <v>36770.450709050965</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269214.60611438291</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83.474215750017677</v>
      </c>
      <c r="D52" s="678">
        <f t="shared" ref="D52:Q52" ca="1" si="6">SUM(D48:D51)</f>
        <v>0</v>
      </c>
      <c r="E52" s="678">
        <f t="shared" si="6"/>
        <v>446.00404964730802</v>
      </c>
      <c r="F52" s="678">
        <f t="shared" si="6"/>
        <v>293.86122143859438</v>
      </c>
      <c r="G52" s="678">
        <f t="shared" si="6"/>
        <v>0</v>
      </c>
      <c r="H52" s="678">
        <f t="shared" si="6"/>
        <v>232568.58214953347</v>
      </c>
      <c r="I52" s="678">
        <f t="shared" si="6"/>
        <v>36770.450709050965</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270162.37234542036</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761.09387428956609</v>
      </c>
      <c r="D54" s="648">
        <f ca="1">+landbouw!C12</f>
        <v>18932.785044034019</v>
      </c>
      <c r="E54" s="648">
        <f>+landbouw!D12</f>
        <v>0</v>
      </c>
      <c r="F54" s="648">
        <f>+landbouw!E12</f>
        <v>81.479136645279709</v>
      </c>
      <c r="G54" s="648">
        <f>+landbouw!F12</f>
        <v>10331.542180818909</v>
      </c>
      <c r="H54" s="648">
        <f>+landbouw!G12</f>
        <v>0</v>
      </c>
      <c r="I54" s="648">
        <f>+landbouw!H12</f>
        <v>0</v>
      </c>
      <c r="J54" s="648">
        <f>+landbouw!I12</f>
        <v>0</v>
      </c>
      <c r="K54" s="648">
        <f>+landbouw!J12</f>
        <v>1086.8990395543415</v>
      </c>
      <c r="L54" s="648">
        <f>+landbouw!K12</f>
        <v>0</v>
      </c>
      <c r="M54" s="648">
        <f>+landbouw!L12</f>
        <v>0</v>
      </c>
      <c r="N54" s="648">
        <f>+landbouw!M12</f>
        <v>0</v>
      </c>
      <c r="O54" s="648">
        <f>+landbouw!N12</f>
        <v>0</v>
      </c>
      <c r="P54" s="648">
        <f>+landbouw!O12</f>
        <v>0</v>
      </c>
      <c r="Q54" s="649">
        <f>+landbouw!P12</f>
        <v>0</v>
      </c>
      <c r="R54" s="677">
        <f ca="1">SUM(C54:Q54)</f>
        <v>31193.799275342117</v>
      </c>
    </row>
    <row r="55" spans="1:18" ht="15" thickBot="1">
      <c r="A55" s="778" t="s">
        <v>672</v>
      </c>
      <c r="B55" s="788"/>
      <c r="C55" s="648">
        <f ca="1">C25*'EF ele_warmte'!B12</f>
        <v>583.45431358298833</v>
      </c>
      <c r="D55" s="648"/>
      <c r="E55" s="648">
        <f>E25*EF_CO2_aardgas</f>
        <v>1198.1108964419032</v>
      </c>
      <c r="F55" s="648"/>
      <c r="G55" s="648"/>
      <c r="H55" s="648"/>
      <c r="I55" s="648"/>
      <c r="J55" s="648"/>
      <c r="K55" s="648"/>
      <c r="L55" s="648"/>
      <c r="M55" s="648"/>
      <c r="N55" s="648"/>
      <c r="O55" s="648"/>
      <c r="P55" s="648"/>
      <c r="Q55" s="649"/>
      <c r="R55" s="677">
        <f ca="1">SUM(C55:Q55)</f>
        <v>1781.5652100248915</v>
      </c>
    </row>
    <row r="56" spans="1:18" ht="15.75" thickBot="1">
      <c r="A56" s="776" t="s">
        <v>673</v>
      </c>
      <c r="B56" s="789"/>
      <c r="C56" s="678">
        <f ca="1">SUM(C54:C55)</f>
        <v>1344.5481878725545</v>
      </c>
      <c r="D56" s="678">
        <f t="shared" ref="D56:Q56" ca="1" si="7">SUM(D54:D55)</f>
        <v>18932.785044034019</v>
      </c>
      <c r="E56" s="678">
        <f t="shared" si="7"/>
        <v>1198.1108964419032</v>
      </c>
      <c r="F56" s="678">
        <f t="shared" si="7"/>
        <v>81.479136645279709</v>
      </c>
      <c r="G56" s="678">
        <f t="shared" si="7"/>
        <v>10331.542180818909</v>
      </c>
      <c r="H56" s="678">
        <f t="shared" si="7"/>
        <v>0</v>
      </c>
      <c r="I56" s="678">
        <f t="shared" si="7"/>
        <v>0</v>
      </c>
      <c r="J56" s="678">
        <f t="shared" si="7"/>
        <v>0</v>
      </c>
      <c r="K56" s="678">
        <f t="shared" si="7"/>
        <v>1086.8990395543415</v>
      </c>
      <c r="L56" s="678">
        <f t="shared" si="7"/>
        <v>0</v>
      </c>
      <c r="M56" s="678">
        <f t="shared" si="7"/>
        <v>0</v>
      </c>
      <c r="N56" s="678">
        <f t="shared" si="7"/>
        <v>0</v>
      </c>
      <c r="O56" s="678">
        <f t="shared" si="7"/>
        <v>0</v>
      </c>
      <c r="P56" s="678">
        <f t="shared" si="7"/>
        <v>0</v>
      </c>
      <c r="Q56" s="679">
        <f t="shared" si="7"/>
        <v>0</v>
      </c>
      <c r="R56" s="680">
        <f ca="1">SUM(R54:R55)</f>
        <v>32975.364485367005</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26580.892341239545</v>
      </c>
      <c r="D61" s="686">
        <f t="shared" ref="D61:Q61" ca="1" si="8">D46+D52+D56</f>
        <v>30336.981277310933</v>
      </c>
      <c r="E61" s="686">
        <f t="shared" ca="1" si="8"/>
        <v>58372.655418676637</v>
      </c>
      <c r="F61" s="686">
        <f t="shared" si="8"/>
        <v>2595.6530445358176</v>
      </c>
      <c r="G61" s="686">
        <f t="shared" ca="1" si="8"/>
        <v>39212.058291369409</v>
      </c>
      <c r="H61" s="686">
        <f t="shared" si="8"/>
        <v>232568.58214953347</v>
      </c>
      <c r="I61" s="686">
        <f t="shared" si="8"/>
        <v>36770.450709050965</v>
      </c>
      <c r="J61" s="686">
        <f t="shared" si="8"/>
        <v>0</v>
      </c>
      <c r="K61" s="686">
        <f t="shared" si="8"/>
        <v>1229.8454543918858</v>
      </c>
      <c r="L61" s="686">
        <f t="shared" si="8"/>
        <v>0</v>
      </c>
      <c r="M61" s="686">
        <f t="shared" ca="1" si="8"/>
        <v>0</v>
      </c>
      <c r="N61" s="686">
        <f t="shared" si="8"/>
        <v>0</v>
      </c>
      <c r="O61" s="686">
        <f t="shared" ca="1" si="8"/>
        <v>0</v>
      </c>
      <c r="P61" s="686">
        <f t="shared" si="8"/>
        <v>0</v>
      </c>
      <c r="Q61" s="686">
        <f t="shared" si="8"/>
        <v>0</v>
      </c>
      <c r="R61" s="686">
        <f ca="1">R46+R52+R56</f>
        <v>427667.11868610868</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6.2515367873977878E-2</v>
      </c>
      <c r="D63" s="732">
        <f t="shared" ca="1" si="9"/>
        <v>0.15350494877636078</v>
      </c>
      <c r="E63" s="921">
        <f t="shared" ca="1" si="9"/>
        <v>0.20200000000000001</v>
      </c>
      <c r="F63" s="732">
        <f t="shared" si="9"/>
        <v>0.22700000000000004</v>
      </c>
      <c r="G63" s="732">
        <f t="shared" ca="1" si="9"/>
        <v>0.26700000000000002</v>
      </c>
      <c r="H63" s="732">
        <f t="shared" si="9"/>
        <v>0.26700000000000007</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211405.98069829514</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51258.123557119674</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48981.149999999994</v>
      </c>
      <c r="C76" s="699">
        <f>'lokale energieproductie'!B8*IFERROR(SUM(D76:H76)/SUM(D76:O76),0)</f>
        <v>89358.93</v>
      </c>
      <c r="D76" s="904">
        <f>'lokale energieproductie'!C8</f>
        <v>105128.15294117648</v>
      </c>
      <c r="E76" s="905">
        <f>'lokale energieproductie'!D8</f>
        <v>0</v>
      </c>
      <c r="F76" s="905">
        <f>'lokale energieproductie'!E8</f>
        <v>0</v>
      </c>
      <c r="G76" s="905">
        <f>'lokale energieproductie'!F8</f>
        <v>0</v>
      </c>
      <c r="H76" s="905">
        <f>'lokale energieproductie'!G8</f>
        <v>0</v>
      </c>
      <c r="I76" s="905">
        <f>'lokale energieproductie'!I8</f>
        <v>0</v>
      </c>
      <c r="J76" s="905">
        <f>'lokale energieproductie'!J8</f>
        <v>57624.882352941182</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21235.886894117652</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311645.25425541482</v>
      </c>
      <c r="C78" s="704">
        <f>SUM(C72:C77)</f>
        <v>89358.93</v>
      </c>
      <c r="D78" s="705">
        <f t="shared" ref="D78:H78" si="10">SUM(D76:D77)</f>
        <v>105128.15294117648</v>
      </c>
      <c r="E78" s="705">
        <f t="shared" si="10"/>
        <v>0</v>
      </c>
      <c r="F78" s="705">
        <f t="shared" si="10"/>
        <v>0</v>
      </c>
      <c r="G78" s="705">
        <f t="shared" si="10"/>
        <v>0</v>
      </c>
      <c r="H78" s="705">
        <f t="shared" si="10"/>
        <v>0</v>
      </c>
      <c r="I78" s="705">
        <f>SUM(I76:I77)</f>
        <v>0</v>
      </c>
      <c r="J78" s="705">
        <f>SUM(J76:J77)</f>
        <v>57624.882352941182</v>
      </c>
      <c r="K78" s="705">
        <f t="shared" ref="K78:L78" si="11">SUM(K76:K77)</f>
        <v>0</v>
      </c>
      <c r="L78" s="705">
        <f t="shared" si="11"/>
        <v>0</v>
      </c>
      <c r="M78" s="705">
        <f>SUM(M76:M77)</f>
        <v>0</v>
      </c>
      <c r="N78" s="705">
        <f>SUM(N76:N77)</f>
        <v>0</v>
      </c>
      <c r="O78" s="813">
        <f>SUM(O76:O77)</f>
        <v>0</v>
      </c>
      <c r="P78" s="706">
        <v>0</v>
      </c>
      <c r="Q78" s="706">
        <f>SUM(Q76:Q77)</f>
        <v>21235.886894117652</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69973.071428571435</v>
      </c>
      <c r="C87" s="717">
        <f>'lokale energieproductie'!B17*IFERROR(SUM(D87:H87)/SUM(D87:O87),0)</f>
        <v>127655.6142857143</v>
      </c>
      <c r="D87" s="728">
        <f>'lokale energieproductie'!C17</f>
        <v>150183.07563025213</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82321.260504201695</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30336.981277310933</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69973.071428571435</v>
      </c>
      <c r="C90" s="704">
        <f>SUM(C87:C89)</f>
        <v>127655.6142857143</v>
      </c>
      <c r="D90" s="704">
        <f t="shared" ref="D90:H90" si="12">SUM(D87:D89)</f>
        <v>150183.07563025213</v>
      </c>
      <c r="E90" s="704">
        <f t="shared" si="12"/>
        <v>0</v>
      </c>
      <c r="F90" s="704">
        <f t="shared" si="12"/>
        <v>0</v>
      </c>
      <c r="G90" s="704">
        <f t="shared" si="12"/>
        <v>0</v>
      </c>
      <c r="H90" s="704">
        <f t="shared" si="12"/>
        <v>0</v>
      </c>
      <c r="I90" s="704">
        <f>SUM(I87:I89)</f>
        <v>0</v>
      </c>
      <c r="J90" s="704">
        <f>SUM(J87:J89)</f>
        <v>82321.260504201695</v>
      </c>
      <c r="K90" s="704">
        <f t="shared" ref="K90:L90" si="13">SUM(K87:K89)</f>
        <v>0</v>
      </c>
      <c r="L90" s="704">
        <f t="shared" si="13"/>
        <v>0</v>
      </c>
      <c r="M90" s="704">
        <f>SUM(M87:M89)</f>
        <v>0</v>
      </c>
      <c r="N90" s="704">
        <f>SUM(N87:N89)</f>
        <v>0</v>
      </c>
      <c r="O90" s="704">
        <f>SUM(O87:O89)</f>
        <v>0</v>
      </c>
      <c r="P90" s="704">
        <v>0</v>
      </c>
      <c r="Q90" s="704">
        <f>SUM(Q87:Q89)</f>
        <v>30336.981277310933</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93544.00707982984</v>
      </c>
      <c r="C4" s="445">
        <f>huishoudens!C8</f>
        <v>0</v>
      </c>
      <c r="D4" s="445">
        <f>huishoudens!D8</f>
        <v>192411.90695635084</v>
      </c>
      <c r="E4" s="445">
        <f>huishoudens!E8</f>
        <v>4366.8640723181406</v>
      </c>
      <c r="F4" s="445">
        <f>huishoudens!F8</f>
        <v>71562.779410775824</v>
      </c>
      <c r="G4" s="445">
        <f>huishoudens!G8</f>
        <v>0</v>
      </c>
      <c r="H4" s="445">
        <f>huishoudens!H8</f>
        <v>0</v>
      </c>
      <c r="I4" s="445">
        <f>huishoudens!I8</f>
        <v>0</v>
      </c>
      <c r="J4" s="445">
        <f>huishoudens!J8</f>
        <v>394.99067644589655</v>
      </c>
      <c r="K4" s="445">
        <f>huishoudens!K8</f>
        <v>0</v>
      </c>
      <c r="L4" s="445">
        <f>huishoudens!L8</f>
        <v>0</v>
      </c>
      <c r="M4" s="445">
        <f>huishoudens!M8</f>
        <v>0</v>
      </c>
      <c r="N4" s="445">
        <f>huishoudens!N8</f>
        <v>24841.602655848041</v>
      </c>
      <c r="O4" s="445">
        <f>huishoudens!O8</f>
        <v>1728.0276090861048</v>
      </c>
      <c r="P4" s="446">
        <f>huishoudens!P8</f>
        <v>1548.4920182296985</v>
      </c>
      <c r="Q4" s="447">
        <f>SUM(B4:P4)</f>
        <v>390398.67047888436</v>
      </c>
    </row>
    <row r="5" spans="1:17">
      <c r="A5" s="444" t="s">
        <v>149</v>
      </c>
      <c r="B5" s="445">
        <f ca="1">tertiair!B16</f>
        <v>195112.74070677257</v>
      </c>
      <c r="C5" s="445">
        <f ca="1">tertiair!C16</f>
        <v>34563.471428571429</v>
      </c>
      <c r="D5" s="445">
        <f ca="1">tertiair!D16</f>
        <v>88422.451818834408</v>
      </c>
      <c r="E5" s="445">
        <f>tertiair!E16</f>
        <v>317.02147050555391</v>
      </c>
      <c r="F5" s="445">
        <f ca="1">tertiair!F16</f>
        <v>28298.408326568904</v>
      </c>
      <c r="G5" s="445">
        <f>tertiair!G16</f>
        <v>0</v>
      </c>
      <c r="H5" s="445">
        <f>tertiair!H16</f>
        <v>0</v>
      </c>
      <c r="I5" s="445">
        <f>tertiair!I16</f>
        <v>0</v>
      </c>
      <c r="J5" s="445">
        <f>tertiair!J16</f>
        <v>0.14604010731491218</v>
      </c>
      <c r="K5" s="445">
        <f>tertiair!K16</f>
        <v>0</v>
      </c>
      <c r="L5" s="445">
        <f ca="1">tertiair!L16</f>
        <v>0</v>
      </c>
      <c r="M5" s="445">
        <f>tertiair!M16</f>
        <v>0</v>
      </c>
      <c r="N5" s="445">
        <f ca="1">tertiair!N16</f>
        <v>0</v>
      </c>
      <c r="O5" s="445">
        <f>tertiair!O16</f>
        <v>44.075346892570387</v>
      </c>
      <c r="P5" s="446">
        <f>tertiair!P16</f>
        <v>945.70448951691037</v>
      </c>
      <c r="Q5" s="444">
        <f t="shared" ref="Q5:Q14" ca="1" si="0">SUM(B5:P5)</f>
        <v>347704.01962776965</v>
      </c>
    </row>
    <row r="6" spans="1:17">
      <c r="A6" s="444" t="s">
        <v>187</v>
      </c>
      <c r="B6" s="445">
        <f>'openbare verlichting'!B8</f>
        <v>2959.0455975130199</v>
      </c>
      <c r="C6" s="445"/>
      <c r="D6" s="445"/>
      <c r="E6" s="445"/>
      <c r="F6" s="445"/>
      <c r="G6" s="445"/>
      <c r="H6" s="445"/>
      <c r="I6" s="445"/>
      <c r="J6" s="445"/>
      <c r="K6" s="445"/>
      <c r="L6" s="445"/>
      <c r="M6" s="445"/>
      <c r="N6" s="445"/>
      <c r="O6" s="445"/>
      <c r="P6" s="446"/>
      <c r="Q6" s="444">
        <f t="shared" si="0"/>
        <v>2959.0455975130199</v>
      </c>
    </row>
    <row r="7" spans="1:17">
      <c r="A7" s="444" t="s">
        <v>105</v>
      </c>
      <c r="B7" s="445">
        <f>landbouw!B8</f>
        <v>12174.508447648001</v>
      </c>
      <c r="C7" s="445">
        <f>landbouw!C8</f>
        <v>123336.64285714286</v>
      </c>
      <c r="D7" s="445">
        <f>landbouw!D8</f>
        <v>0</v>
      </c>
      <c r="E7" s="445">
        <f>landbouw!E8</f>
        <v>358.93892795277401</v>
      </c>
      <c r="F7" s="445">
        <f>landbouw!F8</f>
        <v>38694.91453490228</v>
      </c>
      <c r="G7" s="445">
        <f>landbouw!G8</f>
        <v>0</v>
      </c>
      <c r="H7" s="445">
        <f>landbouw!H8</f>
        <v>0</v>
      </c>
      <c r="I7" s="445">
        <f>landbouw!I8</f>
        <v>0</v>
      </c>
      <c r="J7" s="445">
        <f>landbouw!J8</f>
        <v>3070.3362699275185</v>
      </c>
      <c r="K7" s="445">
        <f>landbouw!K8</f>
        <v>0</v>
      </c>
      <c r="L7" s="445">
        <f>landbouw!L8</f>
        <v>0</v>
      </c>
      <c r="M7" s="445">
        <f>landbouw!M8</f>
        <v>0</v>
      </c>
      <c r="N7" s="445">
        <f>landbouw!N8</f>
        <v>0</v>
      </c>
      <c r="O7" s="445">
        <f>landbouw!O8</f>
        <v>0</v>
      </c>
      <c r="P7" s="446">
        <f>landbouw!P8</f>
        <v>0</v>
      </c>
      <c r="Q7" s="444">
        <f t="shared" si="0"/>
        <v>177635.34103757347</v>
      </c>
    </row>
    <row r="8" spans="1:17">
      <c r="A8" s="444" t="s">
        <v>587</v>
      </c>
      <c r="B8" s="445">
        <f>industrie!B18</f>
        <v>110731.19413296341</v>
      </c>
      <c r="C8" s="445">
        <f>industrie!C18</f>
        <v>39728.571428571435</v>
      </c>
      <c r="D8" s="445">
        <f>industrie!D18</f>
        <v>0</v>
      </c>
      <c r="E8" s="445">
        <f>industrie!E18</f>
        <v>5097.2276133522673</v>
      </c>
      <c r="F8" s="445">
        <f>industrie!F18</f>
        <v>8305.539268462373</v>
      </c>
      <c r="G8" s="445">
        <f>industrie!G18</f>
        <v>0</v>
      </c>
      <c r="H8" s="445">
        <f>industrie!H18</f>
        <v>0</v>
      </c>
      <c r="I8" s="445">
        <f>industrie!I18</f>
        <v>0</v>
      </c>
      <c r="J8" s="445">
        <f>industrie!J18</f>
        <v>8.6667151912638545</v>
      </c>
      <c r="K8" s="445">
        <f>industrie!K18</f>
        <v>0</v>
      </c>
      <c r="L8" s="445">
        <f>industrie!L18</f>
        <v>0</v>
      </c>
      <c r="M8" s="445">
        <f>industrie!M18</f>
        <v>0</v>
      </c>
      <c r="N8" s="445">
        <f>industrie!N18</f>
        <v>0</v>
      </c>
      <c r="O8" s="445">
        <f>industrie!O18</f>
        <v>0</v>
      </c>
      <c r="P8" s="446">
        <f>industrie!P18</f>
        <v>0</v>
      </c>
      <c r="Q8" s="444">
        <f t="shared" si="0"/>
        <v>163871.19915854075</v>
      </c>
    </row>
    <row r="9" spans="1:17" s="450" customFormat="1">
      <c r="A9" s="448" t="s">
        <v>536</v>
      </c>
      <c r="B9" s="449">
        <f>transport!B14</f>
        <v>1285.6910484709038</v>
      </c>
      <c r="C9" s="449">
        <f>transport!C14</f>
        <v>0</v>
      </c>
      <c r="D9" s="449">
        <f>transport!D14</f>
        <v>2207.9408398381584</v>
      </c>
      <c r="E9" s="449">
        <f>transport!E14</f>
        <v>1294.54282572068</v>
      </c>
      <c r="F9" s="449">
        <f>transport!F14</f>
        <v>0</v>
      </c>
      <c r="G9" s="449">
        <f>transport!G14</f>
        <v>867505.29844711081</v>
      </c>
      <c r="H9" s="449">
        <f>transport!H14</f>
        <v>147672.49280743359</v>
      </c>
      <c r="I9" s="449">
        <f>transport!I14</f>
        <v>0</v>
      </c>
      <c r="J9" s="449">
        <f>transport!J14</f>
        <v>0</v>
      </c>
      <c r="K9" s="449">
        <f>transport!K14</f>
        <v>0</v>
      </c>
      <c r="L9" s="449">
        <f>transport!L14</f>
        <v>0</v>
      </c>
      <c r="M9" s="449">
        <f>transport!M14</f>
        <v>59107.274390141967</v>
      </c>
      <c r="N9" s="449">
        <f>transport!N14</f>
        <v>0</v>
      </c>
      <c r="O9" s="449">
        <f>transport!O14</f>
        <v>0</v>
      </c>
      <c r="P9" s="449">
        <f>transport!P14</f>
        <v>0</v>
      </c>
      <c r="Q9" s="448">
        <f>SUM(B9:P9)</f>
        <v>1079073.2403587161</v>
      </c>
    </row>
    <row r="10" spans="1:17">
      <c r="A10" s="444" t="s">
        <v>526</v>
      </c>
      <c r="B10" s="445">
        <f>transport!B54</f>
        <v>49.568082024654672</v>
      </c>
      <c r="C10" s="445">
        <f>transport!C54</f>
        <v>0</v>
      </c>
      <c r="D10" s="445">
        <f>transport!D54</f>
        <v>0</v>
      </c>
      <c r="E10" s="445">
        <f>transport!E54</f>
        <v>0</v>
      </c>
      <c r="F10" s="445">
        <f>transport!F54</f>
        <v>0</v>
      </c>
      <c r="G10" s="445">
        <f>transport!G54</f>
        <v>3538.0803900930787</v>
      </c>
      <c r="H10" s="445">
        <f>transport!H54</f>
        <v>0</v>
      </c>
      <c r="I10" s="445">
        <f>transport!I54</f>
        <v>0</v>
      </c>
      <c r="J10" s="445">
        <f>transport!J54</f>
        <v>0</v>
      </c>
      <c r="K10" s="445">
        <f>transport!K54</f>
        <v>0</v>
      </c>
      <c r="L10" s="445">
        <f>transport!L54</f>
        <v>0</v>
      </c>
      <c r="M10" s="445">
        <f>transport!M54</f>
        <v>195.3678241795734</v>
      </c>
      <c r="N10" s="445">
        <f>transport!N54</f>
        <v>0</v>
      </c>
      <c r="O10" s="445">
        <f>transport!O54</f>
        <v>0</v>
      </c>
      <c r="P10" s="446">
        <f>transport!P54</f>
        <v>0</v>
      </c>
      <c r="Q10" s="444">
        <f t="shared" si="0"/>
        <v>3783.0162962973068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9332.9741697937297</v>
      </c>
      <c r="C14" s="452"/>
      <c r="D14" s="452">
        <f>'SEAP template'!E25</f>
        <v>5931.2420615935798</v>
      </c>
      <c r="E14" s="452"/>
      <c r="F14" s="452"/>
      <c r="G14" s="452"/>
      <c r="H14" s="452"/>
      <c r="I14" s="452"/>
      <c r="J14" s="452"/>
      <c r="K14" s="452"/>
      <c r="L14" s="452"/>
      <c r="M14" s="452"/>
      <c r="N14" s="452"/>
      <c r="O14" s="452"/>
      <c r="P14" s="453"/>
      <c r="Q14" s="444">
        <f t="shared" si="0"/>
        <v>15264.216231387309</v>
      </c>
    </row>
    <row r="15" spans="1:17" s="456" customFormat="1">
      <c r="A15" s="454" t="s">
        <v>530</v>
      </c>
      <c r="B15" s="455">
        <f ca="1">SUM(B4:B14)</f>
        <v>425189.72926501615</v>
      </c>
      <c r="C15" s="455">
        <f t="shared" ref="C15:Q15" ca="1" si="1">SUM(C4:C14)</f>
        <v>197628.6857142857</v>
      </c>
      <c r="D15" s="455">
        <f t="shared" ca="1" si="1"/>
        <v>288973.54167661699</v>
      </c>
      <c r="E15" s="455">
        <f t="shared" si="1"/>
        <v>11434.594909849417</v>
      </c>
      <c r="F15" s="455">
        <f t="shared" ca="1" si="1"/>
        <v>146861.64154070939</v>
      </c>
      <c r="G15" s="455">
        <f t="shared" si="1"/>
        <v>871043.37883720384</v>
      </c>
      <c r="H15" s="455">
        <f t="shared" si="1"/>
        <v>147672.49280743359</v>
      </c>
      <c r="I15" s="455">
        <f t="shared" si="1"/>
        <v>0</v>
      </c>
      <c r="J15" s="455">
        <f t="shared" si="1"/>
        <v>3474.1397016719939</v>
      </c>
      <c r="K15" s="455">
        <f t="shared" si="1"/>
        <v>0</v>
      </c>
      <c r="L15" s="455">
        <f t="shared" ca="1" si="1"/>
        <v>0</v>
      </c>
      <c r="M15" s="455">
        <f t="shared" si="1"/>
        <v>59302.642214321539</v>
      </c>
      <c r="N15" s="455">
        <f t="shared" ca="1" si="1"/>
        <v>24841.602655848041</v>
      </c>
      <c r="O15" s="455">
        <f t="shared" si="1"/>
        <v>1772.1029559786753</v>
      </c>
      <c r="P15" s="455">
        <f t="shared" si="1"/>
        <v>2494.1965077466089</v>
      </c>
      <c r="Q15" s="455">
        <f t="shared" ca="1" si="1"/>
        <v>2180688.7487866818</v>
      </c>
    </row>
    <row r="17" spans="1:17">
      <c r="A17" s="457" t="s">
        <v>531</v>
      </c>
      <c r="B17" s="737">
        <f ca="1">huishoudens!B10</f>
        <v>6.2515367873977878E-2</v>
      </c>
      <c r="C17" s="737">
        <f ca="1">huishoudens!C10</f>
        <v>0.15350494877636078</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5847.938015001554</v>
      </c>
      <c r="C22" s="445">
        <f t="shared" ref="C22:C32" ca="1" si="3">C4*$C$17</f>
        <v>0</v>
      </c>
      <c r="D22" s="445">
        <f t="shared" ref="D22:D32" si="4">D4*$D$17</f>
        <v>38867.205205182872</v>
      </c>
      <c r="E22" s="445">
        <f t="shared" ref="E22:E32" si="5">E4*$E$17</f>
        <v>991.27814441621797</v>
      </c>
      <c r="F22" s="445">
        <f t="shared" ref="F22:F32" si="6">F4*$F$17</f>
        <v>19107.262102677145</v>
      </c>
      <c r="G22" s="445">
        <f t="shared" ref="G22:G32" si="7">G4*$G$17</f>
        <v>0</v>
      </c>
      <c r="H22" s="445">
        <f t="shared" ref="H22:H32" si="8">H4*$H$17</f>
        <v>0</v>
      </c>
      <c r="I22" s="445">
        <f t="shared" ref="I22:I32" si="9">I4*$I$17</f>
        <v>0</v>
      </c>
      <c r="J22" s="445">
        <f t="shared" ref="J22:J32" si="10">J4*$J$17</f>
        <v>139.82669946184737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64953.510166739637</v>
      </c>
    </row>
    <row r="23" spans="1:17">
      <c r="A23" s="444" t="s">
        <v>149</v>
      </c>
      <c r="B23" s="445">
        <f t="shared" ca="1" si="2"/>
        <v>12197.544762183947</v>
      </c>
      <c r="C23" s="445">
        <f t="shared" ca="1" si="3"/>
        <v>5305.6639111760669</v>
      </c>
      <c r="D23" s="445">
        <f t="shared" ca="1" si="4"/>
        <v>17861.335267404553</v>
      </c>
      <c r="E23" s="445">
        <f t="shared" si="5"/>
        <v>71.963873804760738</v>
      </c>
      <c r="F23" s="445">
        <f t="shared" ca="1" si="6"/>
        <v>7555.6750231938977</v>
      </c>
      <c r="G23" s="445">
        <f t="shared" si="7"/>
        <v>0</v>
      </c>
      <c r="H23" s="445">
        <f t="shared" si="8"/>
        <v>0</v>
      </c>
      <c r="I23" s="445">
        <f t="shared" si="9"/>
        <v>0</v>
      </c>
      <c r="J23" s="445">
        <f t="shared" si="10"/>
        <v>5.169819798947891E-2</v>
      </c>
      <c r="K23" s="445">
        <f t="shared" si="11"/>
        <v>0</v>
      </c>
      <c r="L23" s="445">
        <f t="shared" ca="1" si="12"/>
        <v>0</v>
      </c>
      <c r="M23" s="445">
        <f t="shared" si="13"/>
        <v>0</v>
      </c>
      <c r="N23" s="445">
        <f t="shared" ca="1" si="14"/>
        <v>0</v>
      </c>
      <c r="O23" s="445">
        <f t="shared" si="15"/>
        <v>0</v>
      </c>
      <c r="P23" s="446">
        <f t="shared" si="16"/>
        <v>0</v>
      </c>
      <c r="Q23" s="444">
        <f t="shared" ref="Q23:Q31" ca="1" si="17">SUM(B23:P23)</f>
        <v>42992.234535961215</v>
      </c>
    </row>
    <row r="24" spans="1:17">
      <c r="A24" s="444" t="s">
        <v>187</v>
      </c>
      <c r="B24" s="445">
        <f t="shared" ca="1" si="2"/>
        <v>184.98582408440112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184.98582408440112</v>
      </c>
    </row>
    <row r="25" spans="1:17">
      <c r="A25" s="444" t="s">
        <v>105</v>
      </c>
      <c r="B25" s="445">
        <f t="shared" ca="1" si="2"/>
        <v>761.09387428956609</v>
      </c>
      <c r="C25" s="445">
        <f t="shared" ca="1" si="3"/>
        <v>18932.785044034019</v>
      </c>
      <c r="D25" s="445">
        <f t="shared" si="4"/>
        <v>0</v>
      </c>
      <c r="E25" s="445">
        <f t="shared" si="5"/>
        <v>81.479136645279709</v>
      </c>
      <c r="F25" s="445">
        <f t="shared" si="6"/>
        <v>10331.542180818909</v>
      </c>
      <c r="G25" s="445">
        <f t="shared" si="7"/>
        <v>0</v>
      </c>
      <c r="H25" s="445">
        <f t="shared" si="8"/>
        <v>0</v>
      </c>
      <c r="I25" s="445">
        <f t="shared" si="9"/>
        <v>0</v>
      </c>
      <c r="J25" s="445">
        <f t="shared" si="10"/>
        <v>1086.8990395543415</v>
      </c>
      <c r="K25" s="445">
        <f t="shared" si="11"/>
        <v>0</v>
      </c>
      <c r="L25" s="445">
        <f t="shared" si="12"/>
        <v>0</v>
      </c>
      <c r="M25" s="445">
        <f t="shared" si="13"/>
        <v>0</v>
      </c>
      <c r="N25" s="445">
        <f t="shared" si="14"/>
        <v>0</v>
      </c>
      <c r="O25" s="445">
        <f t="shared" si="15"/>
        <v>0</v>
      </c>
      <c r="P25" s="446">
        <f t="shared" si="16"/>
        <v>0</v>
      </c>
      <c r="Q25" s="444">
        <f t="shared" ca="1" si="17"/>
        <v>31193.799275342117</v>
      </c>
    </row>
    <row r="26" spans="1:17">
      <c r="A26" s="444" t="s">
        <v>587</v>
      </c>
      <c r="B26" s="445">
        <f t="shared" ca="1" si="2"/>
        <v>6922.4013363470685</v>
      </c>
      <c r="C26" s="445">
        <f t="shared" ca="1" si="3"/>
        <v>6098.5323221008484</v>
      </c>
      <c r="D26" s="445">
        <f t="shared" si="4"/>
        <v>0</v>
      </c>
      <c r="E26" s="445">
        <f t="shared" si="5"/>
        <v>1157.0706682309647</v>
      </c>
      <c r="F26" s="445">
        <f t="shared" si="6"/>
        <v>2217.5789846794537</v>
      </c>
      <c r="G26" s="445">
        <f t="shared" si="7"/>
        <v>0</v>
      </c>
      <c r="H26" s="445">
        <f t="shared" si="8"/>
        <v>0</v>
      </c>
      <c r="I26" s="445">
        <f t="shared" si="9"/>
        <v>0</v>
      </c>
      <c r="J26" s="445">
        <f t="shared" si="10"/>
        <v>3.0680171777074041</v>
      </c>
      <c r="K26" s="445">
        <f t="shared" si="11"/>
        <v>0</v>
      </c>
      <c r="L26" s="445">
        <f t="shared" si="12"/>
        <v>0</v>
      </c>
      <c r="M26" s="445">
        <f t="shared" si="13"/>
        <v>0</v>
      </c>
      <c r="N26" s="445">
        <f t="shared" si="14"/>
        <v>0</v>
      </c>
      <c r="O26" s="445">
        <f t="shared" si="15"/>
        <v>0</v>
      </c>
      <c r="P26" s="446">
        <f t="shared" si="16"/>
        <v>0</v>
      </c>
      <c r="Q26" s="444">
        <f t="shared" ca="1" si="17"/>
        <v>16398.651328536042</v>
      </c>
    </row>
    <row r="27" spans="1:17" s="450" customFormat="1">
      <c r="A27" s="448" t="s">
        <v>536</v>
      </c>
      <c r="B27" s="731">
        <f t="shared" ca="1" si="2"/>
        <v>80.375448867438877</v>
      </c>
      <c r="C27" s="449">
        <f t="shared" ca="1" si="3"/>
        <v>0</v>
      </c>
      <c r="D27" s="449">
        <f t="shared" si="4"/>
        <v>446.00404964730802</v>
      </c>
      <c r="E27" s="449">
        <f t="shared" si="5"/>
        <v>293.86122143859438</v>
      </c>
      <c r="F27" s="449">
        <f t="shared" si="6"/>
        <v>0</v>
      </c>
      <c r="G27" s="449">
        <f t="shared" si="7"/>
        <v>231623.91468537861</v>
      </c>
      <c r="H27" s="449">
        <f t="shared" si="8"/>
        <v>36770.450709050965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269214.60611438291</v>
      </c>
    </row>
    <row r="28" spans="1:17" ht="16.5" customHeight="1">
      <c r="A28" s="444" t="s">
        <v>526</v>
      </c>
      <c r="B28" s="445">
        <f t="shared" ca="1" si="2"/>
        <v>3.0987668825787971</v>
      </c>
      <c r="C28" s="445">
        <f t="shared" ca="1" si="3"/>
        <v>0</v>
      </c>
      <c r="D28" s="445">
        <f t="shared" si="4"/>
        <v>0</v>
      </c>
      <c r="E28" s="445">
        <f t="shared" si="5"/>
        <v>0</v>
      </c>
      <c r="F28" s="445">
        <f t="shared" si="6"/>
        <v>0</v>
      </c>
      <c r="G28" s="445">
        <f t="shared" si="7"/>
        <v>944.66746415485204</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947.76623103743088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583.45431358298833</v>
      </c>
      <c r="C32" s="445">
        <f t="shared" ca="1" si="3"/>
        <v>0</v>
      </c>
      <c r="D32" s="445">
        <f t="shared" si="4"/>
        <v>1198.1108964419032</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1781.5652100248915</v>
      </c>
    </row>
    <row r="33" spans="1:17" s="456" customFormat="1">
      <c r="A33" s="454" t="s">
        <v>530</v>
      </c>
      <c r="B33" s="455">
        <f ca="1">SUM(B22:B32)</f>
        <v>26580.892341239545</v>
      </c>
      <c r="C33" s="455">
        <f t="shared" ref="C33:Q33" ca="1" si="19">SUM(C22:C32)</f>
        <v>30336.981277310933</v>
      </c>
      <c r="D33" s="455">
        <f t="shared" ca="1" si="19"/>
        <v>58372.655418676637</v>
      </c>
      <c r="E33" s="455">
        <f t="shared" si="19"/>
        <v>2595.6530445358176</v>
      </c>
      <c r="F33" s="455">
        <f t="shared" ca="1" si="19"/>
        <v>39212.058291369402</v>
      </c>
      <c r="G33" s="455">
        <f t="shared" si="19"/>
        <v>232568.58214953347</v>
      </c>
      <c r="H33" s="455">
        <f t="shared" si="19"/>
        <v>36770.450709050965</v>
      </c>
      <c r="I33" s="455">
        <f t="shared" si="19"/>
        <v>0</v>
      </c>
      <c r="J33" s="455">
        <f t="shared" si="19"/>
        <v>1229.8454543918856</v>
      </c>
      <c r="K33" s="455">
        <f t="shared" si="19"/>
        <v>0</v>
      </c>
      <c r="L33" s="455">
        <f t="shared" ca="1" si="19"/>
        <v>0</v>
      </c>
      <c r="M33" s="455">
        <f t="shared" si="19"/>
        <v>0</v>
      </c>
      <c r="N33" s="455">
        <f t="shared" ca="1" si="19"/>
        <v>0</v>
      </c>
      <c r="O33" s="455">
        <f t="shared" si="19"/>
        <v>0</v>
      </c>
      <c r="P33" s="455">
        <f t="shared" si="19"/>
        <v>0</v>
      </c>
      <c r="Q33" s="455">
        <f t="shared" ca="1" si="19"/>
        <v>427667.11868610868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211405.98069829514</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51258.123557119674</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48981.149999999994</v>
      </c>
      <c r="C8" s="972">
        <f>'SEAP template'!C76</f>
        <v>89358.93</v>
      </c>
      <c r="D8" s="972">
        <f>'SEAP template'!D76</f>
        <v>105128.15294117648</v>
      </c>
      <c r="E8" s="972">
        <f>'SEAP template'!E76</f>
        <v>0</v>
      </c>
      <c r="F8" s="972">
        <f>'SEAP template'!F76</f>
        <v>0</v>
      </c>
      <c r="G8" s="972">
        <f>'SEAP template'!G76</f>
        <v>0</v>
      </c>
      <c r="H8" s="972">
        <f>'SEAP template'!H76</f>
        <v>0</v>
      </c>
      <c r="I8" s="972">
        <f>'SEAP template'!I76</f>
        <v>0</v>
      </c>
      <c r="J8" s="972">
        <f>'SEAP template'!J76</f>
        <v>57624.882352941182</v>
      </c>
      <c r="K8" s="972">
        <f>'SEAP template'!K76</f>
        <v>0</v>
      </c>
      <c r="L8" s="972">
        <f>'SEAP template'!L76</f>
        <v>0</v>
      </c>
      <c r="M8" s="972">
        <f>'SEAP template'!M76</f>
        <v>0</v>
      </c>
      <c r="N8" s="972">
        <f>'SEAP template'!N76</f>
        <v>0</v>
      </c>
      <c r="O8" s="972">
        <f>'SEAP template'!O76</f>
        <v>0</v>
      </c>
      <c r="P8" s="973">
        <f>'SEAP template'!Q76</f>
        <v>21235.886894117652</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311645.25425541482</v>
      </c>
      <c r="C10" s="974">
        <f>SUM(C4:C9)</f>
        <v>89358.93</v>
      </c>
      <c r="D10" s="974">
        <f t="shared" ref="D10:H10" si="0">SUM(D8:D9)</f>
        <v>105128.15294117648</v>
      </c>
      <c r="E10" s="974">
        <f t="shared" si="0"/>
        <v>0</v>
      </c>
      <c r="F10" s="974">
        <f t="shared" si="0"/>
        <v>0</v>
      </c>
      <c r="G10" s="974">
        <f t="shared" si="0"/>
        <v>0</v>
      </c>
      <c r="H10" s="974">
        <f t="shared" si="0"/>
        <v>0</v>
      </c>
      <c r="I10" s="974">
        <f>SUM(I8:I9)</f>
        <v>0</v>
      </c>
      <c r="J10" s="974">
        <f>SUM(J8:J9)</f>
        <v>57624.882352941182</v>
      </c>
      <c r="K10" s="974">
        <f t="shared" ref="K10:L10" si="1">SUM(K8:K9)</f>
        <v>0</v>
      </c>
      <c r="L10" s="974">
        <f t="shared" si="1"/>
        <v>0</v>
      </c>
      <c r="M10" s="974">
        <f>SUM(M8:M9)</f>
        <v>0</v>
      </c>
      <c r="N10" s="974">
        <f>SUM(N8:N9)</f>
        <v>0</v>
      </c>
      <c r="O10" s="974">
        <f>SUM(O8:O9)</f>
        <v>0</v>
      </c>
      <c r="P10" s="974">
        <f>SUM(P8:P9)</f>
        <v>21235.886894117652</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6.2515367873977878E-2</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69973.071428571435</v>
      </c>
      <c r="C17" s="975">
        <f>'SEAP template'!C87</f>
        <v>127655.6142857143</v>
      </c>
      <c r="D17" s="973">
        <f>'SEAP template'!D87</f>
        <v>150183.07563025213</v>
      </c>
      <c r="E17" s="973">
        <f>'SEAP template'!E87</f>
        <v>0</v>
      </c>
      <c r="F17" s="973">
        <f>'SEAP template'!F87</f>
        <v>0</v>
      </c>
      <c r="G17" s="973">
        <f>'SEAP template'!G87</f>
        <v>0</v>
      </c>
      <c r="H17" s="973">
        <f>'SEAP template'!H87</f>
        <v>0</v>
      </c>
      <c r="I17" s="973">
        <f>'SEAP template'!I87</f>
        <v>0</v>
      </c>
      <c r="J17" s="973">
        <f>'SEAP template'!J87</f>
        <v>82321.260504201695</v>
      </c>
      <c r="K17" s="973">
        <f>'SEAP template'!K87</f>
        <v>0</v>
      </c>
      <c r="L17" s="973">
        <f>'SEAP template'!L87</f>
        <v>0</v>
      </c>
      <c r="M17" s="973">
        <f>'SEAP template'!M87</f>
        <v>0</v>
      </c>
      <c r="N17" s="973">
        <f>'SEAP template'!N87</f>
        <v>0</v>
      </c>
      <c r="O17" s="973">
        <f>'SEAP template'!O87</f>
        <v>0</v>
      </c>
      <c r="P17" s="973">
        <f>'SEAP template'!Q87</f>
        <v>30336.981277310933</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69973.071428571435</v>
      </c>
      <c r="C20" s="974">
        <f>SUM(C17:C19)</f>
        <v>127655.6142857143</v>
      </c>
      <c r="D20" s="974">
        <f t="shared" ref="D20:H20" si="2">SUM(D17:D19)</f>
        <v>150183.07563025213</v>
      </c>
      <c r="E20" s="974">
        <f t="shared" si="2"/>
        <v>0</v>
      </c>
      <c r="F20" s="974">
        <f t="shared" si="2"/>
        <v>0</v>
      </c>
      <c r="G20" s="974">
        <f t="shared" si="2"/>
        <v>0</v>
      </c>
      <c r="H20" s="974">
        <f t="shared" si="2"/>
        <v>0</v>
      </c>
      <c r="I20" s="974">
        <f>SUM(I17:I19)</f>
        <v>0</v>
      </c>
      <c r="J20" s="974">
        <f>SUM(J17:J19)</f>
        <v>82321.260504201695</v>
      </c>
      <c r="K20" s="974">
        <f t="shared" ref="K20:L20" si="3">SUM(K17:K19)</f>
        <v>0</v>
      </c>
      <c r="L20" s="974">
        <f t="shared" si="3"/>
        <v>0</v>
      </c>
      <c r="M20" s="974">
        <f>SUM(M17:M19)</f>
        <v>0</v>
      </c>
      <c r="N20" s="974">
        <f>SUM(N17:N19)</f>
        <v>0</v>
      </c>
      <c r="O20" s="974">
        <f>SUM(O17:O19)</f>
        <v>0</v>
      </c>
      <c r="P20" s="974">
        <f>SUM(P17:P19)</f>
        <v>30336.981277310933</v>
      </c>
    </row>
    <row r="21" spans="1:16">
      <c r="B21" s="841"/>
    </row>
    <row r="22" spans="1:16">
      <c r="A22" s="457" t="s">
        <v>730</v>
      </c>
      <c r="B22" s="737" t="s">
        <v>728</v>
      </c>
      <c r="C22" s="737">
        <f ca="1">'EF ele_warmte'!B22</f>
        <v>0.15350494877636078</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6.2515367873977878E-2</v>
      </c>
      <c r="C17" s="493">
        <f ca="1">'EF ele_warmte'!B22</f>
        <v>0.15350494877636078</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2022-07-26T09:58:34Z</dcterms:modified>
</cp:coreProperties>
</file>