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26CB990-094A-4F9B-A617-EA46C4CD943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<sst xmlns="http://schemas.openxmlformats.org/spreadsheetml/2006/main" count="2377" uniqueCount="864">
  <si>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</si>
  <si>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</si>
  <si>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</si>
  <si>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</si>
  <si>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</si>
  <si>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</si>
  <si>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</si>
  <si>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</si>
  <si>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</si>
  <si>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</si>
  <si>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</si>
  <si>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</si>
  <si>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</si>
  <si>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</si>
  <si>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</si>
  <si>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</si>
  <si>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</si>
  <si>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</si>
  <si>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</si>
  <si>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</si>
  <si>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</si>
  <si>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</si>
  <si>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</si>
  <si>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</si>
  <si>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</si>
  <si>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</si>
  <si>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</si>
  <si>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</si>
  <si>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</si>
  <si>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</si>
  <si>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</si>
  <si>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</si>
  <si>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</si>
  <si>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</si>
  <si>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</si>
  <si>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</si>
  <si>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</si>
  <si>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</si>
  <si>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</si>
  <si>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</si>
  <si>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</si>
  <si>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</si>
  <si>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</si>
  <si>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</si>
  <si>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</si>
  <si>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</si>
  <si>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</si>
  <si>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</si>
  <si>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</si>
  <si>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</si>
  <si>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</si>
  <si>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</si>
  <si>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</si>
  <si>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</si>
  <si>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</si>
  <si>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</si>
  <si>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</si>
  <si>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</si>
  <si>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</si>
  <si>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</si>
  <si>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</si>
  <si>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</si>
  <si>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</si>
  <si>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</si>
  <si>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</si>
  <si>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</si>
  <si>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</si>
  <si>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</si>
  <si>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</si>
  <si>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</si>
  <si>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</si>
  <si>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</si>
  <si>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</si>
  <si>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</si>
  <si>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</si>
  <si>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</si>
  <si>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</si>
  <si>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</si>
  <si>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</si>
  <si>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</si>
  <si>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</si>
  <si>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</si>
  <si>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</si>
  <si>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</si>
  <si>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</si>
  <si>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</si>
  <si>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</si>
  <si>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</si>
  <si>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</si>
  <si>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</si>
  <si>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</si>
  <si>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</si>
  <si>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</si>
  <si>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</si>
  <si>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</si>
  <si>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</si>
  <si>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</si>
  <si>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</si>
  <si>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</si>
  <si>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</si>
  <si>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</si>
  <si>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</si>
  <si>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</si>
  <si>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</si>
  <si>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</si>
  <si>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</si>
  <si>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</si>
  <si>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</si>
  <si>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</si>
  <si>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</si>
  <si>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</si>
  <si>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</si>
  <si>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</si>
  <si>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</si>
  <si>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</si>
  <si>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</si>
  <si>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</si>
  <si>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</si>
  <si>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</si>
  <si>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</si>
  <si>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</si>
  <si>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</si>
  <si>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</si>
  <si>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</si>
  <si>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</si>
  <si>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</si>
  <si>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</si>
  <si>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</si>
  <si>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</si>
  <si>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</si>
  <si>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</si>
  <si>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</si>
  <si>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</si>
  <si>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</si>
  <si>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</si>
  <si>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</si>
  <si>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</si>
  <si>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</si>
  <si>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</si>
  <si>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</si>
  <si>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</si>
  <si>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</si>
  <si>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</si>
  <si>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</si>
  <si>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</si>
  <si>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</si>
  <si>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</si>
  <si>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</si>
  <si>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</si>
  <si>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</si>
  <si>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</si>
  <si>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</si>
  <si>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</si>
  <si>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</si>
  <si>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</si>
  <si>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</si>
  <si>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</si>
  <si>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</si>
  <si>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</si>
  <si>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</si>
  <si>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</si>
  <si>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</si>
  <si>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</si>
  <si>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</si>
  <si>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</si>
  <si>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</si>
  <si>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</si>
  <si>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</si>
  <si>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</si>
  <si>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</si>
  <si>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</si>
  <si>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</si>
  <si>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</si>
  <si>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</si>
  <si>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</si>
  <si>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</si>
  <si>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</si>
  <si>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</si>
  <si>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</si>
  <si>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</si>
  <si>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</si>
  <si>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</si>
  <si>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</si>
  <si>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</si>
  <si>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</si>
  <si>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</si>
  <si>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</si>
  <si>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</si>
  <si>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</si>
  <si>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</si>
  <si>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</si>
  <si>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</si>
  <si>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</si>
  <si>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</si>
  <si>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</si>
  <si>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</si>
  <si>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</si>
  <si>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</si>
  <si>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</si>
  <si>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</si>
  <si>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</si>
  <si>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</si>
  <si>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</si>
  <si>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</si>
  <si>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</si>
  <si>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</si>
  <si>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</si>
  <si>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</si>
  <si>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</si>
  <si>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</si>
  <si>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</si>
  <si>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</si>
  <si>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</si>
  <si>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</si>
  <si>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</si>
  <si>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</si>
  <si>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</si>
  <si>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</si>
  <si>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</si>
  <si>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</si>
  <si>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</si>
  <si>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</si>
  <si>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</si>
  <si>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</si>
  <si>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</si>
  <si>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</si>
  <si>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</si>
  <si>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</si>
  <si>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</si>
  <si>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</si>
  <si>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</si>
  <si>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</si>
  <si>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</si>
  <si>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</si>
  <si>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</si>
  <si>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</si>
  <si>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</si>
  <si>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</si>
  <si>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</si>
  <si>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</si>
  <si>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</si>
  <si>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</si>
  <si>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</si>
  <si>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</si>
  <si>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</si>
  <si>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</si>
  <si>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</si>
  <si>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</si>
  <si>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</si>
  <si>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</si>
  <si>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</si>
  <si>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</si>
  <si>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</si>
  <si>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</si>
  <si>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</si>
  <si>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</si>
  <si>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</si>
  <si>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</si>
  <si>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</si>
  <si>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</si>
  <si>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</si>
  <si>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</si>
  <si>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</si>
  <si>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</si>
  <si>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</si>
  <si>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</si>
  <si>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</si>
  <si>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</si>
  <si>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</si>
  <si>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</si>
  <si>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</si>
  <si>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</si>
  <si>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</si>
  <si>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</si>
  <si>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</si>
  <si>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</si>
  <si>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</si>
  <si>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</si>
  <si>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</si>
  <si>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</si>
  <si>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</si>
  <si>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</si>
  <si>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</si>
  <si>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</si>
  <si>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</si>
  <si>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</si>
  <si>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</si>
  <si>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</si>
  <si>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</si>
  <si>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</si>
  <si>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</si>
  <si>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</si>
  <si>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</si>
  <si>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</si>
  <si>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</si>
  <si>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</si>
  <si>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</si>
  <si>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</si>
  <si>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</si>
  <si>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</si>
  <si>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</si>
  <si>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</si>
  <si>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</si>
  <si>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</si>
  <si>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</si>
  <si>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</si>
  <si>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</si>
  <si>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</si>
  <si>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</si>
  <si>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</si>
  <si>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</si>
  <si>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</si>
  <si>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</si>
  <si>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</si>
  <si>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</si>
  <si>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</si>
  <si>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</si>
  <si>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</si>
  <si>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</si>
  <si>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</si>
  <si>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</si>
  <si>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</si>
  <si>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</si>
  <si>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</si>
  <si>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</si>
  <si>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</si>
  <si>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</si>
  <si>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</si>
  <si>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</si>
  <si>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</si>
  <si>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</si>
  <si>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</si>
  <si>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</si>
  <si>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</si>
  <si>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</si>
  <si>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</si>
  <si>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</si>
  <si>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</si>
  <si>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</si>
  <si>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</si>
  <si>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</si>
  <si>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</si>
  <si>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</si>
  <si>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</si>
  <si>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</si>
  <si>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</si>
  <si>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</si>
  <si>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</si>
  <si>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</si>
  <si>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</si>
  <si>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</si>
  <si>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</si>
  <si>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</si>
  <si>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</si>
  <si>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</si>
  <si>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</si>
  <si>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</si>
  <si>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</si>
  <si>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</si>
  <si>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</si>
  <si>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</si>
  <si>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</si>
  <si>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</si>
  <si>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</si>
  <si>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</si>
  <si>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</si>
  <si>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</si>
  <si>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</si>
  <si>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</si>
  <si>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</si>
  <si>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</si>
  <si>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</si>
  <si>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</si>
  <si>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</si>
  <si>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</si>
  <si>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</si>
  <si>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</si>
  <si>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</si>
  <si>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</si>
  <si>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</si>
  <si>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</si>
  <si>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</si>
  <si>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</si>
  <si>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</si>
  <si>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</si>
  <si>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</si>
  <si>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</si>
  <si>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</si>
  <si>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</si>
  <si>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</si>
  <si>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</si>
  <si>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</si>
  <si>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</si>
  <si>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</si>
  <si>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</si>
  <si>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</si>
  <si>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</si>
  <si>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</si>
  <si>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</si>
  <si>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</si>
  <si>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</si>
  <si>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</si>
  <si>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</si>
  <si>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</si>
  <si>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</si>
  <si>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</si>
  <si>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</si>
  <si>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</si>
  <si>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</si>
  <si>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</si>
  <si>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</si>
  <si>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</si>
  <si>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</si>
  <si>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</si>
  <si>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</si>
  <si>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</si>
  <si>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</si>
  <si>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</si>
  <si>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</si>
  <si>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</si>
  <si>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</si>
  <si>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</si>
  <si>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</si>
  <si>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</si>
  <si>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</si>
  <si>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</si>
  <si>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</si>
  <si>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</si>
  <si>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</si>
  <si>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</si>
  <si>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</si>
  <si>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</si>
  <si>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</si>
  <si>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</si>
  <si>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</si>
  <si>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</si>
  <si>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</si>
  <si>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</si>
  <si>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</si>
  <si>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</si>
  <si>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</si>
  <si>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</si>
  <si>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</si>
  <si>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</si>
  <si>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</si>
  <si>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</si>
  <si>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</si>
  <si>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</si>
  <si>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</si>
  <si>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</si>
  <si>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</si>
  <si>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</si>
  <si>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</si>
  <si>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</si>
  <si>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</si>
  <si>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</si>
  <si>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</si>
  <si>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</si>
  <si>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</si>
  <si>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</si>
  <si>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</si>
  <si>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</si>
  <si>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</si>
  <si>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</si>
  <si>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</si>
  <si>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</si>
  <si>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</si>
  <si>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</si>
  <si>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</si>
  <si>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</si>
  <si>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</si>
  <si>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</si>
  <si>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</si>
  <si>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</si>
  <si>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</si>
  <si>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</si>
  <si>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</si>
  <si>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</si>
  <si>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</si>
  <si>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</si>
  <si>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</si>
  <si>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</si>
  <si>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</si>
  <si>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</si>
  <si>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</si>
  <si>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</si>
  <si>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</si>
  <si>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</si>
  <si>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</si>
  <si>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</si>
  <si>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</si>
  <si>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</si>
  <si>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</si>
  <si>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</si>
  <si>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</si>
  <si>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</si>
  <si>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</si>
  <si>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</si>
  <si>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</si>
  <si>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</si>
  <si>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</si>
  <si>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</si>
  <si>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</si>
  <si>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</si>
  <si>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</si>
  <si>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</si>
  <si>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</si>
  <si>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</si>
  <si>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</si>
  <si>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</si>
  <si>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</si>
  <si>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</si>
  <si>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</si>
  <si>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</si>
  <si>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</si>
  <si>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</si>
  <si>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</si>
  <si>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</si>
  <si>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</si>
  <si>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</si>
  <si>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</si>
  <si>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</si>
  <si>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</si>
  <si>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</si>
  <si>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</si>
  <si>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</si>
  <si>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</si>
  <si>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</si>
  <si>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</si>
  <si>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</si>
  <si>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</si>
  <si>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</si>
  <si>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</si>
  <si>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</si>
  <si>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</si>
  <si>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</si>
  <si>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</si>
  <si>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</si>
  <si>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</si>
  <si>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</si>
  <si>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</si>
  <si>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</si>
  <si>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</si>
  <si>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</si>
  <si>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</si>
  <si>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</si>
  <si>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</si>
  <si>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</si>
  <si>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</si>
  <si>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</si>
  <si>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</si>
  <si>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</si>
  <si>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</si>
  <si>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</si>
  <si>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</si>
  <si>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</si>
  <si>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</si>
  <si>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</si>
  <si>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</si>
  <si>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</si>
  <si>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</si>
  <si>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</si>
  <si>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</si>
  <si>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</si>
  <si>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</si>
  <si>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</si>
  <si>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</si>
  <si>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</si>
  <si>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</si>
  <si>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</si>
  <si>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</si>
  <si>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</si>
  <si>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</si>
  <si>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</si>
  <si>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</si>
  <si>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</si>
  <si>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</si>
  <si>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</si>
  <si>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</si>
  <si>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</si>
  <si>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</si>
  <si>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</si>
  <si>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</si>
  <si>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</si>
  <si>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</si>
  <si>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</si>
  <si>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</si>
  <si>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</si>
  <si>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</si>
  <si>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</si>
  <si>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</si>
  <si>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</si>
  <si>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</si>
  <si>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</si>
  <si>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</si>
  <si>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</si>
  <si>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</si>
  <si>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</si>
  <si>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</si>
  <si>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</si>
  <si>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</si>
  <si>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</si>
  <si>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</si>
  <si>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</si>
  <si>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</si>
  <si>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</si>
  <si>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</si>
  <si>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</si>
  <si>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</si>
  <si>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</si>
  <si>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</si>
  <si>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</si>
  <si>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</si>
  <si>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</si>
  <si>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</si>
  <si>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</si>
  <si>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</si>
  <si>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</si>
  <si>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</si>
  <si>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</si>
  <si>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</si>
  <si>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</si>
  <si>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</si>
  <si>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</si>
  <si>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</si>
  <si>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</si>
  <si>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</si>
  <si>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</si>
  <si>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</si>
  <si>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</si>
  <si>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</si>
  <si>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</si>
  <si>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</si>
  <si>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</si>
  <si>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</si>
  <si>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</si>
  <si>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</si>
  <si>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</si>
  <si>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</si>
  <si>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</si>
  <si>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</si>
  <si>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</si>
  <si>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</si>
  <si>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</si>
  <si>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</si>
  <si>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</si>
  <si>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</si>
  <si>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</si>
  <si>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</si>
  <si>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</si>
  <si>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</si>
  <si>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</si>
  <si>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</si>
  <si>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</si>
  <si>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</si>
  <si>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</si>
  <si>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</si>
  <si>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</si>
  <si>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</si>
  <si>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</si>
  <si>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</si>
  <si>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</si>
  <si>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</si>
  <si>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</si>
  <si>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</si>
  <si>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</si>
  <si>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</si>
  <si>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</si>
  <si>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</si>
  <si>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</si>
  <si>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</si>
  <si>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</si>
  <si>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</si>
  <si>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</si>
  <si>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</si>
  <si>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</si>
  <si>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</si>
  <si>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</si>
  <si>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</si>
  <si>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</si>
  <si>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</si>
  <si>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</si>
  <si>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</si>
  <si>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</si>
  <si>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</si>
  <si>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</si>
  <si>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</si>
  <si>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</si>
  <si>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</si>
  <si>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</si>
  <si>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</si>
  <si>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</si>
  <si>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</si>
  <si>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</si>
  <si>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</si>
  <si>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</si>
  <si>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</si>
  <si>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</si>
  <si>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</si>
  <si>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</si>
  <si>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</si>
  <si>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</si>
  <si>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</si>
  <si>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</si>
  <si>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</si>
  <si>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</si>
  <si>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</si>
  <si>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</si>
  <si>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</si>
  <si>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</si>
  <si>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</si>
  <si>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</si>
  <si>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</si>
  <si>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</si>
  <si>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</si>
  <si>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</si>
  <si>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</si>
  <si>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</si>
  <si>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</si>
  <si>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</si>
  <si>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</si>
  <si>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</si>
  <si>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</si>
  <si>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</si>
  <si>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</si>
  <si>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</si>
  <si>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</si>
  <si>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</si>
  <si>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</si>
  <si>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</si>
  <si>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</si>
  <si>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</si>
  <si>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</si>
  <si>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</si>
  <si>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</si>
  <si>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</si>
  <si>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</si>
  <si>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</si>
  <si>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</si>
  <si>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</si>
  <si>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</si>
  <si>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</si>
  <si>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</si>
  <si>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</si>
  <si>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</si>
  <si>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</si>
  <si>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</si>
  <si>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</si>
  <si>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</si>
  <si>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</si>
  <si>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</si>
  <si>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</si>
  <si>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</si>
  <si>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</si>
  <si>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</si>
  <si>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</si>
  <si>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</si>
  <si>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</si>
  <si>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</si>
  <si>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</si>
  <si>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</si>
  <si>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</si>
  <si>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</si>
  <si>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</si>
  <si>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</si>
  <si>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</si>
  <si>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</si>
  <si>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</si>
  <si>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</si>
  <si>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</si>
  <si>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</si>
  <si>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</si>
  <si>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</si>
  <si>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</si>
  <si>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</si>
  <si>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</si>
  <si>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</si>
  <si>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</si>
  <si>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</si>
  <si>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</si>
  <si>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</si>
  <si>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</si>
  <si>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</si>
  <si>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</si>
  <si>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</si>
  <si>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</si>
  <si>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</si>
  <si>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</si>
  <si>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</si>
  <si>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</si>
  <si>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</si>
  <si>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</si>
  <si>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</si>
  <si>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</si>
  <si>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</si>
  <si>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</si>
  <si>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</si>
  <si>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</si>
  <si>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</si>
  <si>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</si>
  <si>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</si>
  <si>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</si>
  <si>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</si>
  <si>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</si>
  <si>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</si>
  <si>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</si>
  <si>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</si>
  <si>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</si>
  <si>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</si>
  <si>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</si>
  <si>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</si>
  <si>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</si>
  <si>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</si>
  <si>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</si>
  <si>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</si>
  <si>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</si>
  <si>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</si>
  <si>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</si>
  <si>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</si>
  <si>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</si>
  <si>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</si>
  <si>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</si>
  <si>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</si>
  <si>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</si>
  <si>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</si>
  <si>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</si>
  <si>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</si>
  <si>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</si>
  <si>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</si>
  <si>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</si>
  <si>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</si>
  <si>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</si>
  <si>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</si>
  <si>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</si>
  <si>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</si>
  <si>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</si>
  <si>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</si>
  <si>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</si>
  <si>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</si>
  <si>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</si>
  <si>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</si>
  <si>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</si>
  <si>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</si>
  <si>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</si>
  <si>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</si>
  <si>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</si>
  <si>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</si>
  <si>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</si>
  <si>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</si>
  <si>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</si>
  <si>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</si>
  <si>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</si>
  <si>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</si>
  <si>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</si>
  <si>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</si>
  <si>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</si>
  <si>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</si>
  <si>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36011</t>
  </si>
  <si>
    <t>LICHTERVELDE</t>
  </si>
  <si>
    <t>waterkracht</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</si>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</sst>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52E7793F-A631-43D4-B828-64181B39F57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71547.64559953424</c:v>
                </c:pt>
                <c:pt idx="1">
                  <c:v>22168.271792866784</c:v>
                </c:pt>
                <c:pt idx="2">
                  <c:v>399.47699999999998</c:v>
                </c:pt>
                <c:pt idx="3">
                  <c:v>22589.360931908781</c:v>
                </c:pt>
                <c:pt idx="4">
                  <c:v>39255.559076819532</c:v>
                </c:pt>
                <c:pt idx="5">
                  <c:v>149266.53318222443</c:v>
                </c:pt>
                <c:pt idx="6">
                  <c:v>331.76601661637028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71547.64559953424</c:v>
                </c:pt>
                <c:pt idx="1">
                  <c:v>22168.271792866784</c:v>
                </c:pt>
                <c:pt idx="2">
                  <c:v>399.47699999999998</c:v>
                </c:pt>
                <c:pt idx="3">
                  <c:v>22589.360931908781</c:v>
                </c:pt>
                <c:pt idx="4">
                  <c:v>39255.559076819532</c:v>
                </c:pt>
                <c:pt idx="5">
                  <c:v>149266.53318222443</c:v>
                </c:pt>
                <c:pt idx="6">
                  <c:v>331.76601661637028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14571.882642480043</c:v>
                </c:pt>
                <c:pt idx="1">
                  <c:v>4494.3352208822362</c:v>
                </c:pt>
                <c:pt idx="2">
                  <c:v>80.688442075708622</c:v>
                </c:pt>
                <c:pt idx="3">
                  <c:v>5657.3292020918489</c:v>
                </c:pt>
                <c:pt idx="4">
                  <c:v>8086.1738987862773</c:v>
                </c:pt>
                <c:pt idx="5">
                  <c:v>37157.385206249804</c:v>
                </c:pt>
                <c:pt idx="6">
                  <c:v>83.724251884045998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14571.882642480043</c:v>
                </c:pt>
                <c:pt idx="1">
                  <c:v>4494.3352208822362</c:v>
                </c:pt>
                <c:pt idx="2">
                  <c:v>80.688442075708622</c:v>
                </c:pt>
                <c:pt idx="3">
                  <c:v>5657.3292020918489</c:v>
                </c:pt>
                <c:pt idx="4">
                  <c:v>8086.1738987862773</c:v>
                </c:pt>
                <c:pt idx="5">
                  <c:v>37157.385206249804</c:v>
                </c:pt>
                <c:pt idx="6">
                  <c:v>83.724251884045998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36011</v>
      </c>
      <c r="B6" s="382"/>
      <c r="C6" s="383"/>
    </row>
    <row r="7" spans="1:7" s="380" customFormat="1" ht="15.75" customHeight="1">
      <c r="A7" s="384" t="str">
        <f>txtMunicipality</f>
        <v>LICHTERVELDE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0.20198520083936905</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0.20198520083936905</v>
      </c>
      <c r="C29" s="494">
        <f ca="1">'EF ele_warmte'!B22</f>
        <v>0.23764705882352943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3630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1731.85</v>
      </c>
      <c r="C14" s="324"/>
      <c r="D14" s="324"/>
      <c r="E14" s="324"/>
      <c r="F14" s="324"/>
    </row>
    <row r="15" spans="1:6">
      <c r="A15" s="1264" t="s">
        <v>177</v>
      </c>
      <c r="B15" s="1265">
        <v>1380</v>
      </c>
      <c r="C15" s="324"/>
      <c r="D15" s="324"/>
      <c r="E15" s="324"/>
      <c r="F15" s="324"/>
    </row>
    <row r="16" spans="1:6">
      <c r="A16" s="1264" t="s">
        <v>6</v>
      </c>
      <c r="B16" s="1265">
        <v>937</v>
      </c>
      <c r="C16" s="324"/>
      <c r="D16" s="324"/>
      <c r="E16" s="324"/>
      <c r="F16" s="324"/>
    </row>
    <row r="17" spans="1:6">
      <c r="A17" s="1264" t="s">
        <v>7</v>
      </c>
      <c r="B17" s="1265">
        <v>829</v>
      </c>
      <c r="C17" s="324"/>
      <c r="D17" s="324"/>
      <c r="E17" s="324"/>
      <c r="F17" s="324"/>
    </row>
    <row r="18" spans="1:6">
      <c r="A18" s="1264" t="s">
        <v>8</v>
      </c>
      <c r="B18" s="1265">
        <v>1138</v>
      </c>
      <c r="C18" s="324"/>
      <c r="D18" s="324"/>
      <c r="E18" s="324"/>
      <c r="F18" s="324"/>
    </row>
    <row r="19" spans="1:6">
      <c r="A19" s="1264" t="s">
        <v>9</v>
      </c>
      <c r="B19" s="1265">
        <v>931</v>
      </c>
      <c r="C19" s="324"/>
      <c r="D19" s="324"/>
      <c r="E19" s="324"/>
      <c r="F19" s="324"/>
    </row>
    <row r="20" spans="1:6">
      <c r="A20" s="1264" t="s">
        <v>10</v>
      </c>
      <c r="B20" s="1265">
        <v>726</v>
      </c>
      <c r="C20" s="324"/>
      <c r="D20" s="324"/>
      <c r="E20" s="324"/>
      <c r="F20" s="324"/>
    </row>
    <row r="21" spans="1:6">
      <c r="A21" s="1264" t="s">
        <v>11</v>
      </c>
      <c r="B21" s="1265">
        <v>11280</v>
      </c>
      <c r="C21" s="324"/>
      <c r="D21" s="324"/>
      <c r="E21" s="324"/>
      <c r="F21" s="324"/>
    </row>
    <row r="22" spans="1:6">
      <c r="A22" s="1264" t="s">
        <v>12</v>
      </c>
      <c r="B22" s="1265">
        <v>46289</v>
      </c>
      <c r="C22" s="324"/>
      <c r="D22" s="324"/>
      <c r="E22" s="324"/>
      <c r="F22" s="324"/>
    </row>
    <row r="23" spans="1:6">
      <c r="A23" s="1264" t="s">
        <v>13</v>
      </c>
      <c r="B23" s="1265">
        <v>978</v>
      </c>
      <c r="C23" s="324"/>
      <c r="D23" s="324"/>
      <c r="E23" s="324"/>
      <c r="F23" s="324"/>
    </row>
    <row r="24" spans="1:6">
      <c r="A24" s="1264" t="s">
        <v>14</v>
      </c>
      <c r="B24" s="1265">
        <v>131</v>
      </c>
      <c r="C24" s="324"/>
      <c r="D24" s="324"/>
      <c r="E24" s="324"/>
      <c r="F24" s="324"/>
    </row>
    <row r="25" spans="1:6">
      <c r="A25" s="1264" t="s">
        <v>15</v>
      </c>
      <c r="B25" s="1265">
        <v>3366</v>
      </c>
      <c r="C25" s="324"/>
      <c r="D25" s="324"/>
      <c r="E25" s="324"/>
      <c r="F25" s="324"/>
    </row>
    <row r="26" spans="1:6">
      <c r="A26" s="1264" t="s">
        <v>16</v>
      </c>
      <c r="B26" s="1265">
        <v>53</v>
      </c>
      <c r="C26" s="324"/>
      <c r="D26" s="324"/>
      <c r="E26" s="324"/>
      <c r="F26" s="324"/>
    </row>
    <row r="27" spans="1:6">
      <c r="A27" s="1264" t="s">
        <v>17</v>
      </c>
      <c r="B27" s="1265">
        <v>7</v>
      </c>
      <c r="C27" s="324"/>
      <c r="D27" s="324"/>
      <c r="E27" s="324"/>
      <c r="F27" s="324"/>
    </row>
    <row r="28" spans="1:6">
      <c r="A28" s="1264" t="s">
        <v>18</v>
      </c>
      <c r="B28" s="1266">
        <v>272429</v>
      </c>
      <c r="C28" s="324"/>
      <c r="D28" s="324"/>
      <c r="E28" s="324"/>
      <c r="F28" s="324"/>
    </row>
    <row r="29" spans="1:6">
      <c r="A29" s="1264" t="s">
        <v>657</v>
      </c>
      <c r="B29" s="1266">
        <v>65</v>
      </c>
      <c r="C29" s="324"/>
      <c r="D29" s="324"/>
      <c r="E29" s="324"/>
      <c r="F29" s="324"/>
    </row>
    <row r="30" spans="1:6">
      <c r="A30" s="1259" t="s">
        <v>658</v>
      </c>
      <c r="B30" s="1267">
        <v>20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108345.84806579001</v>
      </c>
    </row>
    <row r="37" spans="1:6">
      <c r="A37" s="1264" t="s">
        <v>24</v>
      </c>
      <c r="B37" s="1264" t="s">
        <v>27</v>
      </c>
      <c r="C37" s="1265">
        <v>0</v>
      </c>
      <c r="D37" s="1265">
        <v>0</v>
      </c>
      <c r="E37" s="1265">
        <v>0</v>
      </c>
      <c r="F37" s="1265">
        <v>0</v>
      </c>
    </row>
    <row r="38" spans="1:6">
      <c r="A38" s="1264" t="s">
        <v>24</v>
      </c>
      <c r="B38" s="1264" t="s">
        <v>28</v>
      </c>
      <c r="C38" s="1265">
        <v>1</v>
      </c>
      <c r="D38" s="1265">
        <v>15820094.638460301</v>
      </c>
      <c r="E38" s="1265">
        <v>2</v>
      </c>
      <c r="F38" s="1265">
        <v>5777.2834742620998</v>
      </c>
    </row>
    <row r="39" spans="1:6">
      <c r="A39" s="1264" t="s">
        <v>29</v>
      </c>
      <c r="B39" s="1264" t="s">
        <v>30</v>
      </c>
      <c r="C39" s="1265">
        <v>2240</v>
      </c>
      <c r="D39" s="1265">
        <v>32426034.188507002</v>
      </c>
      <c r="E39" s="1265">
        <v>3426</v>
      </c>
      <c r="F39" s="1265">
        <v>13040798.1974639</v>
      </c>
    </row>
    <row r="40" spans="1:6">
      <c r="A40" s="1264" t="s">
        <v>29</v>
      </c>
      <c r="B40" s="1264" t="s">
        <v>28</v>
      </c>
      <c r="C40" s="1265">
        <v>0</v>
      </c>
      <c r="D40" s="1265">
        <v>0</v>
      </c>
      <c r="E40" s="1265">
        <v>0</v>
      </c>
      <c r="F40" s="1265">
        <v>0</v>
      </c>
    </row>
    <row r="41" spans="1:6">
      <c r="A41" s="1264" t="s">
        <v>31</v>
      </c>
      <c r="B41" s="1264" t="s">
        <v>32</v>
      </c>
      <c r="C41" s="1265">
        <v>72</v>
      </c>
      <c r="D41" s="1265">
        <v>1297881.05505785</v>
      </c>
      <c r="E41" s="1265">
        <v>158</v>
      </c>
      <c r="F41" s="1265">
        <v>6178438.8189200601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7</v>
      </c>
      <c r="D44" s="1265">
        <v>546037.59231528104</v>
      </c>
      <c r="E44" s="1265">
        <v>25</v>
      </c>
      <c r="F44" s="1265">
        <v>1412122.2050910201</v>
      </c>
    </row>
    <row r="45" spans="1:6">
      <c r="A45" s="1264" t="s">
        <v>31</v>
      </c>
      <c r="B45" s="1264" t="s">
        <v>36</v>
      </c>
      <c r="C45" s="1265">
        <v>0</v>
      </c>
      <c r="D45" s="1265">
        <v>0</v>
      </c>
      <c r="E45" s="1265">
        <v>4</v>
      </c>
      <c r="F45" s="1265">
        <v>45664.626580353797</v>
      </c>
    </row>
    <row r="46" spans="1:6">
      <c r="A46" s="1264" t="s">
        <v>31</v>
      </c>
      <c r="B46" s="1264" t="s">
        <v>37</v>
      </c>
      <c r="C46" s="1265">
        <v>3</v>
      </c>
      <c r="D46" s="1265">
        <v>31829473.2541022</v>
      </c>
      <c r="E46" s="1265">
        <v>0</v>
      </c>
      <c r="F46" s="1265">
        <v>0</v>
      </c>
    </row>
    <row r="47" spans="1:6">
      <c r="A47" s="1264" t="s">
        <v>31</v>
      </c>
      <c r="B47" s="1264" t="s">
        <v>38</v>
      </c>
      <c r="C47" s="1265">
        <v>5</v>
      </c>
      <c r="D47" s="1265">
        <v>222248.428489293</v>
      </c>
      <c r="E47" s="1265">
        <v>4</v>
      </c>
      <c r="F47" s="1265">
        <v>1191240.88125927</v>
      </c>
    </row>
    <row r="48" spans="1:6">
      <c r="A48" s="1264" t="s">
        <v>31</v>
      </c>
      <c r="B48" s="1264" t="s">
        <v>28</v>
      </c>
      <c r="C48" s="1265">
        <v>0</v>
      </c>
      <c r="D48" s="1265">
        <v>0</v>
      </c>
      <c r="E48" s="1265">
        <v>6</v>
      </c>
      <c r="F48" s="1265">
        <v>33135.525010337202</v>
      </c>
    </row>
    <row r="49" spans="1:6">
      <c r="A49" s="1264" t="s">
        <v>31</v>
      </c>
      <c r="B49" s="1264" t="s">
        <v>39</v>
      </c>
      <c r="C49" s="1265">
        <v>0</v>
      </c>
      <c r="D49" s="1265">
        <v>0</v>
      </c>
      <c r="E49" s="1265">
        <v>0</v>
      </c>
      <c r="F49" s="1265">
        <v>0</v>
      </c>
    </row>
    <row r="50" spans="1:6">
      <c r="A50" s="1264" t="s">
        <v>31</v>
      </c>
      <c r="B50" s="1264" t="s">
        <v>40</v>
      </c>
      <c r="C50" s="1265">
        <v>12</v>
      </c>
      <c r="D50" s="1265">
        <v>13207473.301669801</v>
      </c>
      <c r="E50" s="1265">
        <v>21</v>
      </c>
      <c r="F50" s="1265">
        <v>11590502.5457654</v>
      </c>
    </row>
    <row r="51" spans="1:6">
      <c r="A51" s="1264" t="s">
        <v>41</v>
      </c>
      <c r="B51" s="1264" t="s">
        <v>42</v>
      </c>
      <c r="C51" s="1265">
        <v>18</v>
      </c>
      <c r="D51" s="1265">
        <v>1574397.9705950799</v>
      </c>
      <c r="E51" s="1265">
        <v>148</v>
      </c>
      <c r="F51" s="1265">
        <v>3335194.6725238301</v>
      </c>
    </row>
    <row r="52" spans="1:6">
      <c r="A52" s="1264" t="s">
        <v>41</v>
      </c>
      <c r="B52" s="1264" t="s">
        <v>28</v>
      </c>
      <c r="C52" s="1265">
        <v>0</v>
      </c>
      <c r="D52" s="1265">
        <v>0</v>
      </c>
      <c r="E52" s="1265">
        <v>0</v>
      </c>
      <c r="F52" s="1265">
        <v>0</v>
      </c>
    </row>
    <row r="53" spans="1:6">
      <c r="A53" s="1264" t="s">
        <v>43</v>
      </c>
      <c r="B53" s="1264" t="s">
        <v>44</v>
      </c>
      <c r="C53" s="1265">
        <v>43</v>
      </c>
      <c r="D53" s="1265">
        <v>913300.43396149005</v>
      </c>
      <c r="E53" s="1265">
        <v>119</v>
      </c>
      <c r="F53" s="1265">
        <v>386640.86426691298</v>
      </c>
    </row>
    <row r="54" spans="1:6">
      <c r="A54" s="1264" t="s">
        <v>45</v>
      </c>
      <c r="B54" s="1264" t="s">
        <v>46</v>
      </c>
      <c r="C54" s="1265">
        <v>0</v>
      </c>
      <c r="D54" s="1265">
        <v>0</v>
      </c>
      <c r="E54" s="1265">
        <v>3</v>
      </c>
      <c r="F54" s="1265">
        <v>399477</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26</v>
      </c>
      <c r="D57" s="1265">
        <v>1790094.57854687</v>
      </c>
      <c r="E57" s="1265">
        <v>53</v>
      </c>
      <c r="F57" s="1265">
        <v>1718910.5097874701</v>
      </c>
    </row>
    <row r="58" spans="1:6">
      <c r="A58" s="1264" t="s">
        <v>48</v>
      </c>
      <c r="B58" s="1264" t="s">
        <v>50</v>
      </c>
      <c r="C58" s="1265">
        <v>25</v>
      </c>
      <c r="D58" s="1265">
        <v>3055638.97764342</v>
      </c>
      <c r="E58" s="1265">
        <v>28</v>
      </c>
      <c r="F58" s="1265">
        <v>1492432.9293233701</v>
      </c>
    </row>
    <row r="59" spans="1:6">
      <c r="A59" s="1264" t="s">
        <v>48</v>
      </c>
      <c r="B59" s="1264" t="s">
        <v>51</v>
      </c>
      <c r="C59" s="1265">
        <v>48</v>
      </c>
      <c r="D59" s="1265">
        <v>1430673.5260888401</v>
      </c>
      <c r="E59" s="1265">
        <v>128</v>
      </c>
      <c r="F59" s="1265">
        <v>3040081.9757423801</v>
      </c>
    </row>
    <row r="60" spans="1:6">
      <c r="A60" s="1264" t="s">
        <v>48</v>
      </c>
      <c r="B60" s="1264" t="s">
        <v>52</v>
      </c>
      <c r="C60" s="1265">
        <v>35</v>
      </c>
      <c r="D60" s="1265">
        <v>2310016.7846209998</v>
      </c>
      <c r="E60" s="1265">
        <v>45</v>
      </c>
      <c r="F60" s="1265">
        <v>742891.94095848501</v>
      </c>
    </row>
    <row r="61" spans="1:6">
      <c r="A61" s="1264" t="s">
        <v>48</v>
      </c>
      <c r="B61" s="1264" t="s">
        <v>53</v>
      </c>
      <c r="C61" s="1265">
        <v>62</v>
      </c>
      <c r="D61" s="1265">
        <v>2763860.8832822898</v>
      </c>
      <c r="E61" s="1265">
        <v>141</v>
      </c>
      <c r="F61" s="1265">
        <v>1766230.9072500302</v>
      </c>
    </row>
    <row r="62" spans="1:6">
      <c r="A62" s="1264" t="s">
        <v>48</v>
      </c>
      <c r="B62" s="1264" t="s">
        <v>54</v>
      </c>
      <c r="C62" s="1265">
        <v>4</v>
      </c>
      <c r="D62" s="1265">
        <v>56602.524506358197</v>
      </c>
      <c r="E62" s="1265">
        <v>4</v>
      </c>
      <c r="F62" s="1265">
        <v>47397.1433788551</v>
      </c>
    </row>
    <row r="63" spans="1:6">
      <c r="A63" s="1264" t="s">
        <v>48</v>
      </c>
      <c r="B63" s="1264" t="s">
        <v>28</v>
      </c>
      <c r="C63" s="1265">
        <v>1</v>
      </c>
      <c r="D63" s="1265">
        <v>23049.741000000002</v>
      </c>
      <c r="E63" s="1265">
        <v>3</v>
      </c>
      <c r="F63" s="1265">
        <v>76002.342999999993</v>
      </c>
    </row>
    <row r="64" spans="1:6">
      <c r="A64" s="1264" t="s">
        <v>55</v>
      </c>
      <c r="B64" s="1264" t="s">
        <v>56</v>
      </c>
      <c r="C64" s="1265">
        <v>0</v>
      </c>
      <c r="D64" s="1265">
        <v>0</v>
      </c>
      <c r="E64" s="1265">
        <v>0</v>
      </c>
      <c r="F64" s="1265">
        <v>0</v>
      </c>
    </row>
    <row r="65" spans="1:6">
      <c r="A65" s="1264" t="s">
        <v>55</v>
      </c>
      <c r="B65" s="1264" t="s">
        <v>28</v>
      </c>
      <c r="C65" s="1265">
        <v>1</v>
      </c>
      <c r="D65" s="1265">
        <v>70499.202982351606</v>
      </c>
      <c r="E65" s="1265">
        <v>2</v>
      </c>
      <c r="F65" s="1265">
        <v>4914.0990000000002</v>
      </c>
    </row>
    <row r="66" spans="1:6">
      <c r="A66" s="1264" t="s">
        <v>55</v>
      </c>
      <c r="B66" s="1264" t="s">
        <v>57</v>
      </c>
      <c r="C66" s="1265">
        <v>0</v>
      </c>
      <c r="D66" s="1265">
        <v>0</v>
      </c>
      <c r="E66" s="1265">
        <v>5</v>
      </c>
      <c r="F66" s="1265">
        <v>176610</v>
      </c>
    </row>
    <row r="67" spans="1:6">
      <c r="A67" s="1264" t="s">
        <v>55</v>
      </c>
      <c r="B67" s="1264" t="s">
        <v>58</v>
      </c>
      <c r="C67" s="1265">
        <v>0</v>
      </c>
      <c r="D67" s="1265">
        <v>0</v>
      </c>
      <c r="E67" s="1265">
        <v>0</v>
      </c>
      <c r="F67" s="1265">
        <v>0</v>
      </c>
    </row>
    <row r="68" spans="1:6">
      <c r="A68" s="1259" t="s">
        <v>55</v>
      </c>
      <c r="B68" s="1259" t="s">
        <v>59</v>
      </c>
      <c r="C68" s="1267">
        <v>5</v>
      </c>
      <c r="D68" s="1267">
        <v>84887.244822192893</v>
      </c>
      <c r="E68" s="1267">
        <v>14</v>
      </c>
      <c r="F68" s="1267">
        <v>69208.202378438495</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38735946</v>
      </c>
      <c r="E73" s="443"/>
      <c r="F73" s="324"/>
    </row>
    <row r="74" spans="1:6">
      <c r="A74" s="1264" t="s">
        <v>63</v>
      </c>
      <c r="B74" s="1264" t="s">
        <v>608</v>
      </c>
      <c r="C74" s="1277" t="s">
        <v>610</v>
      </c>
      <c r="D74" s="1265">
        <v>5069164.2385729877</v>
      </c>
      <c r="E74" s="443"/>
      <c r="F74" s="324"/>
    </row>
    <row r="75" spans="1:6">
      <c r="A75" s="1264" t="s">
        <v>64</v>
      </c>
      <c r="B75" s="1264" t="s">
        <v>607</v>
      </c>
      <c r="C75" s="1277" t="s">
        <v>611</v>
      </c>
      <c r="D75" s="1265">
        <v>7637253</v>
      </c>
      <c r="E75" s="443"/>
      <c r="F75" s="324"/>
    </row>
    <row r="76" spans="1:6">
      <c r="A76" s="1264" t="s">
        <v>64</v>
      </c>
      <c r="B76" s="1264" t="s">
        <v>608</v>
      </c>
      <c r="C76" s="1277" t="s">
        <v>612</v>
      </c>
      <c r="D76" s="1265">
        <v>484847.23857298749</v>
      </c>
      <c r="E76" s="443"/>
      <c r="F76" s="324"/>
    </row>
    <row r="77" spans="1:6">
      <c r="A77" s="1264" t="s">
        <v>65</v>
      </c>
      <c r="B77" s="1264" t="s">
        <v>607</v>
      </c>
      <c r="C77" s="1277" t="s">
        <v>613</v>
      </c>
      <c r="D77" s="1265">
        <v>99941025</v>
      </c>
      <c r="E77" s="443"/>
      <c r="F77" s="324"/>
    </row>
    <row r="78" spans="1:6">
      <c r="A78" s="1259" t="s">
        <v>65</v>
      </c>
      <c r="B78" s="1259" t="s">
        <v>608</v>
      </c>
      <c r="C78" s="1259" t="s">
        <v>614</v>
      </c>
      <c r="D78" s="1267">
        <v>13492714</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91883.522854024995</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3393.6557968847092</v>
      </c>
      <c r="C91" s="324"/>
      <c r="D91" s="324"/>
      <c r="E91" s="324"/>
      <c r="F91" s="324"/>
    </row>
    <row r="92" spans="1:6">
      <c r="A92" s="1259" t="s">
        <v>68</v>
      </c>
      <c r="B92" s="1260">
        <v>1326.7478694360634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1338</v>
      </c>
      <c r="C97" s="324"/>
      <c r="D97" s="324"/>
      <c r="E97" s="324"/>
      <c r="F97" s="324"/>
    </row>
    <row r="98" spans="1:6">
      <c r="A98" s="1264" t="s">
        <v>71</v>
      </c>
      <c r="B98" s="1265">
        <v>0</v>
      </c>
      <c r="C98" s="324"/>
      <c r="D98" s="324"/>
      <c r="E98" s="324"/>
      <c r="F98" s="324"/>
    </row>
    <row r="99" spans="1:6">
      <c r="A99" s="1264" t="s">
        <v>72</v>
      </c>
      <c r="B99" s="1265">
        <v>141</v>
      </c>
      <c r="C99" s="324"/>
      <c r="D99" s="324"/>
      <c r="E99" s="324"/>
      <c r="F99" s="324"/>
    </row>
    <row r="100" spans="1:6">
      <c r="A100" s="1264" t="s">
        <v>73</v>
      </c>
      <c r="B100" s="1265">
        <v>389</v>
      </c>
      <c r="C100" s="324"/>
      <c r="D100" s="324"/>
      <c r="E100" s="324"/>
      <c r="F100" s="324"/>
    </row>
    <row r="101" spans="1:6">
      <c r="A101" s="1264" t="s">
        <v>74</v>
      </c>
      <c r="B101" s="1265">
        <v>101</v>
      </c>
      <c r="C101" s="324"/>
      <c r="D101" s="324"/>
      <c r="E101" s="324"/>
      <c r="F101" s="324"/>
    </row>
    <row r="102" spans="1:6">
      <c r="A102" s="1264" t="s">
        <v>75</v>
      </c>
      <c r="B102" s="1265">
        <v>50</v>
      </c>
      <c r="C102" s="324"/>
      <c r="D102" s="324"/>
      <c r="E102" s="324"/>
      <c r="F102" s="324"/>
    </row>
    <row r="103" spans="1:6">
      <c r="A103" s="1264" t="s">
        <v>76</v>
      </c>
      <c r="B103" s="1265">
        <v>134</v>
      </c>
      <c r="C103" s="324"/>
      <c r="D103" s="324"/>
      <c r="E103" s="324"/>
      <c r="F103" s="324"/>
    </row>
    <row r="104" spans="1:6">
      <c r="A104" s="1264" t="s">
        <v>77</v>
      </c>
      <c r="B104" s="1265">
        <v>1014</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14</v>
      </c>
      <c r="C123" s="1265">
        <v>38</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191</v>
      </c>
      <c r="C129" s="324"/>
      <c r="D129" s="324"/>
      <c r="E129" s="324"/>
      <c r="F129" s="324"/>
    </row>
    <row r="130" spans="1:6">
      <c r="A130" s="1264" t="s">
        <v>284</v>
      </c>
      <c r="B130" s="1265">
        <v>0</v>
      </c>
      <c r="C130" s="324"/>
      <c r="D130" s="324"/>
      <c r="E130" s="324"/>
      <c r="F130" s="324"/>
    </row>
    <row r="131" spans="1:6">
      <c r="A131" s="1264" t="s">
        <v>285</v>
      </c>
      <c r="B131" s="1265">
        <v>1</v>
      </c>
      <c r="C131" s="324"/>
      <c r="D131" s="324"/>
      <c r="E131" s="324"/>
      <c r="F131" s="324"/>
    </row>
    <row r="132" spans="1:6">
      <c r="A132" s="1259" t="s">
        <v>286</v>
      </c>
      <c r="B132" s="1260">
        <v>14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50135.427913622989</v>
      </c>
      <c r="C3" s="43" t="s">
        <v>163</v>
      </c>
      <c r="D3" s="43"/>
      <c r="E3" s="153"/>
      <c r="F3" s="43"/>
      <c r="G3" s="43"/>
      <c r="H3" s="43"/>
      <c r="I3" s="43"/>
      <c r="J3" s="43"/>
      <c r="K3" s="96"/>
    </row>
    <row r="4" spans="1:11">
      <c r="A4" s="350" t="s">
        <v>164</v>
      </c>
      <c r="B4" s="49">
        <f>IF(ISERROR('SEAP template'!B78+'SEAP template'!C78),0,'SEAP template'!B78+'SEAP template'!C78)</f>
        <v>10120.403666320773</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1283.294117647059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0.20198520083936905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1833.2773109243701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7714.2857142857147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399.47699999999998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399.47699999999998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0.20198520083936905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80.688442075708622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13040.798197463901</v>
      </c>
      <c r="C5" s="17">
        <f>IF(ISERROR('Eigen informatie GS &amp; warmtenet'!B59),0,'Eigen informatie GS &amp; warmtenet'!B59)</f>
        <v>0</v>
      </c>
      <c r="D5" s="30">
        <f>(SUM(HH_hh_gas_kWh,HH_rest_gas_kWh)/1000)*0.903</f>
        <v>29280.708872221821</v>
      </c>
      <c r="E5" s="17">
        <f>B32*B41</f>
        <v>1151.7158805247261</v>
      </c>
      <c r="F5" s="17">
        <f>B36*B45</f>
        <v>18873.953513768509</v>
      </c>
      <c r="G5" s="18"/>
      <c r="H5" s="17"/>
      <c r="I5" s="17"/>
      <c r="J5" s="17">
        <f>B35*B44+C35*C44</f>
        <v>104.17476413009834</v>
      </c>
      <c r="K5" s="17"/>
      <c r="L5" s="17"/>
      <c r="M5" s="17"/>
      <c r="N5" s="17">
        <f>B34*B43+C34*C43</f>
        <v>4942.8273223779643</v>
      </c>
      <c r="O5" s="17">
        <f>B52*B53*B54</f>
        <v>454.32643223963026</v>
      </c>
      <c r="P5" s="17">
        <f>B60*B61*B62/1000-B60*B61*B62/1000/B63</f>
        <v>305.48481992286571</v>
      </c>
    </row>
    <row r="6" spans="1:16">
      <c r="A6" s="16" t="s">
        <v>573</v>
      </c>
      <c r="B6" s="739">
        <f>kWh_PV_kleiner_dan_10kW</f>
        <v>3393.6557968847092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16434.453994348609</v>
      </c>
      <c r="C8" s="21">
        <f>C5</f>
        <v>0</v>
      </c>
      <c r="D8" s="21">
        <f>D5</f>
        <v>29280.708872221821</v>
      </c>
      <c r="E8" s="21">
        <f>E5</f>
        <v>1151.7158805247261</v>
      </c>
      <c r="F8" s="21">
        <f>F5</f>
        <v>18873.953513768509</v>
      </c>
      <c r="G8" s="21"/>
      <c r="H8" s="21"/>
      <c r="I8" s="21"/>
      <c r="J8" s="21">
        <f>J5</f>
        <v>104.17476413009834</v>
      </c>
      <c r="K8" s="21"/>
      <c r="L8" s="21">
        <f>L5</f>
        <v>0</v>
      </c>
      <c r="M8" s="21">
        <f>M5</f>
        <v>0</v>
      </c>
      <c r="N8" s="21">
        <f>N5</f>
        <v>4942.8273223779643</v>
      </c>
      <c r="O8" s="21">
        <f>O5</f>
        <v>454.32643223963026</v>
      </c>
      <c r="P8" s="21">
        <f>P5</f>
        <v>305.48481992286571</v>
      </c>
    </row>
    <row r="9" spans="1:16">
      <c r="B9" s="19"/>
      <c r="C9" s="19"/>
      <c r="D9" s="253"/>
      <c r="E9" s="19"/>
      <c r="F9" s="19"/>
      <c r="G9" s="19"/>
      <c r="H9" s="19"/>
      <c r="I9" s="19"/>
      <c r="J9" s="19"/>
      <c r="K9" s="19"/>
      <c r="L9" s="19"/>
      <c r="M9" s="19"/>
      <c r="N9" s="19"/>
      <c r="O9" s="19"/>
      <c r="P9" s="19"/>
    </row>
    <row r="10" spans="1:16">
      <c r="A10" s="24" t="s">
        <v>207</v>
      </c>
      <c r="B10" s="25">
        <f ca="1">'EF ele_warmte'!B12</f>
        <v>0.20198520083936905</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3319.5164907338749</v>
      </c>
      <c r="C12" s="23">
        <f ca="1">C10*C8</f>
        <v>0</v>
      </c>
      <c r="D12" s="23">
        <f>D8*D10</f>
        <v>5914.7031921888083</v>
      </c>
      <c r="E12" s="23">
        <f>E10*E8</f>
        <v>261.43950487911286</v>
      </c>
      <c r="F12" s="23">
        <f>F10*F8</f>
        <v>5039.345588176192</v>
      </c>
      <c r="G12" s="23"/>
      <c r="H12" s="23"/>
      <c r="I12" s="23"/>
      <c r="J12" s="23">
        <f>J10*J8</f>
        <v>36.877866502054808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3630</v>
      </c>
      <c r="C26" s="36"/>
      <c r="D26" s="224"/>
    </row>
    <row r="27" spans="1:5" s="15" customFormat="1">
      <c r="A27" s="226" t="s">
        <v>784</v>
      </c>
      <c r="B27" s="37">
        <f>SUM(HH_hh_gas_aantal,HH_rest_gas_aantal)</f>
        <v>2240</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2128</v>
      </c>
      <c r="C31" s="34" t="s">
        <v>104</v>
      </c>
      <c r="D31" s="170"/>
    </row>
    <row r="32" spans="1:5">
      <c r="A32" s="167" t="s">
        <v>72</v>
      </c>
      <c r="B32" s="33">
        <f>IF((B21*($B$26-($B$27-0.05*$B$27)-$B$60))&lt;0,0,B21*($B$26-($B$27-0.05*$B$27)-$B$60))</f>
        <v>22.720969299544748</v>
      </c>
      <c r="C32" s="34" t="s">
        <v>104</v>
      </c>
      <c r="D32" s="170"/>
    </row>
    <row r="33" spans="1:6">
      <c r="A33" s="167" t="s">
        <v>73</v>
      </c>
      <c r="B33" s="33">
        <f>IF((B22*($B$26-($B$27-0.05*$B$27)-$B$60))&lt;0,0,B22*($B$26-($B$27-0.05*$B$27)-$B$60))</f>
        <v>368.94354205100092</v>
      </c>
      <c r="C33" s="34" t="s">
        <v>104</v>
      </c>
      <c r="D33" s="170"/>
    </row>
    <row r="34" spans="1:6">
      <c r="A34" s="167" t="s">
        <v>74</v>
      </c>
      <c r="B34" s="33">
        <f>IF((B24*($B$26-($B$27-0.05*$B$27)-$B$60))&lt;0,0,B24*($B$26-($B$27-0.05*$B$27)-$B$60))</f>
        <v>161.32398442840892</v>
      </c>
      <c r="C34" s="33">
        <f>B26*C24</f>
        <v>609.83975247969556</v>
      </c>
      <c r="D34" s="229"/>
    </row>
    <row r="35" spans="1:6">
      <c r="A35" s="167" t="s">
        <v>76</v>
      </c>
      <c r="B35" s="33">
        <f>IF((B19*($B$26-($B$27-0.05*$B$27)-$B$60))&lt;0,0,B19*($B$26-($B$27-0.05*$B$27)-$B$60))</f>
        <v>9.8767511862386321</v>
      </c>
      <c r="C35" s="33">
        <f>B35/2</f>
        <v>4.9383755931193161</v>
      </c>
      <c r="D35" s="229"/>
    </row>
    <row r="36" spans="1:6">
      <c r="A36" s="167" t="s">
        <v>77</v>
      </c>
      <c r="B36" s="33">
        <f>IF((B18*($B$26-($B$27-0.05*$B$27)-$B$60))&lt;0,0,B18*($B$26-($B$27-0.05*$B$27)-$B$60))</f>
        <v>910.13475303480641</v>
      </c>
      <c r="C36" s="34" t="s">
        <v>104</v>
      </c>
      <c r="D36" s="170"/>
    </row>
    <row r="37" spans="1:6">
      <c r="A37" s="167" t="s">
        <v>78</v>
      </c>
      <c r="B37" s="33">
        <f>B60</f>
        <v>29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229</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8883.947749440591</v>
      </c>
      <c r="C5" s="17">
        <f>IF(ISERROR('Eigen informatie GS &amp; warmtenet'!B60),0,'Eigen informatie GS &amp; warmtenet'!B60)</f>
        <v>0</v>
      </c>
      <c r="D5" s="30">
        <f>SUM(D6:D12)</f>
        <v>10321.233125166964</v>
      </c>
      <c r="E5" s="17">
        <f>SUM(E6:E12)</f>
        <v>36.148105454100907</v>
      </c>
      <c r="F5" s="17">
        <f>SUM(F6:F12)</f>
        <v>2272.6909194439249</v>
      </c>
      <c r="G5" s="18"/>
      <c r="H5" s="17"/>
      <c r="I5" s="17"/>
      <c r="J5" s="17">
        <f>SUM(J6:J12)</f>
        <v>1.7129242039377272E-2</v>
      </c>
      <c r="K5" s="17"/>
      <c r="L5" s="17"/>
      <c r="M5" s="17"/>
      <c r="N5" s="17">
        <f>SUM(N6:N12)</f>
        <v>601.69562581266962</v>
      </c>
      <c r="O5" s="17">
        <f>B38*B39*B40</f>
        <v>0</v>
      </c>
      <c r="P5" s="17">
        <f>B46*B47*B48/1000-B46*B47*B48/1000/B49</f>
        <v>52.539138306495019</v>
      </c>
      <c r="R5" s="32"/>
    </row>
    <row r="6" spans="1:18">
      <c r="A6" s="32" t="s">
        <v>53</v>
      </c>
      <c r="B6" s="37">
        <f>B26</f>
        <v>1766.2309072500302</v>
      </c>
      <c r="C6" s="33"/>
      <c r="D6" s="37">
        <f>IF(ISERROR(TER_kantoor_gas_kWh/1000),0,TER_kantoor_gas_kWh/1000)*0.903</f>
        <v>2495.7663776039076</v>
      </c>
      <c r="E6" s="33">
        <f>$C$26*'E Balans VL '!I12/100/3.6*1000000</f>
        <v>0.42955985722140616</v>
      </c>
      <c r="F6" s="33">
        <f>$C$26*('E Balans VL '!L12+'E Balans VL '!N12)/100/3.6*1000000</f>
        <v>169.12779338597272</v>
      </c>
      <c r="G6" s="34"/>
      <c r="H6" s="33"/>
      <c r="I6" s="33"/>
      <c r="J6" s="33">
        <f>$C$26*('E Balans VL '!D12+'E Balans VL '!E12)/100/3.6*1000000</f>
        <v>0</v>
      </c>
      <c r="K6" s="33"/>
      <c r="L6" s="33"/>
      <c r="M6" s="33"/>
      <c r="N6" s="33">
        <f>$C$26*'E Balans VL '!Y12/100/3.6*1000000</f>
        <v>0.89666953593823751</v>
      </c>
      <c r="O6" s="33"/>
      <c r="P6" s="33"/>
      <c r="R6" s="32"/>
    </row>
    <row r="7" spans="1:18">
      <c r="A7" s="32" t="s">
        <v>52</v>
      </c>
      <c r="B7" s="37">
        <f t="shared" ref="B7:B12" si="0">B27</f>
        <v>742.89194095848495</v>
      </c>
      <c r="C7" s="33"/>
      <c r="D7" s="37">
        <f>IF(ISERROR(TER_horeca_gas_kWh/1000),0,TER_horeca_gas_kWh/1000)*0.903</f>
        <v>2085.9451565127629</v>
      </c>
      <c r="E7" s="33">
        <f>$C$27*'E Balans VL '!I9/100/3.6*1000000</f>
        <v>0</v>
      </c>
      <c r="F7" s="33">
        <f>$C$27*('E Balans VL '!L9+'E Balans VL '!N9)/100/3.6*1000000</f>
        <v>60.931320257546808</v>
      </c>
      <c r="G7" s="34"/>
      <c r="H7" s="33"/>
      <c r="I7" s="33"/>
      <c r="J7" s="33">
        <f>$C$27*('E Balans VL '!D9+'E Balans VL '!E9)/100/3.6*1000000</f>
        <v>0</v>
      </c>
      <c r="K7" s="33"/>
      <c r="L7" s="33"/>
      <c r="M7" s="33"/>
      <c r="N7" s="33">
        <f>$C$27*'E Balans VL '!Y9/100/3.6*1000000</f>
        <v>4.8791670668982539</v>
      </c>
      <c r="O7" s="33"/>
      <c r="P7" s="33"/>
      <c r="R7" s="32"/>
    </row>
    <row r="8" spans="1:18">
      <c r="A8" s="6" t="s">
        <v>51</v>
      </c>
      <c r="B8" s="37">
        <f t="shared" si="0"/>
        <v>3040.0819757423801</v>
      </c>
      <c r="C8" s="33"/>
      <c r="D8" s="37">
        <f>IF(ISERROR(TER_handel_gas_kWh/1000),0,TER_handel_gas_kWh/1000)*0.903</f>
        <v>1291.8981940582228</v>
      </c>
      <c r="E8" s="33">
        <f>$C$28*'E Balans VL '!I13/100/3.6*1000000</f>
        <v>10.746847276564786</v>
      </c>
      <c r="F8" s="33">
        <f>$C$28*('E Balans VL '!L13+'E Balans VL '!N13)/100/3.6*1000000</f>
        <v>279.92651791629879</v>
      </c>
      <c r="G8" s="34"/>
      <c r="H8" s="33"/>
      <c r="I8" s="33"/>
      <c r="J8" s="33">
        <f>$C$28*('E Balans VL '!D13+'E Balans VL '!E13)/100/3.6*1000000</f>
        <v>0</v>
      </c>
      <c r="K8" s="33"/>
      <c r="L8" s="33"/>
      <c r="M8" s="33"/>
      <c r="N8" s="33">
        <f>$C$28*'E Balans VL '!Y13/100/3.6*1000000</f>
        <v>1.1009868111866821</v>
      </c>
      <c r="O8" s="33"/>
      <c r="P8" s="33"/>
      <c r="R8" s="32"/>
    </row>
    <row r="9" spans="1:18">
      <c r="A9" s="32" t="s">
        <v>50</v>
      </c>
      <c r="B9" s="37">
        <f t="shared" si="0"/>
        <v>1492.43292932337</v>
      </c>
      <c r="C9" s="33"/>
      <c r="D9" s="37">
        <f>IF(ISERROR(TER_gezond_gas_kWh/1000),0,TER_gezond_gas_kWh/1000)*0.903</f>
        <v>2759.241996812008</v>
      </c>
      <c r="E9" s="33">
        <f>$C$29*'E Balans VL '!I10/100/3.6*1000000</f>
        <v>0</v>
      </c>
      <c r="F9" s="33">
        <f>$C$29*('E Balans VL '!L10+'E Balans VL '!N10)/100/3.6*1000000</f>
        <v>183.33929230031893</v>
      </c>
      <c r="G9" s="34"/>
      <c r="H9" s="33"/>
      <c r="I9" s="33"/>
      <c r="J9" s="33">
        <f>$C$29*('E Balans VL '!D10+'E Balans VL '!E10)/100/3.6*1000000</f>
        <v>0</v>
      </c>
      <c r="K9" s="33"/>
      <c r="L9" s="33"/>
      <c r="M9" s="33"/>
      <c r="N9" s="33">
        <f>$C$29*'E Balans VL '!Y10/100/3.6*1000000</f>
        <v>11.005652844656653</v>
      </c>
      <c r="O9" s="33"/>
      <c r="P9" s="33"/>
      <c r="R9" s="32"/>
    </row>
    <row r="10" spans="1:18">
      <c r="A10" s="32" t="s">
        <v>49</v>
      </c>
      <c r="B10" s="37">
        <f t="shared" si="0"/>
        <v>1718.9105097874701</v>
      </c>
      <c r="C10" s="33"/>
      <c r="D10" s="37">
        <f>IF(ISERROR(TER_ander_gas_kWh/1000),0,TER_ander_gas_kWh/1000)*0.903</f>
        <v>1616.4554044278236</v>
      </c>
      <c r="E10" s="33">
        <f>$C$30*'E Balans VL '!I14/100/3.6*1000000</f>
        <v>24.668845773830494</v>
      </c>
      <c r="F10" s="33">
        <f>$C$30*('E Balans VL '!L14+'E Balans VL '!N14)/100/3.6*1000000</f>
        <v>1553.9495225296846</v>
      </c>
      <c r="G10" s="34"/>
      <c r="H10" s="33"/>
      <c r="I10" s="33"/>
      <c r="J10" s="33">
        <f>$C$30*('E Balans VL '!D14+'E Balans VL '!E14)/100/3.6*1000000</f>
        <v>1.6975650974880591E-2</v>
      </c>
      <c r="K10" s="33"/>
      <c r="L10" s="33"/>
      <c r="M10" s="33"/>
      <c r="N10" s="33">
        <f>$C$30*'E Balans VL '!Y14/100/3.6*1000000</f>
        <v>578.31919010174397</v>
      </c>
      <c r="O10" s="33"/>
      <c r="P10" s="33"/>
      <c r="R10" s="32"/>
    </row>
    <row r="11" spans="1:18">
      <c r="A11" s="32" t="s">
        <v>54</v>
      </c>
      <c r="B11" s="37">
        <f t="shared" si="0"/>
        <v>47.397143378855098</v>
      </c>
      <c r="C11" s="33"/>
      <c r="D11" s="37">
        <f>IF(ISERROR(TER_onderwijs_gas_kWh/1000),0,TER_onderwijs_gas_kWh/1000)*0.903</f>
        <v>51.11207962924145</v>
      </c>
      <c r="E11" s="33">
        <f>$C$31*'E Balans VL '!I11/100/3.6*1000000</f>
        <v>0</v>
      </c>
      <c r="F11" s="33">
        <f>$C$31*('E Balans VL '!L11+'E Balans VL '!N11)/100/3.6*1000000</f>
        <v>5.5412904857365053</v>
      </c>
      <c r="G11" s="34"/>
      <c r="H11" s="33"/>
      <c r="I11" s="33"/>
      <c r="J11" s="33">
        <f>$C$31*('E Balans VL '!D11+'E Balans VL '!E11)/100/3.6*1000000</f>
        <v>0</v>
      </c>
      <c r="K11" s="33"/>
      <c r="L11" s="33"/>
      <c r="M11" s="33"/>
      <c r="N11" s="33">
        <f>$C$31*'E Balans VL '!Y11/100/3.6*1000000</f>
        <v>0.1334649130831857</v>
      </c>
      <c r="O11" s="33"/>
      <c r="P11" s="33"/>
      <c r="R11" s="32"/>
    </row>
    <row r="12" spans="1:18">
      <c r="A12" s="32" t="s">
        <v>249</v>
      </c>
      <c r="B12" s="37">
        <f t="shared" si="0"/>
        <v>76.002342999999996</v>
      </c>
      <c r="C12" s="33"/>
      <c r="D12" s="37">
        <f>IF(ISERROR(TER_rest_gas_kWh/1000),0,TER_rest_gas_kWh/1000)*0.903</f>
        <v>20.813916123000002</v>
      </c>
      <c r="E12" s="33">
        <f>$C$32*'E Balans VL '!I8/100/3.6*1000000</f>
        <v>0.30285254648422399</v>
      </c>
      <c r="F12" s="33">
        <f>$C$32*('E Balans VL '!L8+'E Balans VL '!N8)/100/3.6*1000000</f>
        <v>19.875182568366867</v>
      </c>
      <c r="G12" s="34"/>
      <c r="H12" s="33"/>
      <c r="I12" s="33"/>
      <c r="J12" s="33">
        <f>$C$32*('E Balans VL '!D8+'E Balans VL '!E8)/100/3.6*1000000</f>
        <v>1.5359106449667955E-4</v>
      </c>
      <c r="K12" s="33"/>
      <c r="L12" s="33"/>
      <c r="M12" s="33"/>
      <c r="N12" s="33">
        <f>$C$32*'E Balans VL '!Y8/100/3.6*1000000</f>
        <v>5.3604945391625494</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8883.947749440591</v>
      </c>
      <c r="C16" s="21">
        <f t="shared" ca="1" si="1"/>
        <v>0</v>
      </c>
      <c r="D16" s="21">
        <f t="shared" ca="1" si="1"/>
        <v>10321.233125166964</v>
      </c>
      <c r="E16" s="21">
        <f t="shared" si="1"/>
        <v>36.148105454100907</v>
      </c>
      <c r="F16" s="21">
        <f t="shared" ca="1" si="1"/>
        <v>2272.6909194439249</v>
      </c>
      <c r="G16" s="21">
        <f t="shared" si="1"/>
        <v>0</v>
      </c>
      <c r="H16" s="21">
        <f t="shared" si="1"/>
        <v>0</v>
      </c>
      <c r="I16" s="21">
        <f t="shared" si="1"/>
        <v>0</v>
      </c>
      <c r="J16" s="21">
        <f t="shared" si="1"/>
        <v>1.7129242039377272E-2</v>
      </c>
      <c r="K16" s="21">
        <f t="shared" si="1"/>
        <v>0</v>
      </c>
      <c r="L16" s="21">
        <f t="shared" ca="1" si="1"/>
        <v>0</v>
      </c>
      <c r="M16" s="21">
        <f t="shared" si="1"/>
        <v>0</v>
      </c>
      <c r="N16" s="21">
        <f t="shared" ca="1" si="1"/>
        <v>601.69562581266962</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0.20198520083936905</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1794.4259704172184</v>
      </c>
      <c r="C20" s="23">
        <f t="shared" ref="C20:P20" ca="1" si="2">C16*C18</f>
        <v>0</v>
      </c>
      <c r="D20" s="23">
        <f t="shared" ca="1" si="2"/>
        <v>2084.8890912837269</v>
      </c>
      <c r="E20" s="23">
        <f t="shared" si="2"/>
        <v>8.2056199380809058</v>
      </c>
      <c r="F20" s="23">
        <f t="shared" ca="1" si="2"/>
        <v>606.80847549152804</v>
      </c>
      <c r="G20" s="23">
        <f t="shared" si="2"/>
        <v>0</v>
      </c>
      <c r="H20" s="23">
        <f t="shared" si="2"/>
        <v>0</v>
      </c>
      <c r="I20" s="23">
        <f t="shared" si="2"/>
        <v>0</v>
      </c>
      <c r="J20" s="23">
        <f t="shared" si="2"/>
        <v>6.0637516819395535E-3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1766.2309072500302</v>
      </c>
      <c r="C26" s="39">
        <f>IF(ISERROR(B26*3.6/1000000/'E Balans VL '!Z12*100),0,B26*3.6/1000000/'E Balans VL '!Z12*100)</f>
        <v>4.9785493118727306E-2</v>
      </c>
      <c r="D26" s="232" t="s">
        <v>660</v>
      </c>
      <c r="F26" s="6"/>
    </row>
    <row r="27" spans="1:18">
      <c r="A27" s="227" t="s">
        <v>52</v>
      </c>
      <c r="B27" s="33">
        <f>IF(ISERROR(TER_horeca_ele_kWh/1000),0,TER_horeca_ele_kWh/1000)</f>
        <v>742.89194095848495</v>
      </c>
      <c r="C27" s="39">
        <f>IF(ISERROR(B27*3.6/1000000/'E Balans VL '!Z9*100),0,B27*3.6/1000000/'E Balans VL '!Z9*100)</f>
        <v>5.5076311234359972E-2</v>
      </c>
      <c r="D27" s="232" t="s">
        <v>660</v>
      </c>
      <c r="F27" s="6"/>
    </row>
    <row r="28" spans="1:18">
      <c r="A28" s="167" t="s">
        <v>51</v>
      </c>
      <c r="B28" s="33">
        <f>IF(ISERROR(TER_handel_ele_kWh/1000),0,TER_handel_ele_kWh/1000)</f>
        <v>3040.0819757423801</v>
      </c>
      <c r="C28" s="39">
        <f>IF(ISERROR(B28*3.6/1000000/'E Balans VL '!Z13*100),0,B28*3.6/1000000/'E Balans VL '!Z13*100)</f>
        <v>9.1073627928478798E-2</v>
      </c>
      <c r="D28" s="232" t="s">
        <v>660</v>
      </c>
      <c r="F28" s="6"/>
    </row>
    <row r="29" spans="1:18">
      <c r="A29" s="227" t="s">
        <v>50</v>
      </c>
      <c r="B29" s="33">
        <f>IF(ISERROR(TER_gezond_ele_kWh/1000),0,TER_gezond_ele_kWh/1000)</f>
        <v>1492.43292932337</v>
      </c>
      <c r="C29" s="39">
        <f>IF(ISERROR(B29*3.6/1000000/'E Balans VL '!Z10*100),0,B29*3.6/1000000/'E Balans VL '!Z10*100)</f>
        <v>0.14757235300776361</v>
      </c>
      <c r="D29" s="232" t="s">
        <v>660</v>
      </c>
      <c r="F29" s="6"/>
    </row>
    <row r="30" spans="1:18">
      <c r="A30" s="227" t="s">
        <v>49</v>
      </c>
      <c r="B30" s="33">
        <f>IF(ISERROR(TER_ander_ele_kWh/1000),0,TER_ander_ele_kWh/1000)</f>
        <v>1718.9105097874701</v>
      </c>
      <c r="C30" s="39">
        <f>IF(ISERROR(B30*3.6/1000000/'E Balans VL '!Z14*100),0,B30*3.6/1000000/'E Balans VL '!Z14*100)</f>
        <v>6.9524850409067251E-2</v>
      </c>
      <c r="D30" s="232" t="s">
        <v>660</v>
      </c>
      <c r="F30" s="6"/>
    </row>
    <row r="31" spans="1:18">
      <c r="A31" s="227" t="s">
        <v>54</v>
      </c>
      <c r="B31" s="33">
        <f>IF(ISERROR(TER_onderwijs_ele_kWh/1000),0,TER_onderwijs_ele_kWh/1000)</f>
        <v>47.397143378855098</v>
      </c>
      <c r="C31" s="39">
        <f>IF(ISERROR(B31*3.6/1000000/'E Balans VL '!Z11*100),0,B31*3.6/1000000/'E Balans VL '!Z11*100)</f>
        <v>1.3022068182986433E-2</v>
      </c>
      <c r="D31" s="232" t="s">
        <v>660</v>
      </c>
    </row>
    <row r="32" spans="1:18">
      <c r="A32" s="227" t="s">
        <v>249</v>
      </c>
      <c r="B32" s="33">
        <f>IF(ISERROR(TER_rest_ele_kWh/1000),0,TER_rest_ele_kWh/1000)</f>
        <v>76.002342999999996</v>
      </c>
      <c r="C32" s="39">
        <f>IF(ISERROR(B32*3.6/1000000/'E Balans VL '!Z8*100),0,B32*3.6/1000000/'E Balans VL '!Z8*100)</f>
        <v>6.2904190237547935E-4</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20451.104602626441</v>
      </c>
      <c r="C5" s="17">
        <f>IF(ISERROR('Eigen informatie GS &amp; warmtenet'!B61),0,'Eigen informatie GS &amp; warmtenet'!B61)</f>
        <v>0</v>
      </c>
      <c r="D5" s="30">
        <f>SUM(D6:D15)</f>
        <v>13792.097260911602</v>
      </c>
      <c r="E5" s="17">
        <f>SUM(E6:E15)</f>
        <v>56.265913418456684</v>
      </c>
      <c r="F5" s="17">
        <f>SUM(F6:F15)</f>
        <v>4329.5689780040457</v>
      </c>
      <c r="G5" s="18"/>
      <c r="H5" s="17"/>
      <c r="I5" s="17"/>
      <c r="J5" s="17">
        <f>SUM(J6:J15)</f>
        <v>1.6454860469400425</v>
      </c>
      <c r="K5" s="17"/>
      <c r="L5" s="17"/>
      <c r="M5" s="17"/>
      <c r="N5" s="17">
        <f>SUM(N6:N15)</f>
        <v>624.87683581204544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1412.1222050910201</v>
      </c>
      <c r="C8" s="33"/>
      <c r="D8" s="37">
        <f>IF( ISERROR(IND_metaal_Gas_kWH/1000),0,IND_metaal_Gas_kWH/1000)*0.903</f>
        <v>493.07194586069875</v>
      </c>
      <c r="E8" s="33">
        <f>C30*'E Balans VL '!I18/100/3.6*1000000</f>
        <v>7.717861216395919</v>
      </c>
      <c r="F8" s="33">
        <f>C30*'E Balans VL '!L18/100/3.6*1000000+C30*'E Balans VL '!N18/100/3.6*1000000</f>
        <v>96.657662014083627</v>
      </c>
      <c r="G8" s="34"/>
      <c r="H8" s="33"/>
      <c r="I8" s="33"/>
      <c r="J8" s="40">
        <f>C30*'E Balans VL '!D18/100/3.6*1000000+C30*'E Balans VL '!E18/100/3.6*1000000</f>
        <v>1.4072749741134283</v>
      </c>
      <c r="K8" s="33"/>
      <c r="L8" s="33"/>
      <c r="M8" s="33"/>
      <c r="N8" s="33">
        <f>C30*'E Balans VL '!Y18/100/3.6*1000000</f>
        <v>20.885967394333516</v>
      </c>
      <c r="O8" s="33"/>
      <c r="P8" s="33"/>
      <c r="R8" s="32"/>
    </row>
    <row r="9" spans="1:18">
      <c r="A9" s="6" t="s">
        <v>32</v>
      </c>
      <c r="B9" s="37">
        <f t="shared" si="0"/>
        <v>6178.4388189200599</v>
      </c>
      <c r="C9" s="33"/>
      <c r="D9" s="37">
        <f>IF( ISERROR(IND_andere_gas_kWh/1000),0,IND_andere_gas_kWh/1000)*0.903</f>
        <v>1171.9865927172386</v>
      </c>
      <c r="E9" s="33">
        <f>C31*'E Balans VL '!I19/100/3.6*1000000</f>
        <v>23.251099122996855</v>
      </c>
      <c r="F9" s="33">
        <f>C31*'E Balans VL '!L19/100/3.6*1000000+C31*'E Balans VL '!N19/100/3.6*1000000</f>
        <v>3976.6103040984704</v>
      </c>
      <c r="G9" s="34"/>
      <c r="H9" s="33"/>
      <c r="I9" s="33"/>
      <c r="J9" s="40">
        <f>C31*'E Balans VL '!D19/100/3.6*1000000+C31*'E Balans VL '!E19/100/3.6*1000000</f>
        <v>0</v>
      </c>
      <c r="K9" s="33"/>
      <c r="L9" s="33"/>
      <c r="M9" s="33"/>
      <c r="N9" s="33">
        <f>C31*'E Balans VL '!Y19/100/3.6*1000000</f>
        <v>223.20023657229572</v>
      </c>
      <c r="O9" s="33"/>
      <c r="P9" s="33"/>
      <c r="R9" s="32"/>
    </row>
    <row r="10" spans="1:18">
      <c r="A10" s="6" t="s">
        <v>40</v>
      </c>
      <c r="B10" s="37">
        <f t="shared" si="0"/>
        <v>11590.502545765399</v>
      </c>
      <c r="C10" s="33"/>
      <c r="D10" s="37">
        <f>IF( ISERROR(IND_voed_gas_kWh/1000),0,IND_voed_gas_kWh/1000)*0.903</f>
        <v>11926.348391407832</v>
      </c>
      <c r="E10" s="33">
        <f>C32*'E Balans VL '!I20/100/3.6*1000000</f>
        <v>22.944267922906999</v>
      </c>
      <c r="F10" s="33">
        <f>C32*'E Balans VL '!L20/100/3.6*1000000+C32*'E Balans VL '!N20/100/3.6*1000000</f>
        <v>246.16805957955032</v>
      </c>
      <c r="G10" s="34"/>
      <c r="H10" s="33"/>
      <c r="I10" s="33"/>
      <c r="J10" s="40">
        <f>C32*'E Balans VL '!D20/100/3.6*1000000+C32*'E Balans VL '!E20/100/3.6*1000000</f>
        <v>0</v>
      </c>
      <c r="K10" s="33"/>
      <c r="L10" s="33"/>
      <c r="M10" s="33"/>
      <c r="N10" s="33">
        <f>C32*'E Balans VL '!Y20/100/3.6*1000000</f>
        <v>467.14129604204493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45.664626580353797</v>
      </c>
      <c r="C12" s="33"/>
      <c r="D12" s="37">
        <f>IF( ISERROR(IND_min_gas_kWh/1000),0,IND_min_gas_kWh/1000)*0.903</f>
        <v>0</v>
      </c>
      <c r="E12" s="33">
        <f>C34*'E Balans VL '!I22/100/3.6*1000000</f>
        <v>0.55874980933178309</v>
      </c>
      <c r="F12" s="33">
        <f>C34*'E Balans VL '!L22/100/3.6*1000000+C34*'E Balans VL '!N22/100/3.6*1000000</f>
        <v>4.9300722143648628</v>
      </c>
      <c r="G12" s="34"/>
      <c r="H12" s="33"/>
      <c r="I12" s="33"/>
      <c r="J12" s="40">
        <f>C34*'E Balans VL '!D22/100/3.6*1000000+C34*'E Balans VL '!E22/100/3.6*1000000</f>
        <v>0</v>
      </c>
      <c r="K12" s="33"/>
      <c r="L12" s="33"/>
      <c r="M12" s="33"/>
      <c r="N12" s="33">
        <f>C34*'E Balans VL '!Y22/100/3.6*1000000</f>
        <v>22.025460293062284</v>
      </c>
      <c r="O12" s="33"/>
      <c r="P12" s="33"/>
      <c r="R12" s="32"/>
    </row>
    <row r="13" spans="1:18">
      <c r="A13" s="6" t="s">
        <v>38</v>
      </c>
      <c r="B13" s="37">
        <f t="shared" si="0"/>
        <v>1191.2408812592701</v>
      </c>
      <c r="C13" s="33"/>
      <c r="D13" s="37">
        <f>IF( ISERROR(IND_papier_gas_kWh/1000),0,IND_papier_gas_kWh/1000)*0.903</f>
        <v>200.69033092583157</v>
      </c>
      <c r="E13" s="33">
        <f>C35*'E Balans VL '!I23/100/3.6*1000000</f>
        <v>0</v>
      </c>
      <c r="F13" s="33">
        <f>C35*'E Balans VL '!L23/100/3.6*1000000+C35*'E Balans VL '!N23/100/3.6*1000000</f>
        <v>0.14593452730879478</v>
      </c>
      <c r="G13" s="34"/>
      <c r="H13" s="33"/>
      <c r="I13" s="33"/>
      <c r="J13" s="40">
        <f>C35*'E Balans VL '!D23/100/3.6*1000000+C35*'E Balans VL '!E23/100/3.6*1000000</f>
        <v>9.2815342732379943E-2</v>
      </c>
      <c r="K13" s="33"/>
      <c r="L13" s="33"/>
      <c r="M13" s="33"/>
      <c r="N13" s="33">
        <f>C35*'E Balans VL '!Y23/100/3.6*1000000</f>
        <v>-109.31540362282188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33.135525010337204</v>
      </c>
      <c r="C15" s="33"/>
      <c r="D15" s="37">
        <f>IF( ISERROR(IND_rest_gas_kWh/1000),0,IND_rest_gas_kWh/1000)*0.903</f>
        <v>0</v>
      </c>
      <c r="E15" s="33">
        <f>C37*'E Balans VL '!I15/100/3.6*1000000</f>
        <v>1.7939353468251296</v>
      </c>
      <c r="F15" s="33">
        <f>C37*'E Balans VL '!L15/100/3.6*1000000+C37*'E Balans VL '!N15/100/3.6*1000000</f>
        <v>5.0569455702669845</v>
      </c>
      <c r="G15" s="34"/>
      <c r="H15" s="33"/>
      <c r="I15" s="33"/>
      <c r="J15" s="40">
        <f>C37*'E Balans VL '!D15/100/3.6*1000000+C37*'E Balans VL '!E15/100/3.6*1000000</f>
        <v>0.14539573009423423</v>
      </c>
      <c r="K15" s="33"/>
      <c r="L15" s="33"/>
      <c r="M15" s="33"/>
      <c r="N15" s="33">
        <f>C37*'E Balans VL '!Y15/100/3.6*1000000</f>
        <v>0.93927913313090006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20451.104602626441</v>
      </c>
      <c r="C18" s="21">
        <f>C5+C16</f>
        <v>0</v>
      </c>
      <c r="D18" s="21">
        <f>MAX((D5+D16),0)</f>
        <v>13792.097260911602</v>
      </c>
      <c r="E18" s="21">
        <f>MAX((E5+E16),0)</f>
        <v>56.265913418456684</v>
      </c>
      <c r="F18" s="21">
        <f>MAX((F5+F16),0)</f>
        <v>4329.5689780040457</v>
      </c>
      <c r="G18" s="21"/>
      <c r="H18" s="21"/>
      <c r="I18" s="21"/>
      <c r="J18" s="21">
        <f>MAX((J5+J16),0)</f>
        <v>1.6454860469400425</v>
      </c>
      <c r="K18" s="21"/>
      <c r="L18" s="21">
        <f>MAX((L5+L16),0)</f>
        <v>0</v>
      </c>
      <c r="M18" s="21"/>
      <c r="N18" s="21">
        <f>MAX((N5+N16),0)</f>
        <v>624.87683581204544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0.20198520083936905</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4130.8204705484468</v>
      </c>
      <c r="C22" s="23">
        <f ca="1">C18*C20</f>
        <v>0</v>
      </c>
      <c r="D22" s="23">
        <f>D18*D20</f>
        <v>2786.0036467041436</v>
      </c>
      <c r="E22" s="23">
        <f>E18*E20</f>
        <v>12.772362345989668</v>
      </c>
      <c r="F22" s="23">
        <f>F18*F20</f>
        <v>1155.9949171270803</v>
      </c>
      <c r="G22" s="23"/>
      <c r="H22" s="23"/>
      <c r="I22" s="23"/>
      <c r="J22" s="23">
        <f>J18*J20</f>
        <v>0.58250206061677501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1412.1222050910201</v>
      </c>
      <c r="C30" s="39">
        <f>IF(ISERROR(B30*3.6/1000000/'E Balans VL '!Z18*100),0,B30*3.6/1000000/'E Balans VL '!Z18*100)</f>
        <v>7.8789889685977083E-2</v>
      </c>
      <c r="D30" s="232" t="s">
        <v>660</v>
      </c>
    </row>
    <row r="31" spans="1:18">
      <c r="A31" s="6" t="s">
        <v>32</v>
      </c>
      <c r="B31" s="37">
        <f>IF( ISERROR(IND_ander_ele_kWh/1000),0,IND_ander_ele_kWh/1000)</f>
        <v>6178.4388189200599</v>
      </c>
      <c r="C31" s="39">
        <f>IF(ISERROR(B31*3.6/1000000/'E Balans VL '!Z19*100),0,B31*3.6/1000000/'E Balans VL '!Z19*100)</f>
        <v>0.25148152504623489</v>
      </c>
      <c r="D31" s="232" t="s">
        <v>660</v>
      </c>
    </row>
    <row r="32" spans="1:18">
      <c r="A32" s="167" t="s">
        <v>40</v>
      </c>
      <c r="B32" s="37">
        <f>IF( ISERROR(IND_voed_ele_kWh/1000),0,IND_voed_ele_kWh/1000)</f>
        <v>11590.502545765399</v>
      </c>
      <c r="C32" s="39">
        <f>IF(ISERROR(B32*3.6/1000000/'E Balans VL '!Z20*100),0,B32*3.6/1000000/'E Balans VL '!Z20*100)</f>
        <v>0.33710792511281601</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45.664626580353797</v>
      </c>
      <c r="C34" s="39">
        <f>IF(ISERROR(B34*3.6/1000000/'E Balans VL '!Z22*100),0,B34*3.6/1000000/'E Balans VL '!Z22*100)</f>
        <v>1.8318765624181343E-2</v>
      </c>
      <c r="D34" s="232" t="s">
        <v>660</v>
      </c>
    </row>
    <row r="35" spans="1:5">
      <c r="A35" s="167" t="s">
        <v>38</v>
      </c>
      <c r="B35" s="37">
        <f>IF( ISERROR(IND_papier_ele_kWh/1000),0,IND_papier_ele_kWh/1000)</f>
        <v>1191.2408812592701</v>
      </c>
      <c r="C35" s="39">
        <f>IF(ISERROR(B35*3.6/1000000/'E Balans VL '!Z22*100),0,B35*3.6/1000000/'E Balans VL '!Z22*100)</f>
        <v>0.47787673172652789</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33.135525010337204</v>
      </c>
      <c r="C37" s="39">
        <f>IF(ISERROR(B37*3.6/1000000/'E Balans VL '!Z15*100),0,B37*3.6/1000000/'E Balans VL '!Z15*100)</f>
        <v>2.6689144841513093E-4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3335.1946725238299</v>
      </c>
      <c r="C5" s="17">
        <f>'Eigen informatie GS &amp; warmtenet'!B62</f>
        <v>0</v>
      </c>
      <c r="D5" s="30">
        <f>IF(ISERROR(SUM(LB_lb_gas_kWh,LB_rest_gas_kWh)/1000),0,SUM(LB_lb_gas_kWh,LB_rest_gas_kWh)/1000)*0.903</f>
        <v>1421.6813674473572</v>
      </c>
      <c r="E5" s="17">
        <f>B17*'E Balans VL '!I25/3.6*1000000/100</f>
        <v>98.330967974381039</v>
      </c>
      <c r="F5" s="17">
        <f>B17*('E Balans VL '!L25/3.6*1000000+'E Balans VL '!N25/3.6*1000000)/100</f>
        <v>10600.43396129913</v>
      </c>
      <c r="G5" s="18"/>
      <c r="H5" s="17"/>
      <c r="I5" s="17"/>
      <c r="J5" s="17">
        <f>('E Balans VL '!D25+'E Balans VL '!E25)/3.6*1000000*landbouw!B17/100</f>
        <v>841.11561582572551</v>
      </c>
      <c r="K5" s="17"/>
      <c r="L5" s="17">
        <f>L6*(-1)</f>
        <v>0</v>
      </c>
      <c r="M5" s="17"/>
      <c r="N5" s="17">
        <f>N6*(-1)</f>
        <v>0</v>
      </c>
      <c r="O5" s="17"/>
      <c r="P5" s="17"/>
      <c r="R5" s="32"/>
    </row>
    <row r="6" spans="1:18">
      <c r="A6" s="16" t="s">
        <v>466</v>
      </c>
      <c r="B6" s="17" t="s">
        <v>204</v>
      </c>
      <c r="C6" s="17">
        <f>'lokale energieproductie'!O39+'lokale energieproductie'!O32</f>
        <v>7714.2857142857147</v>
      </c>
      <c r="D6" s="302">
        <f>('lokale energieproductie'!P32+'lokale energieproductie'!P39)*(-1)</f>
        <v>-15428.571428571429</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3335.1946725238299</v>
      </c>
      <c r="C8" s="21">
        <f>C5+C6</f>
        <v>7714.2857142857147</v>
      </c>
      <c r="D8" s="21">
        <f>MAX((D5+D6),0)</f>
        <v>0</v>
      </c>
      <c r="E8" s="21">
        <f>MAX((E5+E6),0)</f>
        <v>98.330967974381039</v>
      </c>
      <c r="F8" s="21">
        <f>MAX((F5+F6),0)</f>
        <v>10600.43396129913</v>
      </c>
      <c r="G8" s="21"/>
      <c r="H8" s="21"/>
      <c r="I8" s="21"/>
      <c r="J8" s="21">
        <f>MAX((J5+J6),0)</f>
        <v>841.11561582572551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0.20198520083936905</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673.65996576811949</v>
      </c>
      <c r="C12" s="23">
        <f ca="1">C8*C10</f>
        <v>1833.2773109243701</v>
      </c>
      <c r="D12" s="23">
        <f>D8*D10</f>
        <v>0</v>
      </c>
      <c r="E12" s="23">
        <f>E8*E10</f>
        <v>22.321129730184495</v>
      </c>
      <c r="F12" s="23">
        <f>F8*F10</f>
        <v>2830.3158676668677</v>
      </c>
      <c r="G12" s="23"/>
      <c r="H12" s="23"/>
      <c r="I12" s="23"/>
      <c r="J12" s="23">
        <f>J8*J10</f>
        <v>297.75492800230683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0.4580802850194356</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392.25675906393764</v>
      </c>
      <c r="C26" s="242">
        <f>B26*'GWP N2O_CH4'!B5</f>
        <v>8237.3919403426898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342.87728558272022</v>
      </c>
      <c r="C27" s="242">
        <f>B27*'GWP N2O_CH4'!B5</f>
        <v>7200.4229972371249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7.5010779491470503</v>
      </c>
      <c r="C28" s="242">
        <f>B28*'GWP N2O_CH4'!B4</f>
        <v>2325.3341642355854</v>
      </c>
      <c r="D28" s="50"/>
    </row>
    <row r="29" spans="1:4">
      <c r="A29" s="41" t="s">
        <v>266</v>
      </c>
      <c r="B29" s="242">
        <f>B34*'ha_N2O bodem landbouw'!B4</f>
        <v>11.242633070090958</v>
      </c>
      <c r="C29" s="242">
        <f>B29*'GWP N2O_CH4'!B4</f>
        <v>3485.2162517281972</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2.5622281835187707E-3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8.6494308750110517E-4</v>
      </c>
      <c r="C5" s="430" t="s">
        <v>204</v>
      </c>
      <c r="D5" s="415">
        <f>SUM(D6:D11)</f>
        <v>1.3250742523340613E-3</v>
      </c>
      <c r="E5" s="415">
        <f>SUM(E6:E11)</f>
        <v>8.3710918057877215E-4</v>
      </c>
      <c r="F5" s="428" t="s">
        <v>204</v>
      </c>
      <c r="G5" s="415">
        <f>SUM(G6:G11)</f>
        <v>0.41435987540277763</v>
      </c>
      <c r="H5" s="415">
        <f>SUM(H6:H11)</f>
        <v>9.0361869573298309E-2</v>
      </c>
      <c r="I5" s="430" t="s">
        <v>204</v>
      </c>
      <c r="J5" s="430" t="s">
        <v>204</v>
      </c>
      <c r="K5" s="430" t="s">
        <v>204</v>
      </c>
      <c r="L5" s="430" t="s">
        <v>204</v>
      </c>
      <c r="M5" s="415">
        <f>SUM(M6:M11)</f>
        <v>2.9610647959518059E-2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1.9334056135639842E-4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3.3740757164297261E-4</v>
      </c>
      <c r="E6" s="844">
        <f>vkm_GW_PW*SUMIFS(TableVerdeelsleutelVkm[LPG],TableVerdeelsleutelVkm[Voertuigtype],"Lichte voertuigen")*SUMIFS(TableECFTransport[EnergieConsumptieFactor (PJ per km)],TableECFTransport[Index],CONCATENATE($A6,"_LPG_LPG"))</f>
        <v>1.8551701665966205E-4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5.7097373742430353E-2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2.2277044799188905E-2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4.7633013517615957E-3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1.173420216600523E-6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4.8564865018594916E-2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5.3224679786611003E-7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2.7342794279560656E-3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5.0493137296806498E-5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1.1296228475596624E-4</v>
      </c>
      <c r="E8" s="418">
        <f>vkm_NGW_PW*SUMIFS(TableVerdeelsleutelVkm[LPG],TableVerdeelsleutelVkm[Voertuigtype],"Lichte voertuigen")*SUMIFS(TableECFTransport[EnergieConsumptieFactor (PJ per km)],TableECFTransport[Index],CONCATENATE($A8,"_LPG_LPG"))</f>
        <v>5.9322081754929214E-5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1.6872083992428028E-2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7.3418622180835384E-3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1.4603092468411538E-3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1.1223340277186182E-7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5.9817471914173116E-3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6.144662975969784E-8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3.3678163020202801E-4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6.1670041496521256E-4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8.7470439593512238E-4</v>
      </c>
      <c r="E10" s="418">
        <f>vkm_SW_PW*SUMIFS(TableVerdeelsleutelVkm[LPG],TableVerdeelsleutelVkm[Voertuigtype],"Lichte voertuigen")*SUMIFS(TableECFTransport[EnergieConsumptieFactor (PJ per km)],TableECFTransport[Index],CONCATENATE($A10,"_LPG_LPG"))</f>
        <v>5.9227008216418083E-4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0.16372326327384043</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6.0740910698338972E-2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1.3440386501222219E-2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3.1233202633154225E-6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0.12212054218406657</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1.4581642592648927E-6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6.8755898015349978E-3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240.26196875030698</v>
      </c>
      <c r="C14" s="21"/>
      <c r="D14" s="21">
        <f t="shared" ref="D14:M14" si="0">((D5)*10^9/3600)+D12</f>
        <v>368.07618120390595</v>
      </c>
      <c r="E14" s="21">
        <f t="shared" si="0"/>
        <v>232.5303279385478</v>
      </c>
      <c r="F14" s="21"/>
      <c r="G14" s="21">
        <f t="shared" si="0"/>
        <v>115099.96538966044</v>
      </c>
      <c r="H14" s="21">
        <f t="shared" si="0"/>
        <v>25100.519325916197</v>
      </c>
      <c r="I14" s="21"/>
      <c r="J14" s="21"/>
      <c r="K14" s="21"/>
      <c r="L14" s="21"/>
      <c r="M14" s="21">
        <f t="shared" si="0"/>
        <v>8225.1799887550169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0.20198520083936905</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48.529362012092967</v>
      </c>
      <c r="C18" s="23"/>
      <c r="D18" s="23">
        <f t="shared" ref="D18:M18" si="1">D14*D16</f>
        <v>74.351388603189008</v>
      </c>
      <c r="E18" s="23">
        <f t="shared" si="1"/>
        <v>52.784384442050353</v>
      </c>
      <c r="F18" s="23"/>
      <c r="G18" s="23">
        <f t="shared" si="1"/>
        <v>30731.690759039338</v>
      </c>
      <c r="H18" s="23">
        <f t="shared" si="1"/>
        <v>6250.0293121531331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1.5649421998690433E-5</v>
      </c>
      <c r="C50" s="313">
        <f t="shared" ref="C50:P50" si="2">SUM(C51:C52)</f>
        <v>0</v>
      </c>
      <c r="D50" s="313">
        <f t="shared" si="2"/>
        <v>0</v>
      </c>
      <c r="E50" s="313">
        <f t="shared" si="2"/>
        <v>0</v>
      </c>
      <c r="F50" s="313">
        <f t="shared" si="2"/>
        <v>0</v>
      </c>
      <c r="G50" s="313">
        <f t="shared" si="2"/>
        <v>1.1170275473301125E-3</v>
      </c>
      <c r="H50" s="313">
        <f t="shared" si="2"/>
        <v>0</v>
      </c>
      <c r="I50" s="313">
        <f t="shared" si="2"/>
        <v>0</v>
      </c>
      <c r="J50" s="313">
        <f t="shared" si="2"/>
        <v>0</v>
      </c>
      <c r="K50" s="313">
        <f t="shared" si="2"/>
        <v>0</v>
      </c>
      <c r="L50" s="313">
        <f t="shared" si="2"/>
        <v>0</v>
      </c>
      <c r="M50" s="313">
        <f t="shared" si="2"/>
        <v>6.168069049012999E-5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1.5649421998690433E-5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1.1170275473301125E-3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6.168069049012999E-5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4.3470616663028974</v>
      </c>
      <c r="C54" s="21">
        <f t="shared" ref="C54:P54" si="3">(C50)*10^9/3600</f>
        <v>0</v>
      </c>
      <c r="D54" s="21">
        <f t="shared" si="3"/>
        <v>0</v>
      </c>
      <c r="E54" s="21">
        <f t="shared" si="3"/>
        <v>0</v>
      </c>
      <c r="F54" s="21">
        <f t="shared" si="3"/>
        <v>0</v>
      </c>
      <c r="G54" s="21">
        <f t="shared" si="3"/>
        <v>310.28542981392013</v>
      </c>
      <c r="H54" s="21">
        <f t="shared" si="3"/>
        <v>0</v>
      </c>
      <c r="I54" s="21">
        <f t="shared" si="3"/>
        <v>0</v>
      </c>
      <c r="J54" s="21">
        <f t="shared" si="3"/>
        <v>0</v>
      </c>
      <c r="K54" s="21">
        <f t="shared" si="3"/>
        <v>0</v>
      </c>
      <c r="L54" s="21">
        <f t="shared" si="3"/>
        <v>0</v>
      </c>
      <c r="M54" s="21">
        <f t="shared" si="3"/>
        <v>17.13352513614722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0.20198520083936905</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0.87804212372931301</v>
      </c>
      <c r="C58" s="23">
        <f t="shared" ref="C58:P58" ca="1" si="4">C54*C56</f>
        <v>0</v>
      </c>
      <c r="D58" s="23">
        <f t="shared" si="4"/>
        <v>0</v>
      </c>
      <c r="E58" s="23">
        <f t="shared" si="4"/>
        <v>0</v>
      </c>
      <c r="F58" s="23">
        <f t="shared" si="4"/>
        <v>0</v>
      </c>
      <c r="G58" s="23">
        <f t="shared" si="4"/>
        <v>82.846209760316682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4720.4036663207726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5400</v>
      </c>
      <c r="C8" s="540">
        <f>B48</f>
        <v>6352.9411764705892</v>
      </c>
      <c r="D8" s="541"/>
      <c r="E8" s="541">
        <f>E48</f>
        <v>0</v>
      </c>
      <c r="F8" s="542"/>
      <c r="G8" s="543"/>
      <c r="H8" s="541">
        <f>I48</f>
        <v>0</v>
      </c>
      <c r="I8" s="541">
        <f>G48+F48</f>
        <v>0</v>
      </c>
      <c r="J8" s="541">
        <f>H48+D48+C48</f>
        <v>0</v>
      </c>
      <c r="K8" s="541"/>
      <c r="L8" s="541"/>
      <c r="M8" s="541"/>
      <c r="N8" s="544"/>
      <c r="O8" s="545">
        <f>C8*$C$12+D8*$D$12+E8*$E$12+F8*$F$12+G8*$G$12+H8*$H$12+I8*$I$12+J8*$J$12</f>
        <v>1283.294117647059</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10120.403666320773</v>
      </c>
      <c r="C10" s="555">
        <f t="shared" ref="C10:L10" si="0">SUM(C8:C9)</f>
        <v>6352.9411764705892</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1283.294117647059</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7714.2857142857147</v>
      </c>
      <c r="C17" s="571">
        <f>B49</f>
        <v>9075.630252100842</v>
      </c>
      <c r="D17" s="572"/>
      <c r="E17" s="572">
        <f>E49</f>
        <v>0</v>
      </c>
      <c r="F17" s="573"/>
      <c r="G17" s="574"/>
      <c r="H17" s="571">
        <f>I49</f>
        <v>0</v>
      </c>
      <c r="I17" s="572">
        <f>G49+F49</f>
        <v>0</v>
      </c>
      <c r="J17" s="572">
        <f>H49+D49+C49</f>
        <v>0</v>
      </c>
      <c r="K17" s="572"/>
      <c r="L17" s="572"/>
      <c r="M17" s="572"/>
      <c r="N17" s="918"/>
      <c r="O17" s="575">
        <f>C17*$C$22+E17*$E$22+H17*$H$22+I17*$I$22+J17*$J$22+D17*$D$22+F17*$F$22+G17*$G$22+K17*$K$22+L17*$L$22</f>
        <v>1833.2773109243701</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7714.2857142857147</v>
      </c>
      <c r="C20" s="554">
        <f>SUM(C17:C19)</f>
        <v>9075.630252100842</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1833.2773109243701</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36011</v>
      </c>
      <c r="C28" s="746">
        <v>8810</v>
      </c>
      <c r="D28" s="632"/>
      <c r="E28" s="631"/>
      <c r="F28" s="631"/>
      <c r="G28" s="631" t="s">
        <v>861</v>
      </c>
      <c r="H28" s="631" t="s">
        <v>862</v>
      </c>
      <c r="I28" s="631"/>
      <c r="J28" s="745"/>
      <c r="K28" s="745"/>
      <c r="L28" s="631" t="s">
        <v>863</v>
      </c>
      <c r="M28" s="631">
        <v>1200</v>
      </c>
      <c r="N28" s="631">
        <v>5400</v>
      </c>
      <c r="O28" s="631">
        <v>7714.2857142857147</v>
      </c>
      <c r="P28" s="631">
        <v>15428.571428571429</v>
      </c>
      <c r="Q28" s="631">
        <v>0</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1200</v>
      </c>
      <c r="N29" s="589">
        <f>SUM(N28:N28)</f>
        <v>5400</v>
      </c>
      <c r="O29" s="589">
        <f>SUM(O28:O28)</f>
        <v>7714.2857142857147</v>
      </c>
      <c r="P29" s="589">
        <f>SUM(P28:P28)</f>
        <v>15428.571428571429</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1200</v>
      </c>
      <c r="N32" s="594">
        <f>SUMIF($AA$28:$AA$28,"landbouw",N28:N28)</f>
        <v>5400</v>
      </c>
      <c r="O32" s="594">
        <f>SUMIF($AA$28:$AA$28,"landbouw",O28:O28)</f>
        <v>7714.2857142857147</v>
      </c>
      <c r="P32" s="594">
        <f>SUMIF($AA$28:$AA$28,"landbouw",P28:P28)</f>
        <v>15428.571428571429</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0.41176470588235298</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6352.9411764705892</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9075.630252100842</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9283.4247494405918</v>
      </c>
      <c r="D10" s="642">
        <f ca="1">tertiair!C16</f>
        <v>0</v>
      </c>
      <c r="E10" s="642">
        <f ca="1">tertiair!D16</f>
        <v>10321.233125166964</v>
      </c>
      <c r="F10" s="642">
        <f>tertiair!E16</f>
        <v>36.148105454100907</v>
      </c>
      <c r="G10" s="642">
        <f ca="1">tertiair!F16</f>
        <v>2272.6909194439249</v>
      </c>
      <c r="H10" s="642">
        <f>tertiair!G16</f>
        <v>0</v>
      </c>
      <c r="I10" s="642">
        <f>tertiair!H16</f>
        <v>0</v>
      </c>
      <c r="J10" s="642">
        <f>tertiair!I16</f>
        <v>0</v>
      </c>
      <c r="K10" s="642">
        <f>tertiair!J16</f>
        <v>1.7129242039377272E-2</v>
      </c>
      <c r="L10" s="642">
        <f>tertiair!K16</f>
        <v>0</v>
      </c>
      <c r="M10" s="642">
        <f ca="1">tertiair!L16</f>
        <v>0</v>
      </c>
      <c r="N10" s="642">
        <f>tertiair!M16</f>
        <v>0</v>
      </c>
      <c r="O10" s="642">
        <f ca="1">tertiair!N16</f>
        <v>601.69562581266962</v>
      </c>
      <c r="P10" s="642">
        <f>tertiair!O16</f>
        <v>0</v>
      </c>
      <c r="Q10" s="643">
        <f>tertiair!P16</f>
        <v>52.539138306495019</v>
      </c>
      <c r="R10" s="645">
        <f ca="1">SUM(C10:Q10)</f>
        <v>22567.748792866783</v>
      </c>
      <c r="S10" s="67"/>
    </row>
    <row r="11" spans="1:19" s="441" customFormat="1">
      <c r="A11" s="762" t="s">
        <v>214</v>
      </c>
      <c r="B11" s="767"/>
      <c r="C11" s="642">
        <f>huishoudens!B8</f>
        <v>16434.453994348609</v>
      </c>
      <c r="D11" s="642">
        <f>huishoudens!C8</f>
        <v>0</v>
      </c>
      <c r="E11" s="642">
        <f>huishoudens!D8</f>
        <v>29280.708872221821</v>
      </c>
      <c r="F11" s="642">
        <f>huishoudens!E8</f>
        <v>1151.7158805247261</v>
      </c>
      <c r="G11" s="642">
        <f>huishoudens!F8</f>
        <v>18873.953513768509</v>
      </c>
      <c r="H11" s="642">
        <f>huishoudens!G8</f>
        <v>0</v>
      </c>
      <c r="I11" s="642">
        <f>huishoudens!H8</f>
        <v>0</v>
      </c>
      <c r="J11" s="642">
        <f>huishoudens!I8</f>
        <v>0</v>
      </c>
      <c r="K11" s="642">
        <f>huishoudens!J8</f>
        <v>104.17476413009834</v>
      </c>
      <c r="L11" s="642">
        <f>huishoudens!K8</f>
        <v>0</v>
      </c>
      <c r="M11" s="642">
        <f>huishoudens!L8</f>
        <v>0</v>
      </c>
      <c r="N11" s="642">
        <f>huishoudens!M8</f>
        <v>0</v>
      </c>
      <c r="O11" s="642">
        <f>huishoudens!N8</f>
        <v>4942.8273223779643</v>
      </c>
      <c r="P11" s="642">
        <f>huishoudens!O8</f>
        <v>454.32643223963026</v>
      </c>
      <c r="Q11" s="643">
        <f>huishoudens!P8</f>
        <v>305.48481992286571</v>
      </c>
      <c r="R11" s="645">
        <f>SUM(C11:Q11)</f>
        <v>71547.64559953424</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20451.104602626441</v>
      </c>
      <c r="D13" s="642">
        <f>industrie!C18</f>
        <v>0</v>
      </c>
      <c r="E13" s="642">
        <f>industrie!D18</f>
        <v>13792.097260911602</v>
      </c>
      <c r="F13" s="642">
        <f>industrie!E18</f>
        <v>56.265913418456684</v>
      </c>
      <c r="G13" s="642">
        <f>industrie!F18</f>
        <v>4329.5689780040457</v>
      </c>
      <c r="H13" s="642">
        <f>industrie!G18</f>
        <v>0</v>
      </c>
      <c r="I13" s="642">
        <f>industrie!H18</f>
        <v>0</v>
      </c>
      <c r="J13" s="642">
        <f>industrie!I18</f>
        <v>0</v>
      </c>
      <c r="K13" s="642">
        <f>industrie!J18</f>
        <v>1.6454860469400425</v>
      </c>
      <c r="L13" s="642">
        <f>industrie!K18</f>
        <v>0</v>
      </c>
      <c r="M13" s="642">
        <f>industrie!L18</f>
        <v>0</v>
      </c>
      <c r="N13" s="642">
        <f>industrie!M18</f>
        <v>0</v>
      </c>
      <c r="O13" s="642">
        <f>industrie!N18</f>
        <v>624.87683581204544</v>
      </c>
      <c r="P13" s="642">
        <f>industrie!O18</f>
        <v>0</v>
      </c>
      <c r="Q13" s="643">
        <f>industrie!P18</f>
        <v>0</v>
      </c>
      <c r="R13" s="645">
        <f>SUM(C13:Q13)</f>
        <v>39255.559076819532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46168.98334641564</v>
      </c>
      <c r="D16" s="678">
        <f t="shared" ref="D16:R16" ca="1" si="0">SUM(D9:D15)</f>
        <v>0</v>
      </c>
      <c r="E16" s="678">
        <f t="shared" ca="1" si="0"/>
        <v>53394.039258300385</v>
      </c>
      <c r="F16" s="678">
        <f t="shared" si="0"/>
        <v>1244.1298993972837</v>
      </c>
      <c r="G16" s="678">
        <f t="shared" ca="1" si="0"/>
        <v>25476.213411216479</v>
      </c>
      <c r="H16" s="678">
        <f t="shared" si="0"/>
        <v>0</v>
      </c>
      <c r="I16" s="678">
        <f t="shared" si="0"/>
        <v>0</v>
      </c>
      <c r="J16" s="678">
        <f t="shared" si="0"/>
        <v>0</v>
      </c>
      <c r="K16" s="678">
        <f t="shared" si="0"/>
        <v>105.83737941907775</v>
      </c>
      <c r="L16" s="678">
        <f t="shared" si="0"/>
        <v>0</v>
      </c>
      <c r="M16" s="678">
        <f t="shared" ca="1" si="0"/>
        <v>0</v>
      </c>
      <c r="N16" s="678">
        <f t="shared" si="0"/>
        <v>0</v>
      </c>
      <c r="O16" s="678">
        <f t="shared" ca="1" si="0"/>
        <v>6169.3997840026786</v>
      </c>
      <c r="P16" s="678">
        <f t="shared" si="0"/>
        <v>454.32643223963026</v>
      </c>
      <c r="Q16" s="678">
        <f t="shared" si="0"/>
        <v>358.02395822936074</v>
      </c>
      <c r="R16" s="678">
        <f t="shared" ca="1" si="0"/>
        <v>133370.95346922055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4.3470616663028974</v>
      </c>
      <c r="D19" s="642">
        <f>transport!C54</f>
        <v>0</v>
      </c>
      <c r="E19" s="642">
        <f>transport!D54</f>
        <v>0</v>
      </c>
      <c r="F19" s="642">
        <f>transport!E54</f>
        <v>0</v>
      </c>
      <c r="G19" s="642">
        <f>transport!F54</f>
        <v>0</v>
      </c>
      <c r="H19" s="642">
        <f>transport!G54</f>
        <v>310.28542981392013</v>
      </c>
      <c r="I19" s="642">
        <f>transport!H54</f>
        <v>0</v>
      </c>
      <c r="J19" s="642">
        <f>transport!I54</f>
        <v>0</v>
      </c>
      <c r="K19" s="642">
        <f>transport!J54</f>
        <v>0</v>
      </c>
      <c r="L19" s="642">
        <f>transport!K54</f>
        <v>0</v>
      </c>
      <c r="M19" s="642">
        <f>transport!L54</f>
        <v>0</v>
      </c>
      <c r="N19" s="642">
        <f>transport!M54</f>
        <v>17.13352513614722</v>
      </c>
      <c r="O19" s="642">
        <f>transport!N54</f>
        <v>0</v>
      </c>
      <c r="P19" s="642">
        <f>transport!O54</f>
        <v>0</v>
      </c>
      <c r="Q19" s="643">
        <f>transport!P54</f>
        <v>0</v>
      </c>
      <c r="R19" s="645">
        <f>SUM(C19:Q19)</f>
        <v>331.76601661637028</v>
      </c>
      <c r="S19" s="67"/>
    </row>
    <row r="20" spans="1:19" s="441" customFormat="1">
      <c r="A20" s="762" t="s">
        <v>296</v>
      </c>
      <c r="B20" s="767"/>
      <c r="C20" s="642">
        <f>transport!B14</f>
        <v>240.26196875030698</v>
      </c>
      <c r="D20" s="642">
        <f>transport!C14</f>
        <v>0</v>
      </c>
      <c r="E20" s="642">
        <f>transport!D14</f>
        <v>368.07618120390595</v>
      </c>
      <c r="F20" s="642">
        <f>transport!E14</f>
        <v>232.5303279385478</v>
      </c>
      <c r="G20" s="642">
        <f>transport!F14</f>
        <v>0</v>
      </c>
      <c r="H20" s="642">
        <f>transport!G14</f>
        <v>115099.96538966044</v>
      </c>
      <c r="I20" s="642">
        <f>transport!H14</f>
        <v>25100.519325916197</v>
      </c>
      <c r="J20" s="642">
        <f>transport!I14</f>
        <v>0</v>
      </c>
      <c r="K20" s="642">
        <f>transport!J14</f>
        <v>0</v>
      </c>
      <c r="L20" s="642">
        <f>transport!K14</f>
        <v>0</v>
      </c>
      <c r="M20" s="642">
        <f>transport!L14</f>
        <v>0</v>
      </c>
      <c r="N20" s="642">
        <f>transport!M14</f>
        <v>8225.1799887550169</v>
      </c>
      <c r="O20" s="642">
        <f>transport!N14</f>
        <v>0</v>
      </c>
      <c r="P20" s="642">
        <f>transport!O14</f>
        <v>0</v>
      </c>
      <c r="Q20" s="643">
        <f>transport!P14</f>
        <v>0</v>
      </c>
      <c r="R20" s="645">
        <f>SUM(C20:Q20)</f>
        <v>149266.53318222443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244.60903041660987</v>
      </c>
      <c r="D22" s="765">
        <f t="shared" ref="D22:R22" si="1">SUM(D18:D21)</f>
        <v>0</v>
      </c>
      <c r="E22" s="765">
        <f t="shared" si="1"/>
        <v>368.07618120390595</v>
      </c>
      <c r="F22" s="765">
        <f t="shared" si="1"/>
        <v>232.5303279385478</v>
      </c>
      <c r="G22" s="765">
        <f t="shared" si="1"/>
        <v>0</v>
      </c>
      <c r="H22" s="765">
        <f t="shared" si="1"/>
        <v>115410.25081947436</v>
      </c>
      <c r="I22" s="765">
        <f t="shared" si="1"/>
        <v>25100.519325916197</v>
      </c>
      <c r="J22" s="765">
        <f t="shared" si="1"/>
        <v>0</v>
      </c>
      <c r="K22" s="765">
        <f t="shared" si="1"/>
        <v>0</v>
      </c>
      <c r="L22" s="765">
        <f t="shared" si="1"/>
        <v>0</v>
      </c>
      <c r="M22" s="765">
        <f t="shared" si="1"/>
        <v>0</v>
      </c>
      <c r="N22" s="765">
        <f t="shared" si="1"/>
        <v>8242.3135138911639</v>
      </c>
      <c r="O22" s="765">
        <f t="shared" si="1"/>
        <v>0</v>
      </c>
      <c r="P22" s="765">
        <f t="shared" si="1"/>
        <v>0</v>
      </c>
      <c r="Q22" s="765">
        <f t="shared" si="1"/>
        <v>0</v>
      </c>
      <c r="R22" s="765">
        <f t="shared" si="1"/>
        <v>149598.2991988408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3335.1946725238299</v>
      </c>
      <c r="D24" s="642">
        <f>+landbouw!C8</f>
        <v>7714.2857142857147</v>
      </c>
      <c r="E24" s="642">
        <f>+landbouw!D8</f>
        <v>0</v>
      </c>
      <c r="F24" s="642">
        <f>+landbouw!E8</f>
        <v>98.330967974381039</v>
      </c>
      <c r="G24" s="642">
        <f>+landbouw!F8</f>
        <v>10600.43396129913</v>
      </c>
      <c r="H24" s="642">
        <f>+landbouw!G8</f>
        <v>0</v>
      </c>
      <c r="I24" s="642">
        <f>+landbouw!H8</f>
        <v>0</v>
      </c>
      <c r="J24" s="642">
        <f>+landbouw!I8</f>
        <v>0</v>
      </c>
      <c r="K24" s="642">
        <f>+landbouw!J8</f>
        <v>841.11561582572551</v>
      </c>
      <c r="L24" s="642">
        <f>+landbouw!K8</f>
        <v>0</v>
      </c>
      <c r="M24" s="642">
        <f>+landbouw!L8</f>
        <v>0</v>
      </c>
      <c r="N24" s="642">
        <f>+landbouw!M8</f>
        <v>0</v>
      </c>
      <c r="O24" s="642">
        <f>+landbouw!N8</f>
        <v>0</v>
      </c>
      <c r="P24" s="642">
        <f>+landbouw!O8</f>
        <v>0</v>
      </c>
      <c r="Q24" s="643">
        <f>+landbouw!P8</f>
        <v>0</v>
      </c>
      <c r="R24" s="645">
        <f>SUM(C24:Q24)</f>
        <v>22589.360931908781</v>
      </c>
      <c r="S24" s="67"/>
    </row>
    <row r="25" spans="1:19" s="441" customFormat="1" ht="15" thickBot="1">
      <c r="A25" s="784" t="s">
        <v>672</v>
      </c>
      <c r="B25" s="895"/>
      <c r="C25" s="896">
        <f>IF(Onbekend_ele_kWh="---",0,Onbekend_ele_kWh)/1000+IF(REST_rest_ele_kWh="---",0,REST_rest_ele_kWh)/1000</f>
        <v>386.64086426691296</v>
      </c>
      <c r="D25" s="896"/>
      <c r="E25" s="896">
        <f>IF(onbekend_gas_kWh="---",0,onbekend_gas_kWh)/1000+IF(REST_rest_gas_kWh="---",0,REST_rest_gas_kWh)/1000</f>
        <v>913.30043396149006</v>
      </c>
      <c r="F25" s="896"/>
      <c r="G25" s="896"/>
      <c r="H25" s="896"/>
      <c r="I25" s="896"/>
      <c r="J25" s="896"/>
      <c r="K25" s="896"/>
      <c r="L25" s="896"/>
      <c r="M25" s="896"/>
      <c r="N25" s="896"/>
      <c r="O25" s="896"/>
      <c r="P25" s="896"/>
      <c r="Q25" s="897"/>
      <c r="R25" s="645">
        <f>SUM(C25:Q25)</f>
        <v>1299.941298228403</v>
      </c>
      <c r="S25" s="67"/>
    </row>
    <row r="26" spans="1:19" s="441" customFormat="1" ht="15.75" thickBot="1">
      <c r="A26" s="650" t="s">
        <v>673</v>
      </c>
      <c r="B26" s="770"/>
      <c r="C26" s="765">
        <f>SUM(C24:C25)</f>
        <v>3721.8355367907429</v>
      </c>
      <c r="D26" s="765">
        <f t="shared" ref="D26:R26" si="2">SUM(D24:D25)</f>
        <v>7714.2857142857147</v>
      </c>
      <c r="E26" s="765">
        <f t="shared" si="2"/>
        <v>913.30043396149006</v>
      </c>
      <c r="F26" s="765">
        <f t="shared" si="2"/>
        <v>98.330967974381039</v>
      </c>
      <c r="G26" s="765">
        <f t="shared" si="2"/>
        <v>10600.43396129913</v>
      </c>
      <c r="H26" s="765">
        <f t="shared" si="2"/>
        <v>0</v>
      </c>
      <c r="I26" s="765">
        <f t="shared" si="2"/>
        <v>0</v>
      </c>
      <c r="J26" s="765">
        <f t="shared" si="2"/>
        <v>0</v>
      </c>
      <c r="K26" s="765">
        <f t="shared" si="2"/>
        <v>841.11561582572551</v>
      </c>
      <c r="L26" s="765">
        <f t="shared" si="2"/>
        <v>0</v>
      </c>
      <c r="M26" s="765">
        <f t="shared" si="2"/>
        <v>0</v>
      </c>
      <c r="N26" s="765">
        <f t="shared" si="2"/>
        <v>0</v>
      </c>
      <c r="O26" s="765">
        <f t="shared" si="2"/>
        <v>0</v>
      </c>
      <c r="P26" s="765">
        <f t="shared" si="2"/>
        <v>0</v>
      </c>
      <c r="Q26" s="765">
        <f t="shared" si="2"/>
        <v>0</v>
      </c>
      <c r="R26" s="765">
        <f t="shared" si="2"/>
        <v>23889.302230137182</v>
      </c>
      <c r="S26" s="67"/>
    </row>
    <row r="27" spans="1:19" s="441" customFormat="1" ht="17.25" thickTop="1" thickBot="1">
      <c r="A27" s="651" t="s">
        <v>109</v>
      </c>
      <c r="B27" s="757"/>
      <c r="C27" s="652">
        <f ca="1">C22+C16+C26</f>
        <v>50135.427913622989</v>
      </c>
      <c r="D27" s="652">
        <f t="shared" ref="D27:R27" ca="1" si="3">D22+D16+D26</f>
        <v>7714.2857142857147</v>
      </c>
      <c r="E27" s="652">
        <f t="shared" ca="1" si="3"/>
        <v>54675.415873465783</v>
      </c>
      <c r="F27" s="652">
        <f t="shared" si="3"/>
        <v>1574.9911953102126</v>
      </c>
      <c r="G27" s="652">
        <f t="shared" ca="1" si="3"/>
        <v>36076.64737251561</v>
      </c>
      <c r="H27" s="652">
        <f t="shared" si="3"/>
        <v>115410.25081947436</v>
      </c>
      <c r="I27" s="652">
        <f t="shared" si="3"/>
        <v>25100.519325916197</v>
      </c>
      <c r="J27" s="652">
        <f t="shared" si="3"/>
        <v>0</v>
      </c>
      <c r="K27" s="652">
        <f t="shared" si="3"/>
        <v>946.95299524480322</v>
      </c>
      <c r="L27" s="652">
        <f t="shared" si="3"/>
        <v>0</v>
      </c>
      <c r="M27" s="652">
        <f t="shared" ca="1" si="3"/>
        <v>0</v>
      </c>
      <c r="N27" s="652">
        <f t="shared" si="3"/>
        <v>8242.3135138911639</v>
      </c>
      <c r="O27" s="652">
        <f t="shared" ca="1" si="3"/>
        <v>6169.3997840026786</v>
      </c>
      <c r="P27" s="652">
        <f t="shared" si="3"/>
        <v>454.32643223963026</v>
      </c>
      <c r="Q27" s="652">
        <f t="shared" si="3"/>
        <v>358.02395822936074</v>
      </c>
      <c r="R27" s="652">
        <f t="shared" ca="1" si="3"/>
        <v>306858.55489819852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1875.1144124929269</v>
      </c>
      <c r="D40" s="642">
        <f ca="1">tertiair!C20</f>
        <v>0</v>
      </c>
      <c r="E40" s="642">
        <f ca="1">tertiair!D20</f>
        <v>2084.8890912837269</v>
      </c>
      <c r="F40" s="642">
        <f>tertiair!E20</f>
        <v>8.2056199380809058</v>
      </c>
      <c r="G40" s="642">
        <f ca="1">tertiair!F20</f>
        <v>606.80847549152804</v>
      </c>
      <c r="H40" s="642">
        <f>tertiair!G20</f>
        <v>0</v>
      </c>
      <c r="I40" s="642">
        <f>tertiair!H20</f>
        <v>0</v>
      </c>
      <c r="J40" s="642">
        <f>tertiair!I20</f>
        <v>0</v>
      </c>
      <c r="K40" s="642">
        <f>tertiair!J20</f>
        <v>6.0637516819395535E-3</v>
      </c>
      <c r="L40" s="642">
        <f>tertiair!K20</f>
        <v>0</v>
      </c>
      <c r="M40" s="642">
        <f ca="1">tertiair!L20</f>
        <v>0</v>
      </c>
      <c r="N40" s="642">
        <f>tertiair!M20</f>
        <v>0</v>
      </c>
      <c r="O40" s="642">
        <f ca="1">tertiair!N20</f>
        <v>0</v>
      </c>
      <c r="P40" s="642">
        <f>tertiair!O20</f>
        <v>0</v>
      </c>
      <c r="Q40" s="725">
        <f>tertiair!P20</f>
        <v>0</v>
      </c>
      <c r="R40" s="803">
        <f t="shared" ca="1" si="4"/>
        <v>4575.0236629579449</v>
      </c>
    </row>
    <row r="41" spans="1:18">
      <c r="A41" s="775" t="s">
        <v>214</v>
      </c>
      <c r="B41" s="782"/>
      <c r="C41" s="642">
        <f ca="1">huishoudens!B12</f>
        <v>3319.5164907338749</v>
      </c>
      <c r="D41" s="642">
        <f ca="1">huishoudens!C12</f>
        <v>0</v>
      </c>
      <c r="E41" s="642">
        <f>huishoudens!D12</f>
        <v>5914.7031921888083</v>
      </c>
      <c r="F41" s="642">
        <f>huishoudens!E12</f>
        <v>261.43950487911286</v>
      </c>
      <c r="G41" s="642">
        <f>huishoudens!F12</f>
        <v>5039.345588176192</v>
      </c>
      <c r="H41" s="642">
        <f>huishoudens!G12</f>
        <v>0</v>
      </c>
      <c r="I41" s="642">
        <f>huishoudens!H12</f>
        <v>0</v>
      </c>
      <c r="J41" s="642">
        <f>huishoudens!I12</f>
        <v>0</v>
      </c>
      <c r="K41" s="642">
        <f>huishoudens!J12</f>
        <v>36.877866502054808</v>
      </c>
      <c r="L41" s="642">
        <f>huishoudens!K12</f>
        <v>0</v>
      </c>
      <c r="M41" s="642">
        <f>huishoudens!L12</f>
        <v>0</v>
      </c>
      <c r="N41" s="642">
        <f>huishoudens!M12</f>
        <v>0</v>
      </c>
      <c r="O41" s="642">
        <f>huishoudens!N12</f>
        <v>0</v>
      </c>
      <c r="P41" s="642">
        <f>huishoudens!O12</f>
        <v>0</v>
      </c>
      <c r="Q41" s="725">
        <f>huishoudens!P12</f>
        <v>0</v>
      </c>
      <c r="R41" s="803">
        <f t="shared" ca="1" si="4"/>
        <v>14571.882642480043</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4130.8204705484468</v>
      </c>
      <c r="D43" s="642">
        <f ca="1">industrie!C22</f>
        <v>0</v>
      </c>
      <c r="E43" s="642">
        <f>industrie!D22</f>
        <v>2786.0036467041436</v>
      </c>
      <c r="F43" s="642">
        <f>industrie!E22</f>
        <v>12.772362345989668</v>
      </c>
      <c r="G43" s="642">
        <f>industrie!F22</f>
        <v>1155.9949171270803</v>
      </c>
      <c r="H43" s="642">
        <f>industrie!G22</f>
        <v>0</v>
      </c>
      <c r="I43" s="642">
        <f>industrie!H22</f>
        <v>0</v>
      </c>
      <c r="J43" s="642">
        <f>industrie!I22</f>
        <v>0</v>
      </c>
      <c r="K43" s="642">
        <f>industrie!J22</f>
        <v>0.58250206061677501</v>
      </c>
      <c r="L43" s="642">
        <f>industrie!K22</f>
        <v>0</v>
      </c>
      <c r="M43" s="642">
        <f>industrie!L22</f>
        <v>0</v>
      </c>
      <c r="N43" s="642">
        <f>industrie!M22</f>
        <v>0</v>
      </c>
      <c r="O43" s="642">
        <f>industrie!N22</f>
        <v>0</v>
      </c>
      <c r="P43" s="642">
        <f>industrie!O22</f>
        <v>0</v>
      </c>
      <c r="Q43" s="725">
        <f>industrie!P22</f>
        <v>0</v>
      </c>
      <c r="R43" s="802">
        <f t="shared" ca="1" si="4"/>
        <v>8086.1738987862773</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9325.4513737752495</v>
      </c>
      <c r="D46" s="678">
        <f t="shared" ref="D46:Q46" ca="1" si="5">SUM(D39:D45)</f>
        <v>0</v>
      </c>
      <c r="E46" s="678">
        <f t="shared" ca="1" si="5"/>
        <v>10785.595930176678</v>
      </c>
      <c r="F46" s="678">
        <f t="shared" si="5"/>
        <v>282.41748716318347</v>
      </c>
      <c r="G46" s="678">
        <f t="shared" ca="1" si="5"/>
        <v>6802.1489807948001</v>
      </c>
      <c r="H46" s="678">
        <f t="shared" si="5"/>
        <v>0</v>
      </c>
      <c r="I46" s="678">
        <f t="shared" si="5"/>
        <v>0</v>
      </c>
      <c r="J46" s="678">
        <f t="shared" si="5"/>
        <v>0</v>
      </c>
      <c r="K46" s="678">
        <f t="shared" si="5"/>
        <v>37.466432314353526</v>
      </c>
      <c r="L46" s="678">
        <f t="shared" si="5"/>
        <v>0</v>
      </c>
      <c r="M46" s="678">
        <f t="shared" ca="1" si="5"/>
        <v>0</v>
      </c>
      <c r="N46" s="678">
        <f t="shared" si="5"/>
        <v>0</v>
      </c>
      <c r="O46" s="678">
        <f t="shared" ca="1" si="5"/>
        <v>0</v>
      </c>
      <c r="P46" s="678">
        <f t="shared" si="5"/>
        <v>0</v>
      </c>
      <c r="Q46" s="678">
        <f t="shared" si="5"/>
        <v>0</v>
      </c>
      <c r="R46" s="678">
        <f ca="1">SUM(R39:R45)</f>
        <v>27233.080204224265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0.87804212372931301</v>
      </c>
      <c r="D49" s="642">
        <f ca="1">transport!C58</f>
        <v>0</v>
      </c>
      <c r="E49" s="642">
        <f>transport!D58</f>
        <v>0</v>
      </c>
      <c r="F49" s="642">
        <f>transport!E58</f>
        <v>0</v>
      </c>
      <c r="G49" s="642">
        <f>transport!F58</f>
        <v>0</v>
      </c>
      <c r="H49" s="642">
        <f>transport!G58</f>
        <v>82.846209760316682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83.724251884045998</v>
      </c>
    </row>
    <row r="50" spans="1:18">
      <c r="A50" s="778" t="s">
        <v>296</v>
      </c>
      <c r="B50" s="788"/>
      <c r="C50" s="648">
        <f ca="1">transport!B18</f>
        <v>48.529362012092967</v>
      </c>
      <c r="D50" s="648">
        <f>transport!C18</f>
        <v>0</v>
      </c>
      <c r="E50" s="648">
        <f>transport!D18</f>
        <v>74.351388603189008</v>
      </c>
      <c r="F50" s="648">
        <f>transport!E18</f>
        <v>52.784384442050353</v>
      </c>
      <c r="G50" s="648">
        <f>transport!F18</f>
        <v>0</v>
      </c>
      <c r="H50" s="648">
        <f>transport!G18</f>
        <v>30731.690759039338</v>
      </c>
      <c r="I50" s="648">
        <f>transport!H18</f>
        <v>6250.0293121531331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37157.385206249804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49.407404135822283</v>
      </c>
      <c r="D52" s="678">
        <f t="shared" ref="D52:Q52" ca="1" si="6">SUM(D48:D51)</f>
        <v>0</v>
      </c>
      <c r="E52" s="678">
        <f t="shared" si="6"/>
        <v>74.351388603189008</v>
      </c>
      <c r="F52" s="678">
        <f t="shared" si="6"/>
        <v>52.784384442050353</v>
      </c>
      <c r="G52" s="678">
        <f t="shared" si="6"/>
        <v>0</v>
      </c>
      <c r="H52" s="678">
        <f t="shared" si="6"/>
        <v>30814.536968799654</v>
      </c>
      <c r="I52" s="678">
        <f t="shared" si="6"/>
        <v>6250.0293121531331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37241.109458133848</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673.65996576811949</v>
      </c>
      <c r="D54" s="648">
        <f ca="1">+landbouw!C12</f>
        <v>1833.2773109243701</v>
      </c>
      <c r="E54" s="648">
        <f>+landbouw!D12</f>
        <v>0</v>
      </c>
      <c r="F54" s="648">
        <f>+landbouw!E12</f>
        <v>22.321129730184495</v>
      </c>
      <c r="G54" s="648">
        <f>+landbouw!F12</f>
        <v>2830.3158676668677</v>
      </c>
      <c r="H54" s="648">
        <f>+landbouw!G12</f>
        <v>0</v>
      </c>
      <c r="I54" s="648">
        <f>+landbouw!H12</f>
        <v>0</v>
      </c>
      <c r="J54" s="648">
        <f>+landbouw!I12</f>
        <v>0</v>
      </c>
      <c r="K54" s="648">
        <f>+landbouw!J12</f>
        <v>297.75492800230683</v>
      </c>
      <c r="L54" s="648">
        <f>+landbouw!K12</f>
        <v>0</v>
      </c>
      <c r="M54" s="648">
        <f>+landbouw!L12</f>
        <v>0</v>
      </c>
      <c r="N54" s="648">
        <f>+landbouw!M12</f>
        <v>0</v>
      </c>
      <c r="O54" s="648">
        <f>+landbouw!N12</f>
        <v>0</v>
      </c>
      <c r="P54" s="648">
        <f>+landbouw!O12</f>
        <v>0</v>
      </c>
      <c r="Q54" s="649">
        <f>+landbouw!P12</f>
        <v>0</v>
      </c>
      <c r="R54" s="677">
        <f ca="1">SUM(C54:Q54)</f>
        <v>5657.3292020918489</v>
      </c>
    </row>
    <row r="55" spans="1:18" ht="15" thickBot="1">
      <c r="A55" s="778" t="s">
        <v>672</v>
      </c>
      <c r="B55" s="788"/>
      <c r="C55" s="648">
        <f ca="1">C25*'EF ele_warmte'!B12</f>
        <v>78.095732621659636</v>
      </c>
      <c r="D55" s="648"/>
      <c r="E55" s="648">
        <f>E25*EF_CO2_aardgas</f>
        <v>184.48668766022101</v>
      </c>
      <c r="F55" s="648"/>
      <c r="G55" s="648"/>
      <c r="H55" s="648"/>
      <c r="I55" s="648"/>
      <c r="J55" s="648"/>
      <c r="K55" s="648"/>
      <c r="L55" s="648"/>
      <c r="M55" s="648"/>
      <c r="N55" s="648"/>
      <c r="O55" s="648"/>
      <c r="P55" s="648"/>
      <c r="Q55" s="649"/>
      <c r="R55" s="677">
        <f ca="1">SUM(C55:Q55)</f>
        <v>262.58242028188067</v>
      </c>
    </row>
    <row r="56" spans="1:18" ht="15.75" thickBot="1">
      <c r="A56" s="776" t="s">
        <v>673</v>
      </c>
      <c r="B56" s="789"/>
      <c r="C56" s="678">
        <f ca="1">SUM(C54:C55)</f>
        <v>751.75569838977913</v>
      </c>
      <c r="D56" s="678">
        <f t="shared" ref="D56:Q56" ca="1" si="7">SUM(D54:D55)</f>
        <v>1833.2773109243701</v>
      </c>
      <c r="E56" s="678">
        <f t="shared" si="7"/>
        <v>184.48668766022101</v>
      </c>
      <c r="F56" s="678">
        <f t="shared" si="7"/>
        <v>22.321129730184495</v>
      </c>
      <c r="G56" s="678">
        <f t="shared" si="7"/>
        <v>2830.3158676668677</v>
      </c>
      <c r="H56" s="678">
        <f t="shared" si="7"/>
        <v>0</v>
      </c>
      <c r="I56" s="678">
        <f t="shared" si="7"/>
        <v>0</v>
      </c>
      <c r="J56" s="678">
        <f t="shared" si="7"/>
        <v>0</v>
      </c>
      <c r="K56" s="678">
        <f t="shared" si="7"/>
        <v>297.75492800230683</v>
      </c>
      <c r="L56" s="678">
        <f t="shared" si="7"/>
        <v>0</v>
      </c>
      <c r="M56" s="678">
        <f t="shared" si="7"/>
        <v>0</v>
      </c>
      <c r="N56" s="678">
        <f t="shared" si="7"/>
        <v>0</v>
      </c>
      <c r="O56" s="678">
        <f t="shared" si="7"/>
        <v>0</v>
      </c>
      <c r="P56" s="678">
        <f t="shared" si="7"/>
        <v>0</v>
      </c>
      <c r="Q56" s="679">
        <f t="shared" si="7"/>
        <v>0</v>
      </c>
      <c r="R56" s="680">
        <f ca="1">SUM(R54:R55)</f>
        <v>5919.9116223737292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10126.614476300851</v>
      </c>
      <c r="D61" s="686">
        <f t="shared" ref="D61:Q61" ca="1" si="8">D46+D52+D56</f>
        <v>1833.2773109243701</v>
      </c>
      <c r="E61" s="686">
        <f t="shared" ca="1" si="8"/>
        <v>11044.434006440088</v>
      </c>
      <c r="F61" s="686">
        <f t="shared" si="8"/>
        <v>357.52300133541831</v>
      </c>
      <c r="G61" s="686">
        <f t="shared" ca="1" si="8"/>
        <v>9632.4648484616682</v>
      </c>
      <c r="H61" s="686">
        <f t="shared" si="8"/>
        <v>30814.536968799654</v>
      </c>
      <c r="I61" s="686">
        <f t="shared" si="8"/>
        <v>6250.0293121531331</v>
      </c>
      <c r="J61" s="686">
        <f t="shared" si="8"/>
        <v>0</v>
      </c>
      <c r="K61" s="686">
        <f t="shared" si="8"/>
        <v>335.22136031666037</v>
      </c>
      <c r="L61" s="686">
        <f t="shared" si="8"/>
        <v>0</v>
      </c>
      <c r="M61" s="686">
        <f t="shared" ca="1" si="8"/>
        <v>0</v>
      </c>
      <c r="N61" s="686">
        <f t="shared" si="8"/>
        <v>0</v>
      </c>
      <c r="O61" s="686">
        <f t="shared" ca="1" si="8"/>
        <v>0</v>
      </c>
      <c r="P61" s="686">
        <f t="shared" si="8"/>
        <v>0</v>
      </c>
      <c r="Q61" s="686">
        <f t="shared" si="8"/>
        <v>0</v>
      </c>
      <c r="R61" s="686">
        <f ca="1">R46+R52+R56</f>
        <v>70394.101284731849</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0.20198520083936908</v>
      </c>
      <c r="D63" s="732">
        <f t="shared" ca="1" si="9"/>
        <v>0.23764705882352943</v>
      </c>
      <c r="E63" s="921">
        <f t="shared" ca="1" si="9"/>
        <v>0.20199999999999999</v>
      </c>
      <c r="F63" s="732">
        <f t="shared" si="9"/>
        <v>0.22700000000000004</v>
      </c>
      <c r="G63" s="732">
        <f t="shared" ca="1" si="9"/>
        <v>0.26700000000000002</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4720.4036663207726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5400</v>
      </c>
      <c r="D76" s="904">
        <f>'lokale energieproductie'!C8</f>
        <v>6352.9411764705892</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1283.294117647059</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4720.4036663207726</v>
      </c>
      <c r="C78" s="704">
        <f>SUM(C72:C77)</f>
        <v>5400</v>
      </c>
      <c r="D78" s="705">
        <f t="shared" ref="D78:H78" si="10">SUM(D76:D77)</f>
        <v>6352.9411764705892</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1283.294117647059</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7714.2857142857147</v>
      </c>
      <c r="D87" s="728">
        <f>'lokale energieproductie'!C17</f>
        <v>9075.630252100842</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1833.2773109243701</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7714.2857142857147</v>
      </c>
      <c r="D90" s="704">
        <f t="shared" ref="D90:H90" si="12">SUM(D87:D89)</f>
        <v>9075.630252100842</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1833.2773109243701</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16434.453994348609</v>
      </c>
      <c r="C4" s="445">
        <f>huishoudens!C8</f>
        <v>0</v>
      </c>
      <c r="D4" s="445">
        <f>huishoudens!D8</f>
        <v>29280.708872221821</v>
      </c>
      <c r="E4" s="445">
        <f>huishoudens!E8</f>
        <v>1151.7158805247261</v>
      </c>
      <c r="F4" s="445">
        <f>huishoudens!F8</f>
        <v>18873.953513768509</v>
      </c>
      <c r="G4" s="445">
        <f>huishoudens!G8</f>
        <v>0</v>
      </c>
      <c r="H4" s="445">
        <f>huishoudens!H8</f>
        <v>0</v>
      </c>
      <c r="I4" s="445">
        <f>huishoudens!I8</f>
        <v>0</v>
      </c>
      <c r="J4" s="445">
        <f>huishoudens!J8</f>
        <v>104.17476413009834</v>
      </c>
      <c r="K4" s="445">
        <f>huishoudens!K8</f>
        <v>0</v>
      </c>
      <c r="L4" s="445">
        <f>huishoudens!L8</f>
        <v>0</v>
      </c>
      <c r="M4" s="445">
        <f>huishoudens!M8</f>
        <v>0</v>
      </c>
      <c r="N4" s="445">
        <f>huishoudens!N8</f>
        <v>4942.8273223779643</v>
      </c>
      <c r="O4" s="445">
        <f>huishoudens!O8</f>
        <v>454.32643223963026</v>
      </c>
      <c r="P4" s="446">
        <f>huishoudens!P8</f>
        <v>305.48481992286571</v>
      </c>
      <c r="Q4" s="447">
        <f>SUM(B4:P4)</f>
        <v>71547.64559953424</v>
      </c>
    </row>
    <row r="5" spans="1:17">
      <c r="A5" s="444" t="s">
        <v>149</v>
      </c>
      <c r="B5" s="445">
        <f ca="1">tertiair!B16</f>
        <v>8883.947749440591</v>
      </c>
      <c r="C5" s="445">
        <f ca="1">tertiair!C16</f>
        <v>0</v>
      </c>
      <c r="D5" s="445">
        <f ca="1">tertiair!D16</f>
        <v>10321.233125166964</v>
      </c>
      <c r="E5" s="445">
        <f>tertiair!E16</f>
        <v>36.148105454100907</v>
      </c>
      <c r="F5" s="445">
        <f ca="1">tertiair!F16</f>
        <v>2272.6909194439249</v>
      </c>
      <c r="G5" s="445">
        <f>tertiair!G16</f>
        <v>0</v>
      </c>
      <c r="H5" s="445">
        <f>tertiair!H16</f>
        <v>0</v>
      </c>
      <c r="I5" s="445">
        <f>tertiair!I16</f>
        <v>0</v>
      </c>
      <c r="J5" s="445">
        <f>tertiair!J16</f>
        <v>1.7129242039377272E-2</v>
      </c>
      <c r="K5" s="445">
        <f>tertiair!K16</f>
        <v>0</v>
      </c>
      <c r="L5" s="445">
        <f ca="1">tertiair!L16</f>
        <v>0</v>
      </c>
      <c r="M5" s="445">
        <f>tertiair!M16</f>
        <v>0</v>
      </c>
      <c r="N5" s="445">
        <f ca="1">tertiair!N16</f>
        <v>601.69562581266962</v>
      </c>
      <c r="O5" s="445">
        <f>tertiair!O16</f>
        <v>0</v>
      </c>
      <c r="P5" s="446">
        <f>tertiair!P16</f>
        <v>52.539138306495019</v>
      </c>
      <c r="Q5" s="444">
        <f t="shared" ref="Q5:Q14" ca="1" si="0">SUM(B5:P5)</f>
        <v>22168.271792866784</v>
      </c>
    </row>
    <row r="6" spans="1:17">
      <c r="A6" s="444" t="s">
        <v>187</v>
      </c>
      <c r="B6" s="445">
        <f>'openbare verlichting'!B8</f>
        <v>399.47699999999998</v>
      </c>
      <c r="C6" s="445"/>
      <c r="D6" s="445"/>
      <c r="E6" s="445"/>
      <c r="F6" s="445"/>
      <c r="G6" s="445"/>
      <c r="H6" s="445"/>
      <c r="I6" s="445"/>
      <c r="J6" s="445"/>
      <c r="K6" s="445"/>
      <c r="L6" s="445"/>
      <c r="M6" s="445"/>
      <c r="N6" s="445"/>
      <c r="O6" s="445"/>
      <c r="P6" s="446"/>
      <c r="Q6" s="444">
        <f t="shared" si="0"/>
        <v>399.47699999999998</v>
      </c>
    </row>
    <row r="7" spans="1:17">
      <c r="A7" s="444" t="s">
        <v>105</v>
      </c>
      <c r="B7" s="445">
        <f>landbouw!B8</f>
        <v>3335.1946725238299</v>
      </c>
      <c r="C7" s="445">
        <f>landbouw!C8</f>
        <v>7714.2857142857147</v>
      </c>
      <c r="D7" s="445">
        <f>landbouw!D8</f>
        <v>0</v>
      </c>
      <c r="E7" s="445">
        <f>landbouw!E8</f>
        <v>98.330967974381039</v>
      </c>
      <c r="F7" s="445">
        <f>landbouw!F8</f>
        <v>10600.43396129913</v>
      </c>
      <c r="G7" s="445">
        <f>landbouw!G8</f>
        <v>0</v>
      </c>
      <c r="H7" s="445">
        <f>landbouw!H8</f>
        <v>0</v>
      </c>
      <c r="I7" s="445">
        <f>landbouw!I8</f>
        <v>0</v>
      </c>
      <c r="J7" s="445">
        <f>landbouw!J8</f>
        <v>841.11561582572551</v>
      </c>
      <c r="K7" s="445">
        <f>landbouw!K8</f>
        <v>0</v>
      </c>
      <c r="L7" s="445">
        <f>landbouw!L8</f>
        <v>0</v>
      </c>
      <c r="M7" s="445">
        <f>landbouw!M8</f>
        <v>0</v>
      </c>
      <c r="N7" s="445">
        <f>landbouw!N8</f>
        <v>0</v>
      </c>
      <c r="O7" s="445">
        <f>landbouw!O8</f>
        <v>0</v>
      </c>
      <c r="P7" s="446">
        <f>landbouw!P8</f>
        <v>0</v>
      </c>
      <c r="Q7" s="444">
        <f t="shared" si="0"/>
        <v>22589.360931908781</v>
      </c>
    </row>
    <row r="8" spans="1:17">
      <c r="A8" s="444" t="s">
        <v>587</v>
      </c>
      <c r="B8" s="445">
        <f>industrie!B18</f>
        <v>20451.104602626441</v>
      </c>
      <c r="C8" s="445">
        <f>industrie!C18</f>
        <v>0</v>
      </c>
      <c r="D8" s="445">
        <f>industrie!D18</f>
        <v>13792.097260911602</v>
      </c>
      <c r="E8" s="445">
        <f>industrie!E18</f>
        <v>56.265913418456684</v>
      </c>
      <c r="F8" s="445">
        <f>industrie!F18</f>
        <v>4329.5689780040457</v>
      </c>
      <c r="G8" s="445">
        <f>industrie!G18</f>
        <v>0</v>
      </c>
      <c r="H8" s="445">
        <f>industrie!H18</f>
        <v>0</v>
      </c>
      <c r="I8" s="445">
        <f>industrie!I18</f>
        <v>0</v>
      </c>
      <c r="J8" s="445">
        <f>industrie!J18</f>
        <v>1.6454860469400425</v>
      </c>
      <c r="K8" s="445">
        <f>industrie!K18</f>
        <v>0</v>
      </c>
      <c r="L8" s="445">
        <f>industrie!L18</f>
        <v>0</v>
      </c>
      <c r="M8" s="445">
        <f>industrie!M18</f>
        <v>0</v>
      </c>
      <c r="N8" s="445">
        <f>industrie!N18</f>
        <v>624.87683581204544</v>
      </c>
      <c r="O8" s="445">
        <f>industrie!O18</f>
        <v>0</v>
      </c>
      <c r="P8" s="446">
        <f>industrie!P18</f>
        <v>0</v>
      </c>
      <c r="Q8" s="444">
        <f t="shared" si="0"/>
        <v>39255.559076819532</v>
      </c>
    </row>
    <row r="9" spans="1:17" s="450" customFormat="1">
      <c r="A9" s="448" t="s">
        <v>536</v>
      </c>
      <c r="B9" s="449">
        <f>transport!B14</f>
        <v>240.26196875030698</v>
      </c>
      <c r="C9" s="449">
        <f>transport!C14</f>
        <v>0</v>
      </c>
      <c r="D9" s="449">
        <f>transport!D14</f>
        <v>368.07618120390595</v>
      </c>
      <c r="E9" s="449">
        <f>transport!E14</f>
        <v>232.5303279385478</v>
      </c>
      <c r="F9" s="449">
        <f>transport!F14</f>
        <v>0</v>
      </c>
      <c r="G9" s="449">
        <f>transport!G14</f>
        <v>115099.96538966044</v>
      </c>
      <c r="H9" s="449">
        <f>transport!H14</f>
        <v>25100.519325916197</v>
      </c>
      <c r="I9" s="449">
        <f>transport!I14</f>
        <v>0</v>
      </c>
      <c r="J9" s="449">
        <f>transport!J14</f>
        <v>0</v>
      </c>
      <c r="K9" s="449">
        <f>transport!K14</f>
        <v>0</v>
      </c>
      <c r="L9" s="449">
        <f>transport!L14</f>
        <v>0</v>
      </c>
      <c r="M9" s="449">
        <f>transport!M14</f>
        <v>8225.1799887550169</v>
      </c>
      <c r="N9" s="449">
        <f>transport!N14</f>
        <v>0</v>
      </c>
      <c r="O9" s="449">
        <f>transport!O14</f>
        <v>0</v>
      </c>
      <c r="P9" s="449">
        <f>transport!P14</f>
        <v>0</v>
      </c>
      <c r="Q9" s="448">
        <f>SUM(B9:P9)</f>
        <v>149266.53318222443</v>
      </c>
    </row>
    <row r="10" spans="1:17">
      <c r="A10" s="444" t="s">
        <v>526</v>
      </c>
      <c r="B10" s="445">
        <f>transport!B54</f>
        <v>4.3470616663028974</v>
      </c>
      <c r="C10" s="445">
        <f>transport!C54</f>
        <v>0</v>
      </c>
      <c r="D10" s="445">
        <f>transport!D54</f>
        <v>0</v>
      </c>
      <c r="E10" s="445">
        <f>transport!E54</f>
        <v>0</v>
      </c>
      <c r="F10" s="445">
        <f>transport!F54</f>
        <v>0</v>
      </c>
      <c r="G10" s="445">
        <f>transport!G54</f>
        <v>310.28542981392013</v>
      </c>
      <c r="H10" s="445">
        <f>transport!H54</f>
        <v>0</v>
      </c>
      <c r="I10" s="445">
        <f>transport!I54</f>
        <v>0</v>
      </c>
      <c r="J10" s="445">
        <f>transport!J54</f>
        <v>0</v>
      </c>
      <c r="K10" s="445">
        <f>transport!K54</f>
        <v>0</v>
      </c>
      <c r="L10" s="445">
        <f>transport!L54</f>
        <v>0</v>
      </c>
      <c r="M10" s="445">
        <f>transport!M54</f>
        <v>17.13352513614722</v>
      </c>
      <c r="N10" s="445">
        <f>transport!N54</f>
        <v>0</v>
      </c>
      <c r="O10" s="445">
        <f>transport!O54</f>
        <v>0</v>
      </c>
      <c r="P10" s="446">
        <f>transport!P54</f>
        <v>0</v>
      </c>
      <c r="Q10" s="444">
        <f t="shared" si="0"/>
        <v>331.76601661637028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386.64086426691296</v>
      </c>
      <c r="C14" s="452"/>
      <c r="D14" s="452">
        <f>'SEAP template'!E25</f>
        <v>913.30043396149006</v>
      </c>
      <c r="E14" s="452"/>
      <c r="F14" s="452"/>
      <c r="G14" s="452"/>
      <c r="H14" s="452"/>
      <c r="I14" s="452"/>
      <c r="J14" s="452"/>
      <c r="K14" s="452"/>
      <c r="L14" s="452"/>
      <c r="M14" s="452"/>
      <c r="N14" s="452"/>
      <c r="O14" s="452"/>
      <c r="P14" s="453"/>
      <c r="Q14" s="444">
        <f t="shared" si="0"/>
        <v>1299.941298228403</v>
      </c>
    </row>
    <row r="15" spans="1:17" s="456" customFormat="1">
      <c r="A15" s="454" t="s">
        <v>530</v>
      </c>
      <c r="B15" s="455">
        <f ca="1">SUM(B4:B14)</f>
        <v>50135.427913622996</v>
      </c>
      <c r="C15" s="455">
        <f t="shared" ref="C15:Q15" ca="1" si="1">SUM(C4:C14)</f>
        <v>7714.2857142857147</v>
      </c>
      <c r="D15" s="455">
        <f t="shared" ca="1" si="1"/>
        <v>54675.415873465783</v>
      </c>
      <c r="E15" s="455">
        <f t="shared" si="1"/>
        <v>1574.9911953102126</v>
      </c>
      <c r="F15" s="455">
        <f t="shared" ca="1" si="1"/>
        <v>36076.64737251561</v>
      </c>
      <c r="G15" s="455">
        <f t="shared" si="1"/>
        <v>115410.25081947436</v>
      </c>
      <c r="H15" s="455">
        <f t="shared" si="1"/>
        <v>25100.519325916197</v>
      </c>
      <c r="I15" s="455">
        <f t="shared" si="1"/>
        <v>0</v>
      </c>
      <c r="J15" s="455">
        <f t="shared" si="1"/>
        <v>946.95299524480333</v>
      </c>
      <c r="K15" s="455">
        <f t="shared" si="1"/>
        <v>0</v>
      </c>
      <c r="L15" s="455">
        <f t="shared" ca="1" si="1"/>
        <v>0</v>
      </c>
      <c r="M15" s="455">
        <f t="shared" si="1"/>
        <v>8242.3135138911639</v>
      </c>
      <c r="N15" s="455">
        <f t="shared" ca="1" si="1"/>
        <v>6169.3997840026786</v>
      </c>
      <c r="O15" s="455">
        <f t="shared" si="1"/>
        <v>454.32643223963026</v>
      </c>
      <c r="P15" s="455">
        <f t="shared" si="1"/>
        <v>358.02395822936074</v>
      </c>
      <c r="Q15" s="455">
        <f t="shared" ca="1" si="1"/>
        <v>306858.55489819852</v>
      </c>
    </row>
    <row r="17" spans="1:17">
      <c r="A17" s="457" t="s">
        <v>531</v>
      </c>
      <c r="B17" s="737">
        <f ca="1">huishoudens!B10</f>
        <v>0.20198520083936905</v>
      </c>
      <c r="C17" s="737">
        <f ca="1">huishoudens!C10</f>
        <v>0.23764705882352943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3319.5164907338749</v>
      </c>
      <c r="C22" s="445">
        <f t="shared" ref="C22:C32" ca="1" si="3">C4*$C$17</f>
        <v>0</v>
      </c>
      <c r="D22" s="445">
        <f t="shared" ref="D22:D32" si="4">D4*$D$17</f>
        <v>5914.7031921888083</v>
      </c>
      <c r="E22" s="445">
        <f t="shared" ref="E22:E32" si="5">E4*$E$17</f>
        <v>261.43950487911286</v>
      </c>
      <c r="F22" s="445">
        <f t="shared" ref="F22:F32" si="6">F4*$F$17</f>
        <v>5039.345588176192</v>
      </c>
      <c r="G22" s="445">
        <f t="shared" ref="G22:G32" si="7">G4*$G$17</f>
        <v>0</v>
      </c>
      <c r="H22" s="445">
        <f t="shared" ref="H22:H32" si="8">H4*$H$17</f>
        <v>0</v>
      </c>
      <c r="I22" s="445">
        <f t="shared" ref="I22:I32" si="9">I4*$I$17</f>
        <v>0</v>
      </c>
      <c r="J22" s="445">
        <f t="shared" ref="J22:J32" si="10">J4*$J$17</f>
        <v>36.877866502054808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14571.882642480043</v>
      </c>
    </row>
    <row r="23" spans="1:17">
      <c r="A23" s="444" t="s">
        <v>149</v>
      </c>
      <c r="B23" s="445">
        <f t="shared" ca="1" si="2"/>
        <v>1794.4259704172184</v>
      </c>
      <c r="C23" s="445">
        <f t="shared" ca="1" si="3"/>
        <v>0</v>
      </c>
      <c r="D23" s="445">
        <f t="shared" ca="1" si="4"/>
        <v>2084.8890912837269</v>
      </c>
      <c r="E23" s="445">
        <f t="shared" si="5"/>
        <v>8.2056199380809058</v>
      </c>
      <c r="F23" s="445">
        <f t="shared" ca="1" si="6"/>
        <v>606.80847549152804</v>
      </c>
      <c r="G23" s="445">
        <f t="shared" si="7"/>
        <v>0</v>
      </c>
      <c r="H23" s="445">
        <f t="shared" si="8"/>
        <v>0</v>
      </c>
      <c r="I23" s="445">
        <f t="shared" si="9"/>
        <v>0</v>
      </c>
      <c r="J23" s="445">
        <f t="shared" si="10"/>
        <v>6.0637516819395535E-3</v>
      </c>
      <c r="K23" s="445">
        <f t="shared" si="11"/>
        <v>0</v>
      </c>
      <c r="L23" s="445">
        <f t="shared" ca="1" si="12"/>
        <v>0</v>
      </c>
      <c r="M23" s="445">
        <f t="shared" si="13"/>
        <v>0</v>
      </c>
      <c r="N23" s="445">
        <f t="shared" ca="1" si="14"/>
        <v>0</v>
      </c>
      <c r="O23" s="445">
        <f t="shared" si="15"/>
        <v>0</v>
      </c>
      <c r="P23" s="446">
        <f t="shared" si="16"/>
        <v>0</v>
      </c>
      <c r="Q23" s="444">
        <f t="shared" ref="Q23:Q31" ca="1" si="17">SUM(B23:P23)</f>
        <v>4494.3352208822362</v>
      </c>
    </row>
    <row r="24" spans="1:17">
      <c r="A24" s="444" t="s">
        <v>187</v>
      </c>
      <c r="B24" s="445">
        <f t="shared" ca="1" si="2"/>
        <v>80.688442075708622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80.688442075708622</v>
      </c>
    </row>
    <row r="25" spans="1:17">
      <c r="A25" s="444" t="s">
        <v>105</v>
      </c>
      <c r="B25" s="445">
        <f t="shared" ca="1" si="2"/>
        <v>673.65996576811949</v>
      </c>
      <c r="C25" s="445">
        <f t="shared" ca="1" si="3"/>
        <v>1833.2773109243701</v>
      </c>
      <c r="D25" s="445">
        <f t="shared" si="4"/>
        <v>0</v>
      </c>
      <c r="E25" s="445">
        <f t="shared" si="5"/>
        <v>22.321129730184495</v>
      </c>
      <c r="F25" s="445">
        <f t="shared" si="6"/>
        <v>2830.3158676668677</v>
      </c>
      <c r="G25" s="445">
        <f t="shared" si="7"/>
        <v>0</v>
      </c>
      <c r="H25" s="445">
        <f t="shared" si="8"/>
        <v>0</v>
      </c>
      <c r="I25" s="445">
        <f t="shared" si="9"/>
        <v>0</v>
      </c>
      <c r="J25" s="445">
        <f t="shared" si="10"/>
        <v>297.75492800230683</v>
      </c>
      <c r="K25" s="445">
        <f t="shared" si="11"/>
        <v>0</v>
      </c>
      <c r="L25" s="445">
        <f t="shared" si="12"/>
        <v>0</v>
      </c>
      <c r="M25" s="445">
        <f t="shared" si="13"/>
        <v>0</v>
      </c>
      <c r="N25" s="445">
        <f t="shared" si="14"/>
        <v>0</v>
      </c>
      <c r="O25" s="445">
        <f t="shared" si="15"/>
        <v>0</v>
      </c>
      <c r="P25" s="446">
        <f t="shared" si="16"/>
        <v>0</v>
      </c>
      <c r="Q25" s="444">
        <f t="shared" ca="1" si="17"/>
        <v>5657.3292020918489</v>
      </c>
    </row>
    <row r="26" spans="1:17">
      <c r="A26" s="444" t="s">
        <v>587</v>
      </c>
      <c r="B26" s="445">
        <f t="shared" ca="1" si="2"/>
        <v>4130.8204705484468</v>
      </c>
      <c r="C26" s="445">
        <f t="shared" ca="1" si="3"/>
        <v>0</v>
      </c>
      <c r="D26" s="445">
        <f t="shared" si="4"/>
        <v>2786.0036467041436</v>
      </c>
      <c r="E26" s="445">
        <f t="shared" si="5"/>
        <v>12.772362345989668</v>
      </c>
      <c r="F26" s="445">
        <f t="shared" si="6"/>
        <v>1155.9949171270803</v>
      </c>
      <c r="G26" s="445">
        <f t="shared" si="7"/>
        <v>0</v>
      </c>
      <c r="H26" s="445">
        <f t="shared" si="8"/>
        <v>0</v>
      </c>
      <c r="I26" s="445">
        <f t="shared" si="9"/>
        <v>0</v>
      </c>
      <c r="J26" s="445">
        <f t="shared" si="10"/>
        <v>0.58250206061677501</v>
      </c>
      <c r="K26" s="445">
        <f t="shared" si="11"/>
        <v>0</v>
      </c>
      <c r="L26" s="445">
        <f t="shared" si="12"/>
        <v>0</v>
      </c>
      <c r="M26" s="445">
        <f t="shared" si="13"/>
        <v>0</v>
      </c>
      <c r="N26" s="445">
        <f t="shared" si="14"/>
        <v>0</v>
      </c>
      <c r="O26" s="445">
        <f t="shared" si="15"/>
        <v>0</v>
      </c>
      <c r="P26" s="446">
        <f t="shared" si="16"/>
        <v>0</v>
      </c>
      <c r="Q26" s="444">
        <f t="shared" ca="1" si="17"/>
        <v>8086.1738987862773</v>
      </c>
    </row>
    <row r="27" spans="1:17" s="450" customFormat="1">
      <c r="A27" s="448" t="s">
        <v>536</v>
      </c>
      <c r="B27" s="731">
        <f t="shared" ca="1" si="2"/>
        <v>48.529362012092967</v>
      </c>
      <c r="C27" s="449">
        <f t="shared" ca="1" si="3"/>
        <v>0</v>
      </c>
      <c r="D27" s="449">
        <f t="shared" si="4"/>
        <v>74.351388603189008</v>
      </c>
      <c r="E27" s="449">
        <f t="shared" si="5"/>
        <v>52.784384442050353</v>
      </c>
      <c r="F27" s="449">
        <f t="shared" si="6"/>
        <v>0</v>
      </c>
      <c r="G27" s="449">
        <f t="shared" si="7"/>
        <v>30731.690759039338</v>
      </c>
      <c r="H27" s="449">
        <f t="shared" si="8"/>
        <v>6250.0293121531331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37157.385206249804</v>
      </c>
    </row>
    <row r="28" spans="1:17" ht="16.5" customHeight="1">
      <c r="A28" s="444" t="s">
        <v>526</v>
      </c>
      <c r="B28" s="445">
        <f t="shared" ca="1" si="2"/>
        <v>0.87804212372931301</v>
      </c>
      <c r="C28" s="445">
        <f t="shared" ca="1" si="3"/>
        <v>0</v>
      </c>
      <c r="D28" s="445">
        <f t="shared" si="4"/>
        <v>0</v>
      </c>
      <c r="E28" s="445">
        <f t="shared" si="5"/>
        <v>0</v>
      </c>
      <c r="F28" s="445">
        <f t="shared" si="6"/>
        <v>0</v>
      </c>
      <c r="G28" s="445">
        <f t="shared" si="7"/>
        <v>82.846209760316682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83.724251884045998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78.095732621659636</v>
      </c>
      <c r="C32" s="445">
        <f t="shared" ca="1" si="3"/>
        <v>0</v>
      </c>
      <c r="D32" s="445">
        <f t="shared" si="4"/>
        <v>184.48668766022101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262.58242028188067</v>
      </c>
    </row>
    <row r="33" spans="1:17" s="456" customFormat="1">
      <c r="A33" s="454" t="s">
        <v>530</v>
      </c>
      <c r="B33" s="455">
        <f ca="1">SUM(B22:B32)</f>
        <v>10126.614476300851</v>
      </c>
      <c r="C33" s="455">
        <f t="shared" ref="C33:Q33" ca="1" si="19">SUM(C22:C32)</f>
        <v>1833.2773109243701</v>
      </c>
      <c r="D33" s="455">
        <f t="shared" ca="1" si="19"/>
        <v>11044.434006440088</v>
      </c>
      <c r="E33" s="455">
        <f t="shared" si="19"/>
        <v>357.52300133541831</v>
      </c>
      <c r="F33" s="455">
        <f t="shared" ca="1" si="19"/>
        <v>9632.4648484616682</v>
      </c>
      <c r="G33" s="455">
        <f t="shared" si="19"/>
        <v>30814.536968799654</v>
      </c>
      <c r="H33" s="455">
        <f t="shared" si="19"/>
        <v>6250.0293121531331</v>
      </c>
      <c r="I33" s="455">
        <f t="shared" si="19"/>
        <v>0</v>
      </c>
      <c r="J33" s="455">
        <f t="shared" si="19"/>
        <v>335.22136031666037</v>
      </c>
      <c r="K33" s="455">
        <f t="shared" si="19"/>
        <v>0</v>
      </c>
      <c r="L33" s="455">
        <f t="shared" ca="1" si="19"/>
        <v>0</v>
      </c>
      <c r="M33" s="455">
        <f t="shared" si="19"/>
        <v>0</v>
      </c>
      <c r="N33" s="455">
        <f t="shared" ca="1" si="19"/>
        <v>0</v>
      </c>
      <c r="O33" s="455">
        <f t="shared" si="19"/>
        <v>0</v>
      </c>
      <c r="P33" s="455">
        <f t="shared" si="19"/>
        <v>0</v>
      </c>
      <c r="Q33" s="455">
        <f t="shared" ca="1" si="19"/>
        <v>70394.101284731849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4720.4036663207726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5400</v>
      </c>
      <c r="D8" s="972">
        <f>'SEAP template'!D76</f>
        <v>6352.9411764705892</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1283.294117647059</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4720.4036663207726</v>
      </c>
      <c r="C10" s="974">
        <f>SUM(C4:C9)</f>
        <v>5400</v>
      </c>
      <c r="D10" s="974">
        <f t="shared" ref="D10:H10" si="0">SUM(D8:D9)</f>
        <v>6352.9411764705892</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1283.294117647059</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0.20198520083936905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7714.2857142857147</v>
      </c>
      <c r="D17" s="973">
        <f>'SEAP template'!D87</f>
        <v>9075.630252100842</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1833.2773109243701</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7714.2857142857147</v>
      </c>
      <c r="D20" s="974">
        <f t="shared" ref="D20:H20" si="2">SUM(D17:D19)</f>
        <v>9075.630252100842</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1833.2773109243701</v>
      </c>
    </row>
    <row r="21" spans="1:16">
      <c r="B21" s="841"/>
    </row>
    <row r="22" spans="1:16">
      <c r="A22" s="457" t="s">
        <v>730</v>
      </c>
      <c r="B22" s="737" t="s">
        <v>728</v>
      </c>
      <c r="C22" s="737">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0.20198520083936905</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2022-07-26T09:52:37Z</dcterms:modified>
</cp:coreProperties>
</file>