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3B251D9D-AAC7-4B85-A8B7-4B5A9C93EC6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<sst xmlns="http://schemas.openxmlformats.org/spreadsheetml/2006/main" count="2372" uniqueCount="861">
  <si>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</si>
  <si>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</si>
  <si>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</si>
  <si>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</si>
  <si>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</si>
  <si>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</si>
  <si>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</si>
  <si>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</si>
  <si>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</si>
  <si>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</si>
  <si>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</si>
  <si>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</si>
  <si>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</si>
  <si>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</si>
  <si>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</si>
  <si>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</si>
  <si>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</si>
  <si>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</si>
  <si>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</si>
  <si>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</si>
  <si>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</si>
  <si>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</si>
  <si>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</si>
  <si>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</si>
  <si>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</si>
  <si>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</si>
  <si>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</si>
  <si>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</si>
  <si>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</si>
  <si>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</si>
  <si>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</si>
  <si>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</si>
  <si>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</si>
  <si>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</si>
  <si>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</si>
  <si>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</si>
  <si>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</si>
  <si>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</si>
  <si>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</si>
  <si>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</si>
  <si>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</si>
  <si>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</si>
  <si>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</si>
  <si>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</si>
  <si>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</si>
  <si>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</si>
  <si>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</si>
  <si>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</si>
  <si>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</si>
  <si>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</si>
  <si>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</si>
  <si>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</si>
  <si>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</si>
  <si>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</si>
  <si>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</si>
  <si>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</si>
  <si>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</si>
  <si>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</si>
  <si>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</si>
  <si>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</si>
  <si>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</si>
  <si>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</si>
  <si>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</si>
  <si>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</si>
  <si>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</si>
  <si>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</si>
  <si>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</si>
  <si>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</si>
  <si>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</si>
  <si>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</si>
  <si>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</si>
  <si>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</si>
  <si>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</si>
  <si>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</si>
  <si>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</si>
  <si>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</si>
  <si>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</si>
  <si>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</si>
  <si>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</si>
  <si>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</si>
  <si>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</si>
  <si>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</si>
  <si>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</si>
  <si>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</si>
  <si>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</si>
  <si>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</si>
  <si>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</si>
  <si>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</si>
  <si>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</si>
  <si>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</si>
  <si>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</si>
  <si>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</si>
  <si>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</si>
  <si>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</si>
  <si>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</si>
  <si>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</si>
  <si>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</si>
  <si>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</si>
  <si>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</si>
  <si>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</si>
  <si>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</si>
  <si>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</si>
  <si>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</si>
  <si>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</si>
  <si>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</si>
  <si>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</si>
  <si>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</si>
  <si>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</si>
  <si>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</si>
  <si>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</si>
  <si>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</si>
  <si>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</si>
  <si>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</si>
  <si>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</si>
  <si>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</si>
  <si>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</si>
  <si>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</si>
  <si>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</si>
  <si>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</si>
  <si>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</si>
  <si>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</si>
  <si>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</si>
  <si>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</si>
  <si>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</si>
  <si>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</si>
  <si>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</si>
  <si>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</si>
  <si>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</si>
  <si>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</si>
  <si>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</si>
  <si>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</si>
  <si>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</si>
  <si>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</si>
  <si>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</si>
  <si>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</si>
  <si>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</si>
  <si>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</si>
  <si>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</si>
  <si>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</si>
  <si>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</si>
  <si>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</si>
  <si>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</si>
  <si>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</si>
  <si>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</si>
  <si>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</si>
  <si>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</si>
  <si>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</si>
  <si>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</si>
  <si>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</si>
  <si>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</si>
  <si>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</si>
  <si>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</si>
  <si>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</si>
  <si>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</si>
  <si>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</si>
  <si>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</si>
  <si>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</si>
  <si>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</si>
  <si>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</si>
  <si>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</si>
  <si>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</si>
  <si>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</si>
  <si>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</si>
  <si>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</si>
  <si>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</si>
  <si>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</si>
  <si>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</si>
  <si>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</si>
  <si>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</si>
  <si>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</si>
  <si>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</si>
  <si>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</si>
  <si>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</si>
  <si>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</si>
  <si>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</si>
  <si>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</si>
  <si>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</si>
  <si>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</si>
  <si>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</si>
  <si>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</si>
  <si>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</si>
  <si>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</si>
  <si>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</si>
  <si>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</si>
  <si>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</si>
  <si>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</si>
  <si>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</si>
  <si>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</si>
  <si>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</si>
  <si>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</si>
  <si>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</si>
  <si>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</si>
  <si>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</si>
  <si>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</si>
  <si>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</si>
  <si>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</si>
  <si>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</si>
  <si>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</si>
  <si>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</si>
  <si>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</si>
  <si>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</si>
  <si>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</si>
  <si>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</si>
  <si>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</si>
  <si>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</si>
  <si>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</si>
  <si>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</si>
  <si>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</si>
  <si>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</si>
  <si>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</si>
  <si>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</si>
  <si>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</si>
  <si>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</si>
  <si>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</si>
  <si>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</si>
  <si>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</si>
  <si>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</si>
  <si>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</si>
  <si>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</si>
  <si>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</si>
  <si>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</si>
  <si>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</si>
  <si>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</si>
  <si>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</si>
  <si>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</si>
  <si>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</si>
  <si>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</si>
  <si>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</si>
  <si>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</si>
  <si>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</si>
  <si>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</si>
  <si>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</si>
  <si>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</si>
  <si>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</si>
  <si>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</si>
  <si>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</si>
  <si>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</si>
  <si>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</si>
  <si>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</si>
  <si>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</si>
  <si>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</si>
  <si>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</si>
  <si>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</si>
  <si>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</si>
  <si>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</si>
  <si>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</si>
  <si>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</si>
  <si>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</si>
  <si>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</si>
  <si>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</si>
  <si>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</si>
  <si>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</si>
  <si>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</si>
  <si>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</si>
  <si>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</si>
  <si>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</si>
  <si>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</si>
  <si>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</si>
  <si>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</si>
  <si>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</si>
  <si>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</si>
  <si>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</si>
  <si>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</si>
  <si>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</si>
  <si>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</si>
  <si>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</si>
  <si>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</si>
  <si>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</si>
  <si>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</si>
  <si>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</si>
  <si>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</si>
  <si>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</si>
  <si>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</si>
  <si>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</si>
  <si>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</si>
  <si>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</si>
  <si>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</si>
  <si>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</si>
  <si>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</si>
  <si>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</si>
  <si>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</si>
  <si>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</si>
  <si>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</si>
  <si>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</si>
  <si>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</si>
  <si>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</si>
  <si>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</si>
  <si>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</si>
  <si>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</si>
  <si>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</si>
  <si>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</si>
  <si>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</si>
  <si>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</si>
  <si>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</si>
  <si>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</si>
  <si>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</si>
  <si>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</si>
  <si>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</si>
  <si>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</si>
  <si>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</si>
  <si>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</si>
  <si>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</si>
  <si>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</si>
  <si>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</si>
  <si>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</si>
  <si>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</si>
  <si>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</si>
  <si>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</si>
  <si>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</si>
  <si>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</si>
  <si>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</si>
  <si>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</si>
  <si>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</si>
  <si>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</si>
  <si>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</si>
  <si>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</si>
  <si>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</si>
  <si>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</si>
  <si>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</si>
  <si>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</si>
  <si>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</si>
  <si>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</si>
  <si>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</si>
  <si>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</si>
  <si>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</si>
  <si>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</si>
  <si>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</si>
  <si>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</si>
  <si>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</si>
  <si>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</si>
  <si>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</si>
  <si>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</si>
  <si>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</si>
  <si>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</si>
  <si>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</si>
  <si>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</si>
  <si>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</si>
  <si>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</si>
  <si>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</si>
  <si>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</si>
  <si>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</si>
  <si>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</si>
  <si>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</si>
  <si>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</si>
  <si>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</si>
  <si>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</si>
  <si>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</si>
  <si>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</si>
  <si>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</si>
  <si>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</si>
  <si>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</si>
  <si>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</si>
  <si>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</si>
  <si>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</si>
  <si>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</si>
  <si>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</si>
  <si>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</si>
  <si>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</si>
  <si>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</si>
  <si>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</si>
  <si>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</si>
  <si>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</si>
  <si>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</si>
  <si>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</si>
  <si>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</si>
  <si>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</si>
  <si>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</si>
  <si>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</si>
  <si>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</si>
  <si>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</si>
  <si>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</si>
  <si>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</si>
  <si>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</si>
  <si>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</si>
  <si>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</si>
  <si>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</si>
  <si>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</si>
  <si>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</si>
  <si>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</si>
  <si>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</si>
  <si>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</si>
  <si>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</si>
  <si>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</si>
  <si>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</si>
  <si>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</si>
  <si>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</si>
  <si>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</si>
  <si>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</si>
  <si>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</si>
  <si>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</si>
  <si>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</si>
  <si>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</si>
  <si>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</si>
  <si>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</si>
  <si>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</si>
  <si>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</si>
  <si>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</si>
  <si>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</si>
  <si>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</si>
  <si>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</si>
  <si>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</si>
  <si>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</si>
  <si>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</si>
  <si>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</si>
  <si>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</si>
  <si>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</si>
  <si>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</si>
  <si>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</si>
  <si>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</si>
  <si>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</si>
  <si>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</si>
  <si>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</si>
  <si>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</si>
  <si>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</si>
  <si>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</si>
  <si>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</si>
  <si>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</si>
  <si>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</si>
  <si>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</si>
  <si>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</si>
  <si>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</si>
  <si>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</si>
  <si>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</si>
  <si>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</si>
  <si>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</si>
  <si>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</si>
  <si>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</si>
  <si>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</si>
  <si>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</si>
  <si>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</si>
  <si>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</si>
  <si>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</si>
  <si>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</si>
  <si>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</si>
  <si>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</si>
  <si>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</si>
  <si>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</si>
  <si>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</si>
  <si>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</si>
  <si>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</si>
  <si>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</si>
  <si>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</si>
  <si>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</si>
  <si>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</si>
  <si>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</si>
  <si>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</si>
  <si>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</si>
  <si>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</si>
  <si>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</si>
  <si>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</si>
  <si>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</si>
  <si>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</si>
  <si>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</si>
  <si>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</si>
  <si>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</si>
  <si>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</si>
  <si>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</si>
  <si>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</si>
  <si>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</si>
  <si>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</si>
  <si>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</si>
  <si>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</si>
  <si>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</si>
  <si>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</si>
  <si>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</si>
  <si>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</si>
  <si>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</si>
  <si>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</si>
  <si>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</si>
  <si>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</si>
  <si>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</si>
  <si>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</si>
  <si>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</si>
  <si>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</si>
  <si>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</si>
  <si>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</si>
  <si>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</si>
  <si>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</si>
  <si>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</si>
  <si>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</si>
  <si>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</si>
  <si>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</si>
  <si>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</si>
  <si>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</si>
  <si>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</si>
  <si>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</si>
  <si>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</si>
  <si>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</si>
  <si>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</si>
  <si>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</si>
  <si>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</si>
  <si>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</si>
  <si>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</si>
  <si>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</si>
  <si>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</si>
  <si>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</si>
  <si>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</si>
  <si>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</si>
  <si>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</si>
  <si>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</si>
  <si>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</si>
  <si>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</si>
  <si>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</si>
  <si>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</si>
  <si>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</si>
  <si>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</si>
  <si>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</si>
  <si>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</si>
  <si>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</si>
  <si>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</si>
  <si>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</si>
  <si>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</si>
  <si>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</si>
  <si>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</si>
  <si>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</si>
  <si>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</si>
  <si>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</si>
  <si>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</si>
  <si>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</si>
  <si>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</si>
  <si>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</si>
  <si>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</si>
  <si>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</si>
  <si>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</si>
  <si>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</si>
  <si>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</si>
  <si>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</si>
  <si>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</si>
  <si>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</si>
  <si>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</si>
  <si>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</si>
  <si>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</si>
  <si>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</si>
  <si>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</si>
  <si>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</si>
  <si>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</si>
  <si>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</si>
  <si>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</si>
  <si>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</si>
  <si>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</si>
  <si>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</si>
  <si>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</si>
  <si>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</si>
  <si>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</si>
  <si>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</si>
  <si>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</si>
  <si>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</si>
  <si>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</si>
  <si>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</si>
  <si>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</si>
  <si>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</si>
  <si>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</si>
  <si>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</si>
  <si>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</si>
  <si>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</si>
  <si>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</si>
  <si>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</si>
  <si>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</si>
  <si>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</si>
  <si>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</si>
  <si>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</si>
  <si>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</si>
  <si>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</si>
  <si>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</si>
  <si>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</si>
  <si>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</si>
  <si>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</si>
  <si>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</si>
  <si>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</si>
  <si>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</si>
  <si>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</si>
  <si>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</si>
  <si>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</si>
  <si>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</si>
  <si>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</si>
  <si>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</si>
  <si>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</si>
  <si>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</si>
  <si>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</si>
  <si>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</si>
  <si>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</si>
  <si>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</si>
  <si>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</si>
  <si>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</si>
  <si>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</si>
  <si>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</si>
  <si>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</si>
  <si>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</si>
  <si>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</si>
  <si>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</si>
  <si>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</si>
  <si>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</si>
  <si>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</si>
  <si>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</si>
  <si>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</si>
  <si>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</si>
  <si>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</si>
  <si>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</si>
  <si>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</si>
  <si>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</si>
  <si>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</si>
  <si>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</si>
  <si>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</si>
  <si>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</si>
  <si>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</si>
  <si>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</si>
  <si>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</si>
  <si>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</si>
  <si>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</si>
  <si>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</si>
  <si>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</si>
  <si>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</si>
  <si>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</si>
  <si>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</si>
  <si>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</si>
  <si>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</si>
  <si>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</si>
  <si>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</si>
  <si>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</si>
  <si>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</si>
  <si>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</si>
  <si>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</si>
  <si>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</si>
  <si>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</si>
  <si>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</si>
  <si>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</si>
  <si>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</si>
  <si>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</si>
  <si>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</si>
  <si>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</si>
  <si>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</si>
  <si>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</si>
  <si>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</si>
  <si>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</si>
  <si>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</si>
  <si>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</si>
  <si>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</si>
  <si>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</si>
  <si>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</si>
  <si>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</si>
  <si>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</si>
  <si>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</si>
  <si>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</si>
  <si>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</si>
  <si>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</si>
  <si>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</si>
  <si>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</si>
  <si>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</si>
  <si>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</si>
  <si>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</si>
  <si>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</si>
  <si>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</si>
  <si>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</si>
  <si>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</si>
  <si>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</si>
  <si>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</si>
  <si>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</si>
  <si>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</si>
  <si>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</si>
  <si>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</si>
  <si>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</si>
  <si>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</si>
  <si>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</si>
  <si>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</si>
  <si>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</si>
  <si>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</si>
  <si>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</si>
  <si>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</si>
  <si>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</si>
  <si>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</si>
  <si>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</si>
  <si>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</si>
  <si>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</si>
  <si>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</si>
  <si>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</si>
  <si>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</si>
  <si>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</si>
  <si>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</si>
  <si>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</si>
  <si>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</si>
  <si>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</si>
  <si>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</si>
  <si>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</si>
  <si>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</si>
  <si>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</si>
  <si>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</si>
  <si>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</si>
  <si>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</si>
  <si>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</si>
  <si>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</si>
  <si>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</si>
  <si>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</si>
  <si>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</si>
  <si>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</si>
  <si>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</si>
  <si>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</si>
  <si>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</si>
  <si>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</si>
  <si>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</si>
  <si>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</si>
  <si>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</si>
  <si>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</si>
  <si>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</si>
  <si>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</si>
  <si>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</si>
  <si>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</si>
  <si>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</si>
  <si>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</si>
  <si>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</si>
  <si>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</si>
  <si>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</si>
  <si>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</si>
  <si>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</si>
  <si>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</si>
  <si>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</si>
  <si>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</si>
  <si>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</si>
  <si>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</si>
  <si>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</si>
  <si>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</si>
  <si>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</si>
  <si>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</si>
  <si>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</si>
  <si>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</si>
  <si>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</si>
  <si>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</si>
  <si>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</si>
  <si>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</si>
  <si>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</si>
  <si>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</si>
  <si>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</si>
  <si>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</si>
  <si>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</si>
  <si>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</si>
  <si>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</si>
  <si>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</si>
  <si>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</si>
  <si>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</si>
  <si>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</si>
  <si>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</si>
  <si>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</si>
  <si>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</si>
  <si>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</si>
  <si>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</si>
  <si>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</si>
  <si>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</si>
  <si>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</si>
  <si>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</si>
  <si>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</si>
  <si>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</si>
  <si>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</si>
  <si>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</si>
  <si>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</si>
  <si>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</si>
  <si>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</si>
  <si>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</si>
  <si>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</si>
  <si>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</si>
  <si>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</si>
  <si>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</si>
  <si>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</si>
  <si>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</si>
  <si>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</si>
  <si>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</si>
  <si>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</si>
  <si>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</si>
  <si>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</si>
  <si>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</si>
  <si>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</si>
  <si>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</si>
  <si>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</si>
  <si>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</si>
  <si>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</si>
  <si>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</si>
  <si>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</si>
  <si>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</si>
  <si>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</si>
  <si>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</si>
  <si>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</si>
  <si>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</si>
  <si>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</si>
  <si>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</si>
  <si>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</si>
  <si>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</si>
  <si>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</si>
  <si>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</si>
  <si>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</si>
  <si>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</si>
  <si>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</si>
  <si>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</si>
  <si>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</si>
  <si>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</si>
  <si>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</si>
  <si>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</si>
  <si>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</si>
  <si>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</si>
  <si>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</si>
  <si>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</si>
  <si>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</si>
  <si>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</si>
  <si>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</si>
  <si>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</si>
  <si>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</si>
  <si>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</si>
  <si>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</si>
  <si>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</si>
  <si>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</si>
  <si>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</si>
  <si>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</si>
  <si>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</si>
  <si>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</si>
  <si>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</si>
  <si>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</si>
  <si>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</si>
  <si>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</si>
  <si>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</si>
  <si>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</si>
  <si>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</si>
  <si>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</si>
  <si>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</si>
  <si>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</si>
  <si>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</si>
  <si>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</si>
  <si>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</si>
  <si>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</si>
  <si>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</si>
  <si>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</si>
  <si>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</si>
  <si>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</si>
  <si>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</si>
  <si>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</si>
  <si>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</si>
  <si>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</si>
  <si>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</si>
  <si>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</si>
  <si>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</si>
  <si>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</si>
  <si>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</si>
  <si>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</si>
  <si>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</si>
  <si>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</si>
  <si>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</si>
  <si>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</si>
  <si>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</si>
  <si>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</si>
  <si>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</si>
  <si>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</si>
  <si>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</si>
  <si>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</si>
  <si>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</si>
  <si>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</si>
  <si>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</si>
  <si>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</si>
  <si>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</si>
  <si>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</si>
  <si>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</si>
  <si>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</si>
  <si>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34043</t>
  </si>
  <si>
    <t>SPIERE-HELKIJN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</si>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</sst>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36D3571-52B5-493C-8029-28798EAF757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16814.599870088427</c:v>
                </c:pt>
                <c:pt idx="1">
                  <c:v>4588.4819296524684</c:v>
                </c:pt>
                <c:pt idx="2">
                  <c:v>195.096</c:v>
                </c:pt>
                <c:pt idx="3">
                  <c:v>1070.5334958055012</c:v>
                </c:pt>
                <c:pt idx="4">
                  <c:v>14557.87379496227</c:v>
                </c:pt>
                <c:pt idx="5">
                  <c:v>23722.673826474529</c:v>
                </c:pt>
                <c:pt idx="6">
                  <c:v>264.70658832996412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16814.599870088427</c:v>
                </c:pt>
                <c:pt idx="1">
                  <c:v>4588.4819296524684</c:v>
                </c:pt>
                <c:pt idx="2">
                  <c:v>195.096</c:v>
                </c:pt>
                <c:pt idx="3">
                  <c:v>1070.5334958055012</c:v>
                </c:pt>
                <c:pt idx="4">
                  <c:v>14557.87379496227</c:v>
                </c:pt>
                <c:pt idx="5">
                  <c:v>23722.673826474529</c:v>
                </c:pt>
                <c:pt idx="6">
                  <c:v>264.70658832996412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3524.1629410514111</c:v>
                </c:pt>
                <c:pt idx="1">
                  <c:v>951.01121732365834</c:v>
                </c:pt>
                <c:pt idx="2">
                  <c:v>40.935908722129746</c:v>
                </c:pt>
                <c:pt idx="3">
                  <c:v>277.09205426785718</c:v>
                </c:pt>
                <c:pt idx="4">
                  <c:v>3057.7134283764458</c:v>
                </c:pt>
                <c:pt idx="5">
                  <c:v>5893.8063510801576</c:v>
                </c:pt>
                <c:pt idx="6">
                  <c:v>66.828368624296758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3524.1629410514111</c:v>
                </c:pt>
                <c:pt idx="1">
                  <c:v>951.01121732365834</c:v>
                </c:pt>
                <c:pt idx="2">
                  <c:v>40.935908722129746</c:v>
                </c:pt>
                <c:pt idx="3">
                  <c:v>277.09205426785718</c:v>
                </c:pt>
                <c:pt idx="4">
                  <c:v>3057.7134283764458</c:v>
                </c:pt>
                <c:pt idx="5">
                  <c:v>5893.8063510801576</c:v>
                </c:pt>
                <c:pt idx="6">
                  <c:v>66.828368624296758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34043</v>
      </c>
      <c r="B6" s="382"/>
      <c r="C6" s="383"/>
    </row>
    <row r="7" spans="1:7" s="380" customFormat="1" ht="15.75" customHeight="1">
      <c r="A7" s="384" t="str">
        <f>txtMunicipality</f>
        <v>SPIERE-HELKIJN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0.20982443885128216</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0.20982443885128216</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884</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779.22</v>
      </c>
      <c r="C14" s="324"/>
      <c r="D14" s="324"/>
      <c r="E14" s="324"/>
      <c r="F14" s="324"/>
    </row>
    <row r="15" spans="1:6">
      <c r="A15" s="1264" t="s">
        <v>177</v>
      </c>
      <c r="B15" s="1265">
        <v>0</v>
      </c>
      <c r="C15" s="324"/>
      <c r="D15" s="324"/>
      <c r="E15" s="324"/>
      <c r="F15" s="324"/>
    </row>
    <row r="16" spans="1:6">
      <c r="A16" s="1264" t="s">
        <v>6</v>
      </c>
      <c r="B16" s="1265">
        <v>0</v>
      </c>
      <c r="C16" s="324"/>
      <c r="D16" s="324"/>
      <c r="E16" s="324"/>
      <c r="F16" s="324"/>
    </row>
    <row r="17" spans="1:6">
      <c r="A17" s="1264" t="s">
        <v>7</v>
      </c>
      <c r="B17" s="1265">
        <v>181</v>
      </c>
      <c r="C17" s="324"/>
      <c r="D17" s="324"/>
      <c r="E17" s="324"/>
      <c r="F17" s="324"/>
    </row>
    <row r="18" spans="1:6">
      <c r="A18" s="1264" t="s">
        <v>8</v>
      </c>
      <c r="B18" s="1265">
        <v>160</v>
      </c>
      <c r="C18" s="324"/>
      <c r="D18" s="324"/>
      <c r="E18" s="324"/>
      <c r="F18" s="324"/>
    </row>
    <row r="19" spans="1:6">
      <c r="A19" s="1264" t="s">
        <v>9</v>
      </c>
      <c r="B19" s="1265">
        <v>134</v>
      </c>
      <c r="C19" s="324"/>
      <c r="D19" s="324"/>
      <c r="E19" s="324"/>
      <c r="F19" s="324"/>
    </row>
    <row r="20" spans="1:6">
      <c r="A20" s="1264" t="s">
        <v>10</v>
      </c>
      <c r="B20" s="1265">
        <v>55</v>
      </c>
      <c r="C20" s="324"/>
      <c r="D20" s="324"/>
      <c r="E20" s="324"/>
      <c r="F20" s="324"/>
    </row>
    <row r="21" spans="1:6">
      <c r="A21" s="1264" t="s">
        <v>11</v>
      </c>
      <c r="B21" s="1265">
        <v>395</v>
      </c>
      <c r="C21" s="324"/>
      <c r="D21" s="324"/>
      <c r="E21" s="324"/>
      <c r="F21" s="324"/>
    </row>
    <row r="22" spans="1:6">
      <c r="A22" s="1264" t="s">
        <v>12</v>
      </c>
      <c r="B22" s="1265">
        <v>1267</v>
      </c>
      <c r="C22" s="324"/>
      <c r="D22" s="324"/>
      <c r="E22" s="324"/>
      <c r="F22" s="324"/>
    </row>
    <row r="23" spans="1:6">
      <c r="A23" s="1264" t="s">
        <v>13</v>
      </c>
      <c r="B23" s="1265">
        <v>4</v>
      </c>
      <c r="C23" s="324"/>
      <c r="D23" s="324"/>
      <c r="E23" s="324"/>
      <c r="F23" s="324"/>
    </row>
    <row r="24" spans="1:6">
      <c r="A24" s="1264" t="s">
        <v>14</v>
      </c>
      <c r="B24" s="1265">
        <v>5</v>
      </c>
      <c r="C24" s="324"/>
      <c r="D24" s="324"/>
      <c r="E24" s="324"/>
      <c r="F24" s="324"/>
    </row>
    <row r="25" spans="1:6">
      <c r="A25" s="1264" t="s">
        <v>15</v>
      </c>
      <c r="B25" s="1265">
        <v>157</v>
      </c>
      <c r="C25" s="324"/>
      <c r="D25" s="324"/>
      <c r="E25" s="324"/>
      <c r="F25" s="324"/>
    </row>
    <row r="26" spans="1:6">
      <c r="A26" s="1264" t="s">
        <v>16</v>
      </c>
      <c r="B26" s="1265">
        <v>46</v>
      </c>
      <c r="C26" s="324"/>
      <c r="D26" s="324"/>
      <c r="E26" s="324"/>
      <c r="F26" s="324"/>
    </row>
    <row r="27" spans="1:6">
      <c r="A27" s="1264" t="s">
        <v>17</v>
      </c>
      <c r="B27" s="1265">
        <v>0</v>
      </c>
      <c r="C27" s="324"/>
      <c r="D27" s="324"/>
      <c r="E27" s="324"/>
      <c r="F27" s="324"/>
    </row>
    <row r="28" spans="1:6">
      <c r="A28" s="1264" t="s">
        <v>18</v>
      </c>
      <c r="B28" s="1266">
        <v>0</v>
      </c>
      <c r="C28" s="324"/>
      <c r="D28" s="324"/>
      <c r="E28" s="324"/>
      <c r="F28" s="324"/>
    </row>
    <row r="29" spans="1:6">
      <c r="A29" s="1264" t="s">
        <v>657</v>
      </c>
      <c r="B29" s="1266">
        <v>40</v>
      </c>
      <c r="C29" s="324"/>
      <c r="D29" s="324"/>
      <c r="E29" s="324"/>
      <c r="F29" s="324"/>
    </row>
    <row r="30" spans="1:6">
      <c r="A30" s="1259" t="s">
        <v>658</v>
      </c>
      <c r="B30" s="1267">
        <v>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1</v>
      </c>
      <c r="D38" s="1265">
        <v>0</v>
      </c>
      <c r="E38" s="1265">
        <v>1</v>
      </c>
      <c r="F38" s="1265">
        <v>2326.3223540596</v>
      </c>
    </row>
    <row r="39" spans="1:6">
      <c r="A39" s="1264" t="s">
        <v>29</v>
      </c>
      <c r="B39" s="1264" t="s">
        <v>30</v>
      </c>
      <c r="C39" s="1265">
        <v>447</v>
      </c>
      <c r="D39" s="1265">
        <v>6237402.6419719998</v>
      </c>
      <c r="E39" s="1265">
        <v>828</v>
      </c>
      <c r="F39" s="1265">
        <v>3192093.8243478602</v>
      </c>
    </row>
    <row r="40" spans="1:6">
      <c r="A40" s="1264" t="s">
        <v>29</v>
      </c>
      <c r="B40" s="1264" t="s">
        <v>28</v>
      </c>
      <c r="C40" s="1265">
        <v>0</v>
      </c>
      <c r="D40" s="1265">
        <v>0</v>
      </c>
      <c r="E40" s="1265">
        <v>0</v>
      </c>
      <c r="F40" s="1265">
        <v>0</v>
      </c>
    </row>
    <row r="41" spans="1:6">
      <c r="A41" s="1264" t="s">
        <v>31</v>
      </c>
      <c r="B41" s="1264" t="s">
        <v>32</v>
      </c>
      <c r="C41" s="1265">
        <v>10</v>
      </c>
      <c r="D41" s="1265">
        <v>1351235.3760845901</v>
      </c>
      <c r="E41" s="1265">
        <v>26</v>
      </c>
      <c r="F41" s="1265">
        <v>1427735.7529085299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5</v>
      </c>
      <c r="F44" s="1265">
        <v>163661.62172136901</v>
      </c>
    </row>
    <row r="45" spans="1:6">
      <c r="A45" s="1264" t="s">
        <v>31</v>
      </c>
      <c r="B45" s="1264" t="s">
        <v>36</v>
      </c>
      <c r="C45" s="1265">
        <v>0</v>
      </c>
      <c r="D45" s="1265">
        <v>0</v>
      </c>
      <c r="E45" s="1265">
        <v>6</v>
      </c>
      <c r="F45" s="1265">
        <v>432136.23421772901</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5</v>
      </c>
      <c r="D48" s="1265">
        <v>146971.84420619599</v>
      </c>
      <c r="E48" s="1265">
        <v>1</v>
      </c>
      <c r="F48" s="1265">
        <v>7598.3124928768002</v>
      </c>
    </row>
    <row r="49" spans="1:6">
      <c r="A49" s="1264" t="s">
        <v>31</v>
      </c>
      <c r="B49" s="1264" t="s">
        <v>39</v>
      </c>
      <c r="C49" s="1265">
        <v>0</v>
      </c>
      <c r="D49" s="1265">
        <v>0</v>
      </c>
      <c r="E49" s="1265">
        <v>4</v>
      </c>
      <c r="F49" s="1265">
        <v>9581831.2987307403</v>
      </c>
    </row>
    <row r="50" spans="1:6">
      <c r="A50" s="1264" t="s">
        <v>31</v>
      </c>
      <c r="B50" s="1264" t="s">
        <v>40</v>
      </c>
      <c r="C50" s="1265">
        <v>0</v>
      </c>
      <c r="D50" s="1265">
        <v>0</v>
      </c>
      <c r="E50" s="1265">
        <v>4</v>
      </c>
      <c r="F50" s="1265">
        <v>88058.678399266806</v>
      </c>
    </row>
    <row r="51" spans="1:6">
      <c r="A51" s="1264" t="s">
        <v>41</v>
      </c>
      <c r="B51" s="1264" t="s">
        <v>42</v>
      </c>
      <c r="C51" s="1265">
        <v>0</v>
      </c>
      <c r="D51" s="1265">
        <v>0</v>
      </c>
      <c r="E51" s="1265">
        <v>20</v>
      </c>
      <c r="F51" s="1265">
        <v>240028.20555413299</v>
      </c>
    </row>
    <row r="52" spans="1:6">
      <c r="A52" s="1264" t="s">
        <v>41</v>
      </c>
      <c r="B52" s="1264" t="s">
        <v>28</v>
      </c>
      <c r="C52" s="1265">
        <v>0</v>
      </c>
      <c r="D52" s="1265">
        <v>0</v>
      </c>
      <c r="E52" s="1265">
        <v>0</v>
      </c>
      <c r="F52" s="1265">
        <v>0</v>
      </c>
    </row>
    <row r="53" spans="1:6">
      <c r="A53" s="1264" t="s">
        <v>43</v>
      </c>
      <c r="B53" s="1264" t="s">
        <v>44</v>
      </c>
      <c r="C53" s="1265">
        <v>10</v>
      </c>
      <c r="D53" s="1265">
        <v>149217.486146624</v>
      </c>
      <c r="E53" s="1265">
        <v>38</v>
      </c>
      <c r="F53" s="1265">
        <v>98850.243714714801</v>
      </c>
    </row>
    <row r="54" spans="1:6">
      <c r="A54" s="1264" t="s">
        <v>45</v>
      </c>
      <c r="B54" s="1264" t="s">
        <v>46</v>
      </c>
      <c r="C54" s="1265">
        <v>0</v>
      </c>
      <c r="D54" s="1265">
        <v>0</v>
      </c>
      <c r="E54" s="1265">
        <v>1</v>
      </c>
      <c r="F54" s="1265">
        <v>195096</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4</v>
      </c>
      <c r="D57" s="1265">
        <v>487030.10559281899</v>
      </c>
      <c r="E57" s="1265">
        <v>31</v>
      </c>
      <c r="F57" s="1265">
        <v>476791.58249680302</v>
      </c>
    </row>
    <row r="58" spans="1:6">
      <c r="A58" s="1264" t="s">
        <v>48</v>
      </c>
      <c r="B58" s="1264" t="s">
        <v>50</v>
      </c>
      <c r="C58" s="1265">
        <v>0</v>
      </c>
      <c r="D58" s="1265">
        <v>0</v>
      </c>
      <c r="E58" s="1265">
        <v>0</v>
      </c>
      <c r="F58" s="1265">
        <v>0</v>
      </c>
    </row>
    <row r="59" spans="1:6">
      <c r="A59" s="1264" t="s">
        <v>48</v>
      </c>
      <c r="B59" s="1264" t="s">
        <v>51</v>
      </c>
      <c r="C59" s="1265">
        <v>10</v>
      </c>
      <c r="D59" s="1265">
        <v>268702.30119021802</v>
      </c>
      <c r="E59" s="1265">
        <v>37</v>
      </c>
      <c r="F59" s="1265">
        <v>827570.88323373499</v>
      </c>
    </row>
    <row r="60" spans="1:6">
      <c r="A60" s="1264" t="s">
        <v>48</v>
      </c>
      <c r="B60" s="1264" t="s">
        <v>52</v>
      </c>
      <c r="C60" s="1265">
        <v>10</v>
      </c>
      <c r="D60" s="1265">
        <v>525175.113218855</v>
      </c>
      <c r="E60" s="1265">
        <v>13</v>
      </c>
      <c r="F60" s="1265">
        <v>212504.00759441301</v>
      </c>
    </row>
    <row r="61" spans="1:6">
      <c r="A61" s="1264" t="s">
        <v>48</v>
      </c>
      <c r="B61" s="1264" t="s">
        <v>53</v>
      </c>
      <c r="C61" s="1265">
        <v>17</v>
      </c>
      <c r="D61" s="1265">
        <v>391530.37225719797</v>
      </c>
      <c r="E61" s="1265">
        <v>37</v>
      </c>
      <c r="F61" s="1265">
        <v>673815.230083587</v>
      </c>
    </row>
    <row r="62" spans="1:6">
      <c r="A62" s="1264" t="s">
        <v>48</v>
      </c>
      <c r="B62" s="1264" t="s">
        <v>54</v>
      </c>
      <c r="C62" s="1265">
        <v>0</v>
      </c>
      <c r="D62" s="1265">
        <v>0</v>
      </c>
      <c r="E62" s="1265">
        <v>4</v>
      </c>
      <c r="F62" s="1265">
        <v>68004.982867287996</v>
      </c>
    </row>
    <row r="63" spans="1:6">
      <c r="A63" s="1264" t="s">
        <v>48</v>
      </c>
      <c r="B63" s="1264" t="s">
        <v>28</v>
      </c>
      <c r="C63" s="1265">
        <v>1</v>
      </c>
      <c r="D63" s="1265">
        <v>19764.606351958799</v>
      </c>
      <c r="E63" s="1265">
        <v>2</v>
      </c>
      <c r="F63" s="1265">
        <v>23965.217306425398</v>
      </c>
    </row>
    <row r="64" spans="1:6">
      <c r="A64" s="1264" t="s">
        <v>55</v>
      </c>
      <c r="B64" s="1264" t="s">
        <v>56</v>
      </c>
      <c r="C64" s="1265">
        <v>0</v>
      </c>
      <c r="D64" s="1265">
        <v>0</v>
      </c>
      <c r="E64" s="1265">
        <v>0</v>
      </c>
      <c r="F64" s="1265">
        <v>0</v>
      </c>
    </row>
    <row r="65" spans="1:6">
      <c r="A65" s="1264" t="s">
        <v>55</v>
      </c>
      <c r="B65" s="1264" t="s">
        <v>28</v>
      </c>
      <c r="C65" s="1265">
        <v>1</v>
      </c>
      <c r="D65" s="1265">
        <v>39011.358750121202</v>
      </c>
      <c r="E65" s="1265">
        <v>2</v>
      </c>
      <c r="F65" s="1265">
        <v>49658.128361180803</v>
      </c>
    </row>
    <row r="66" spans="1:6">
      <c r="A66" s="1264" t="s">
        <v>55</v>
      </c>
      <c r="B66" s="1264" t="s">
        <v>57</v>
      </c>
      <c r="C66" s="1265">
        <v>0</v>
      </c>
      <c r="D66" s="1265">
        <v>0</v>
      </c>
      <c r="E66" s="1265">
        <v>0</v>
      </c>
      <c r="F66" s="1265">
        <v>0</v>
      </c>
    </row>
    <row r="67" spans="1:6">
      <c r="A67" s="1264" t="s">
        <v>55</v>
      </c>
      <c r="B67" s="1264" t="s">
        <v>58</v>
      </c>
      <c r="C67" s="1265">
        <v>0</v>
      </c>
      <c r="D67" s="1265">
        <v>0</v>
      </c>
      <c r="E67" s="1265">
        <v>0</v>
      </c>
      <c r="F67" s="1265">
        <v>0</v>
      </c>
    </row>
    <row r="68" spans="1:6">
      <c r="A68" s="1259" t="s">
        <v>55</v>
      </c>
      <c r="B68" s="1259" t="s">
        <v>59</v>
      </c>
      <c r="C68" s="1267">
        <v>0</v>
      </c>
      <c r="D68" s="1267">
        <v>0</v>
      </c>
      <c r="E68" s="1267">
        <v>7</v>
      </c>
      <c r="F68" s="1267">
        <v>36856.396892954799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26450413</v>
      </c>
      <c r="E73" s="443"/>
      <c r="F73" s="324"/>
    </row>
    <row r="74" spans="1:6">
      <c r="A74" s="1264" t="s">
        <v>63</v>
      </c>
      <c r="B74" s="1264" t="s">
        <v>608</v>
      </c>
      <c r="C74" s="1277" t="s">
        <v>610</v>
      </c>
      <c r="D74" s="1265">
        <v>2329538.3863441991</v>
      </c>
      <c r="E74" s="443"/>
      <c r="F74" s="324"/>
    </row>
    <row r="75" spans="1:6">
      <c r="A75" s="1264" t="s">
        <v>64</v>
      </c>
      <c r="B75" s="1264" t="s">
        <v>607</v>
      </c>
      <c r="C75" s="1277" t="s">
        <v>611</v>
      </c>
      <c r="D75" s="1265">
        <v>1097910</v>
      </c>
      <c r="E75" s="443"/>
      <c r="F75" s="324"/>
    </row>
    <row r="76" spans="1:6">
      <c r="A76" s="1264" t="s">
        <v>64</v>
      </c>
      <c r="B76" s="1264" t="s">
        <v>608</v>
      </c>
      <c r="C76" s="1277" t="s">
        <v>612</v>
      </c>
      <c r="D76" s="1265">
        <v>12414.386344199302</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73311.227311601397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403.79041310703491</v>
      </c>
      <c r="C91" s="324"/>
      <c r="D91" s="324"/>
      <c r="E91" s="324"/>
      <c r="F91" s="324"/>
    </row>
    <row r="92" spans="1:6">
      <c r="A92" s="1259" t="s">
        <v>68</v>
      </c>
      <c r="B92" s="1260">
        <v>514.31683463249408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110</v>
      </c>
      <c r="C97" s="324"/>
      <c r="D97" s="324"/>
      <c r="E97" s="324"/>
      <c r="F97" s="324"/>
    </row>
    <row r="98" spans="1:6">
      <c r="A98" s="1264" t="s">
        <v>71</v>
      </c>
      <c r="B98" s="1265">
        <v>0</v>
      </c>
      <c r="C98" s="324"/>
      <c r="D98" s="324"/>
      <c r="E98" s="324"/>
      <c r="F98" s="324"/>
    </row>
    <row r="99" spans="1:6">
      <c r="A99" s="1264" t="s">
        <v>72</v>
      </c>
      <c r="B99" s="1265">
        <v>20</v>
      </c>
      <c r="C99" s="324"/>
      <c r="D99" s="324"/>
      <c r="E99" s="324"/>
      <c r="F99" s="324"/>
    </row>
    <row r="100" spans="1:6">
      <c r="A100" s="1264" t="s">
        <v>73</v>
      </c>
      <c r="B100" s="1265">
        <v>71</v>
      </c>
      <c r="C100" s="324"/>
      <c r="D100" s="324"/>
      <c r="E100" s="324"/>
      <c r="F100" s="324"/>
    </row>
    <row r="101" spans="1:6">
      <c r="A101" s="1264" t="s">
        <v>74</v>
      </c>
      <c r="B101" s="1265">
        <v>18</v>
      </c>
      <c r="C101" s="324"/>
      <c r="D101" s="324"/>
      <c r="E101" s="324"/>
      <c r="F101" s="324"/>
    </row>
    <row r="102" spans="1:6">
      <c r="A102" s="1264" t="s">
        <v>75</v>
      </c>
      <c r="B102" s="1265">
        <v>11</v>
      </c>
      <c r="C102" s="324"/>
      <c r="D102" s="324"/>
      <c r="E102" s="324"/>
      <c r="F102" s="324"/>
    </row>
    <row r="103" spans="1:6">
      <c r="A103" s="1264" t="s">
        <v>76</v>
      </c>
      <c r="B103" s="1265">
        <v>62</v>
      </c>
      <c r="C103" s="324"/>
      <c r="D103" s="324"/>
      <c r="E103" s="324"/>
      <c r="F103" s="324"/>
    </row>
    <row r="104" spans="1:6">
      <c r="A104" s="1264" t="s">
        <v>77</v>
      </c>
      <c r="B104" s="1265">
        <v>463</v>
      </c>
      <c r="C104" s="324"/>
      <c r="D104" s="324"/>
      <c r="E104" s="324"/>
      <c r="F104" s="324"/>
    </row>
    <row r="105" spans="1:6">
      <c r="A105" s="1259" t="s">
        <v>78</v>
      </c>
      <c r="B105" s="1267">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3</v>
      </c>
      <c r="C123" s="1265">
        <v>4</v>
      </c>
      <c r="D123" s="324"/>
      <c r="E123" s="324"/>
      <c r="F123" s="324"/>
    </row>
    <row r="124" spans="1:6">
      <c r="A124" s="1264" t="s">
        <v>88</v>
      </c>
      <c r="B124" s="1265">
        <v>0</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15</v>
      </c>
      <c r="C129" s="324"/>
      <c r="D129" s="324"/>
      <c r="E129" s="324"/>
      <c r="F129" s="324"/>
    </row>
    <row r="130" spans="1:6">
      <c r="A130" s="1264" t="s">
        <v>284</v>
      </c>
      <c r="B130" s="1265">
        <v>0</v>
      </c>
      <c r="C130" s="324"/>
      <c r="D130" s="324"/>
      <c r="E130" s="324"/>
      <c r="F130" s="324"/>
    </row>
    <row r="131" spans="1:6">
      <c r="A131" s="1264" t="s">
        <v>285</v>
      </c>
      <c r="B131" s="1265">
        <v>0</v>
      </c>
      <c r="C131" s="324"/>
      <c r="D131" s="324"/>
      <c r="E131" s="324"/>
      <c r="F131" s="324"/>
    </row>
    <row r="132" spans="1:6">
      <c r="A132" s="1259" t="s">
        <v>286</v>
      </c>
      <c r="B132" s="1260">
        <v>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18155.840145325892</v>
      </c>
      <c r="C3" s="43" t="s">
        <v>163</v>
      </c>
      <c r="D3" s="43"/>
      <c r="E3" s="153"/>
      <c r="F3" s="43"/>
      <c r="G3" s="43"/>
      <c r="H3" s="43"/>
      <c r="I3" s="43"/>
      <c r="J3" s="43"/>
      <c r="K3" s="96"/>
    </row>
    <row r="4" spans="1:11">
      <c r="A4" s="350" t="s">
        <v>164</v>
      </c>
      <c r="B4" s="49">
        <f>IF(ISERROR('SEAP template'!B78+'SEAP template'!C78),0,'SEAP template'!B78+'SEAP template'!C78)</f>
        <v>918.10724773952893</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0.20982443885128216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195.096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195.096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0.20982443885128216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40.935908722129746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3192.0938243478604</v>
      </c>
      <c r="C5" s="17">
        <f>IF(ISERROR('Eigen informatie GS &amp; warmtenet'!B59),0,'Eigen informatie GS &amp; warmtenet'!B59)</f>
        <v>0</v>
      </c>
      <c r="D5" s="30">
        <f>(SUM(HH_hh_gas_kWh,HH_rest_gas_kWh)/1000)*0.903</f>
        <v>5632.3745857007152</v>
      </c>
      <c r="E5" s="17">
        <f>B32*B41</f>
        <v>352.12168825139884</v>
      </c>
      <c r="F5" s="17">
        <f>B36*B45</f>
        <v>5770.4582246609962</v>
      </c>
      <c r="G5" s="18"/>
      <c r="H5" s="17"/>
      <c r="I5" s="17"/>
      <c r="J5" s="17">
        <f>B35*B44+C35*C44</f>
        <v>31.850037356408549</v>
      </c>
      <c r="K5" s="17"/>
      <c r="L5" s="17"/>
      <c r="M5" s="17"/>
      <c r="N5" s="17">
        <f>B34*B43+C34*C43</f>
        <v>1299.4102567264904</v>
      </c>
      <c r="O5" s="17">
        <f>B52*B53*B54</f>
        <v>37.695206168353607</v>
      </c>
      <c r="P5" s="17">
        <f>B60*B61*B62/1000-B60*B61*B62/1000/B63</f>
        <v>94.805633769165212</v>
      </c>
    </row>
    <row r="6" spans="1:16">
      <c r="A6" s="16" t="s">
        <v>573</v>
      </c>
      <c r="B6" s="739">
        <f>kWh_PV_kleiner_dan_10kW</f>
        <v>403.79041310703491</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3595.8842374548954</v>
      </c>
      <c r="C8" s="21">
        <f>C5</f>
        <v>0</v>
      </c>
      <c r="D8" s="21">
        <f>D5</f>
        <v>5632.3745857007152</v>
      </c>
      <c r="E8" s="21">
        <f>E5</f>
        <v>352.12168825139884</v>
      </c>
      <c r="F8" s="21">
        <f>F5</f>
        <v>5770.4582246609962</v>
      </c>
      <c r="G8" s="21"/>
      <c r="H8" s="21"/>
      <c r="I8" s="21"/>
      <c r="J8" s="21">
        <f>J5</f>
        <v>31.850037356408549</v>
      </c>
      <c r="K8" s="21"/>
      <c r="L8" s="21">
        <f>L5</f>
        <v>0</v>
      </c>
      <c r="M8" s="21">
        <f>M5</f>
        <v>0</v>
      </c>
      <c r="N8" s="21">
        <f>N5</f>
        <v>1299.4102567264904</v>
      </c>
      <c r="O8" s="21">
        <f>O5</f>
        <v>37.695206168353607</v>
      </c>
      <c r="P8" s="21">
        <f>P5</f>
        <v>94.805633769165212</v>
      </c>
    </row>
    <row r="9" spans="1:16">
      <c r="B9" s="19"/>
      <c r="C9" s="19"/>
      <c r="D9" s="253"/>
      <c r="E9" s="19"/>
      <c r="F9" s="19"/>
      <c r="G9" s="19"/>
      <c r="H9" s="19"/>
      <c r="I9" s="19"/>
      <c r="J9" s="19"/>
      <c r="K9" s="19"/>
      <c r="L9" s="19"/>
      <c r="M9" s="19"/>
      <c r="N9" s="19"/>
      <c r="O9" s="19"/>
      <c r="P9" s="19"/>
    </row>
    <row r="10" spans="1:16">
      <c r="A10" s="24" t="s">
        <v>207</v>
      </c>
      <c r="B10" s="25">
        <f ca="1">'EF ele_warmte'!B12</f>
        <v>0.20982443885128216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754.50439229814401</v>
      </c>
      <c r="C12" s="23">
        <f ca="1">C10*C8</f>
        <v>0</v>
      </c>
      <c r="D12" s="23">
        <f>D8*D10</f>
        <v>1137.7396663115446</v>
      </c>
      <c r="E12" s="23">
        <f>E10*E8</f>
        <v>79.93162323306754</v>
      </c>
      <c r="F12" s="23">
        <f>F10*F8</f>
        <v>1540.7123459844861</v>
      </c>
      <c r="G12" s="23"/>
      <c r="H12" s="23"/>
      <c r="I12" s="23"/>
      <c r="J12" s="23">
        <f>J10*J8</f>
        <v>11.274913224168627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884</v>
      </c>
      <c r="C26" s="36"/>
      <c r="D26" s="224"/>
    </row>
    <row r="27" spans="1:5" s="15" customFormat="1">
      <c r="A27" s="226" t="s">
        <v>784</v>
      </c>
      <c r="B27" s="37">
        <f>SUM(HH_hh_gas_aantal,HH_rest_gas_aantal)</f>
        <v>447</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424.65</v>
      </c>
      <c r="C31" s="34" t="s">
        <v>104</v>
      </c>
      <c r="D31" s="170"/>
    </row>
    <row r="32" spans="1:5">
      <c r="A32" s="167" t="s">
        <v>72</v>
      </c>
      <c r="B32" s="33">
        <f>IF((B21*($B$26-($B$27-0.05*$B$27)-$B$60))&lt;0,0,B21*($B$26-($B$27-0.05*$B$27)-$B$60))</f>
        <v>6.9466317203326398</v>
      </c>
      <c r="C32" s="34" t="s">
        <v>104</v>
      </c>
      <c r="D32" s="170"/>
    </row>
    <row r="33" spans="1:6">
      <c r="A33" s="167" t="s">
        <v>73</v>
      </c>
      <c r="B33" s="33">
        <f>IF((B22*($B$26-($B$27-0.05*$B$27)-$B$60))&lt;0,0,B22*($B$26-($B$27-0.05*$B$27)-$B$60))</f>
        <v>112.79954118307418</v>
      </c>
      <c r="C33" s="34" t="s">
        <v>104</v>
      </c>
      <c r="D33" s="170"/>
    </row>
    <row r="34" spans="1:6">
      <c r="A34" s="167" t="s">
        <v>74</v>
      </c>
      <c r="B34" s="33">
        <f>IF((B24*($B$26-($B$27-0.05*$B$27)-$B$60))&lt;0,0,B24*($B$26-($B$27-0.05*$B$27)-$B$60))</f>
        <v>49.322645205250481</v>
      </c>
      <c r="C34" s="33">
        <f>B26*C24</f>
        <v>148.51193972232807</v>
      </c>
      <c r="D34" s="229"/>
    </row>
    <row r="35" spans="1:6">
      <c r="A35" s="167" t="s">
        <v>76</v>
      </c>
      <c r="B35" s="33">
        <f>IF((B19*($B$26-($B$27-0.05*$B$27)-$B$60))&lt;0,0,B19*($B$26-($B$27-0.05*$B$27)-$B$60))</f>
        <v>3.0196842476052739</v>
      </c>
      <c r="C35" s="33">
        <f>B35/2</f>
        <v>1.5098421238026369</v>
      </c>
      <c r="D35" s="229"/>
    </row>
    <row r="36" spans="1:6">
      <c r="A36" s="167" t="s">
        <v>77</v>
      </c>
      <c r="B36" s="33">
        <f>IF((B18*($B$26-($B$27-0.05*$B$27)-$B$60))&lt;0,0,B18*($B$26-($B$27-0.05*$B$27)-$B$60))</f>
        <v>278.2614976437373</v>
      </c>
      <c r="C36" s="34" t="s">
        <v>104</v>
      </c>
      <c r="D36" s="170"/>
    </row>
    <row r="37" spans="1:6">
      <c r="A37" s="167" t="s">
        <v>78</v>
      </c>
      <c r="B37" s="33">
        <f>B60</f>
        <v>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19</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2282.6519035822516</v>
      </c>
      <c r="C5" s="17">
        <f>IF(ISERROR('Eigen informatie GS &amp; warmtenet'!B60),0,'Eigen informatie GS &amp; warmtenet'!B60)</f>
        <v>0</v>
      </c>
      <c r="D5" s="30">
        <f>SUM(D6:D12)</f>
        <v>1528.0588562457772</v>
      </c>
      <c r="E5" s="17">
        <f>SUM(E6:E12)</f>
        <v>10.027525774234435</v>
      </c>
      <c r="F5" s="17">
        <f>SUM(F6:F12)</f>
        <v>603.40539783616396</v>
      </c>
      <c r="G5" s="18"/>
      <c r="H5" s="17"/>
      <c r="I5" s="17"/>
      <c r="J5" s="17">
        <f>SUM(J6:J12)</f>
        <v>4.7571385521113872E-3</v>
      </c>
      <c r="K5" s="17"/>
      <c r="L5" s="17"/>
      <c r="M5" s="17"/>
      <c r="N5" s="17">
        <f>SUM(N6:N12)</f>
        <v>164.33348907548844</v>
      </c>
      <c r="O5" s="17">
        <f>B38*B39*B40</f>
        <v>0</v>
      </c>
      <c r="P5" s="17">
        <f>B46*B47*B48/1000-B46*B47*B48/1000/B49</f>
        <v>0</v>
      </c>
      <c r="R5" s="32"/>
    </row>
    <row r="6" spans="1:18">
      <c r="A6" s="32" t="s">
        <v>53</v>
      </c>
      <c r="B6" s="37">
        <f>B26</f>
        <v>673.81523008358704</v>
      </c>
      <c r="C6" s="33"/>
      <c r="D6" s="37">
        <f>IF(ISERROR(TER_kantoor_gas_kWh/1000),0,TER_kantoor_gas_kWh/1000)*0.903</f>
        <v>353.55192614824978</v>
      </c>
      <c r="E6" s="33">
        <f>$C$26*'E Balans VL '!I12/100/3.6*1000000</f>
        <v>0.16387663291373963</v>
      </c>
      <c r="F6" s="33">
        <f>$C$26*('E Balans VL '!L12+'E Balans VL '!N12)/100/3.6*1000000</f>
        <v>64.522074971121611</v>
      </c>
      <c r="G6" s="34"/>
      <c r="H6" s="33"/>
      <c r="I6" s="33"/>
      <c r="J6" s="33">
        <f>$C$26*('E Balans VL '!D12+'E Balans VL '!E12)/100/3.6*1000000</f>
        <v>0</v>
      </c>
      <c r="K6" s="33"/>
      <c r="L6" s="33"/>
      <c r="M6" s="33"/>
      <c r="N6" s="33">
        <f>$C$26*'E Balans VL '!Y12/100/3.6*1000000</f>
        <v>0.34207848316269823</v>
      </c>
      <c r="O6" s="33"/>
      <c r="P6" s="33"/>
      <c r="R6" s="32"/>
    </row>
    <row r="7" spans="1:18">
      <c r="A7" s="32" t="s">
        <v>52</v>
      </c>
      <c r="B7" s="37">
        <f t="shared" ref="B7:B12" si="0">B27</f>
        <v>212.504007594413</v>
      </c>
      <c r="C7" s="33"/>
      <c r="D7" s="37">
        <f>IF(ISERROR(TER_horeca_gas_kWh/1000),0,TER_horeca_gas_kWh/1000)*0.903</f>
        <v>474.2331272366261</v>
      </c>
      <c r="E7" s="33">
        <f>$C$27*'E Balans VL '!I9/100/3.6*1000000</f>
        <v>0</v>
      </c>
      <c r="F7" s="33">
        <f>$C$27*('E Balans VL '!L9+'E Balans VL '!N9)/100/3.6*1000000</f>
        <v>17.429385121665923</v>
      </c>
      <c r="G7" s="34"/>
      <c r="H7" s="33"/>
      <c r="I7" s="33"/>
      <c r="J7" s="33">
        <f>$C$27*('E Balans VL '!D9+'E Balans VL '!E9)/100/3.6*1000000</f>
        <v>0</v>
      </c>
      <c r="K7" s="33"/>
      <c r="L7" s="33"/>
      <c r="M7" s="33"/>
      <c r="N7" s="33">
        <f>$C$27*'E Balans VL '!Y9/100/3.6*1000000</f>
        <v>1.3956842149893482</v>
      </c>
      <c r="O7" s="33"/>
      <c r="P7" s="33"/>
      <c r="R7" s="32"/>
    </row>
    <row r="8" spans="1:18">
      <c r="A8" s="6" t="s">
        <v>51</v>
      </c>
      <c r="B8" s="37">
        <f t="shared" si="0"/>
        <v>827.570883233735</v>
      </c>
      <c r="C8" s="33"/>
      <c r="D8" s="37">
        <f>IF(ISERROR(TER_handel_gas_kWh/1000),0,TER_handel_gas_kWh/1000)*0.903</f>
        <v>242.63817797476688</v>
      </c>
      <c r="E8" s="33">
        <f>$C$28*'E Balans VL '!I13/100/3.6*1000000</f>
        <v>2.9255059447773415</v>
      </c>
      <c r="F8" s="33">
        <f>$C$28*('E Balans VL '!L13+'E Balans VL '!N13)/100/3.6*1000000</f>
        <v>76.201575326259004</v>
      </c>
      <c r="G8" s="34"/>
      <c r="H8" s="33"/>
      <c r="I8" s="33"/>
      <c r="J8" s="33">
        <f>$C$28*('E Balans VL '!D13+'E Balans VL '!E13)/100/3.6*1000000</f>
        <v>0</v>
      </c>
      <c r="K8" s="33"/>
      <c r="L8" s="33"/>
      <c r="M8" s="33"/>
      <c r="N8" s="33">
        <f>$C$28*'E Balans VL '!Y13/100/3.6*1000000</f>
        <v>0.29971054564736094</v>
      </c>
      <c r="O8" s="33"/>
      <c r="P8" s="33"/>
      <c r="R8" s="32"/>
    </row>
    <row r="9" spans="1:18">
      <c r="A9" s="32" t="s">
        <v>50</v>
      </c>
      <c r="B9" s="37">
        <f t="shared" si="0"/>
        <v>0</v>
      </c>
      <c r="C9" s="33"/>
      <c r="D9" s="37">
        <f>IF(ISERROR(TER_gezond_gas_kWh/1000),0,TER_gezond_gas_kWh/1000)*0.903</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476.79158249680302</v>
      </c>
      <c r="C10" s="33"/>
      <c r="D10" s="37">
        <f>IF(ISERROR(TER_ander_gas_kWh/1000),0,TER_ander_gas_kWh/1000)*0.903</f>
        <v>439.78818535031553</v>
      </c>
      <c r="E10" s="33">
        <f>$C$30*'E Balans VL '!I14/100/3.6*1000000</f>
        <v>6.8426470999519804</v>
      </c>
      <c r="F10" s="33">
        <f>$C$30*('E Balans VL '!L14+'E Balans VL '!N14)/100/3.6*1000000</f>
        <v>431.03468606907734</v>
      </c>
      <c r="G10" s="34"/>
      <c r="H10" s="33"/>
      <c r="I10" s="33"/>
      <c r="J10" s="33">
        <f>$C$30*('E Balans VL '!D14+'E Balans VL '!E14)/100/3.6*1000000</f>
        <v>4.7087078973223877E-3</v>
      </c>
      <c r="K10" s="33"/>
      <c r="L10" s="33"/>
      <c r="M10" s="33"/>
      <c r="N10" s="33">
        <f>$C$30*'E Balans VL '!Y14/100/3.6*1000000</f>
        <v>160.41423929101043</v>
      </c>
      <c r="O10" s="33"/>
      <c r="P10" s="33"/>
      <c r="R10" s="32"/>
    </row>
    <row r="11" spans="1:18">
      <c r="A11" s="32" t="s">
        <v>54</v>
      </c>
      <c r="B11" s="37">
        <f t="shared" si="0"/>
        <v>68.004982867287993</v>
      </c>
      <c r="C11" s="33"/>
      <c r="D11" s="37">
        <f>IF(ISERROR(TER_onderwijs_gas_kWh/1000),0,TER_onderwijs_gas_kWh/1000)*0.903</f>
        <v>0</v>
      </c>
      <c r="E11" s="33">
        <f>$C$31*'E Balans VL '!I11/100/3.6*1000000</f>
        <v>0</v>
      </c>
      <c r="F11" s="33">
        <f>$C$31*('E Balans VL '!L11+'E Balans VL '!N11)/100/3.6*1000000</f>
        <v>7.9505923285936158</v>
      </c>
      <c r="G11" s="34"/>
      <c r="H11" s="33"/>
      <c r="I11" s="33"/>
      <c r="J11" s="33">
        <f>$C$31*('E Balans VL '!D11+'E Balans VL '!E11)/100/3.6*1000000</f>
        <v>0</v>
      </c>
      <c r="K11" s="33"/>
      <c r="L11" s="33"/>
      <c r="M11" s="33"/>
      <c r="N11" s="33">
        <f>$C$31*'E Balans VL '!Y11/100/3.6*1000000</f>
        <v>0.19149422265931856</v>
      </c>
      <c r="O11" s="33"/>
      <c r="P11" s="33"/>
      <c r="R11" s="32"/>
    </row>
    <row r="12" spans="1:18">
      <c r="A12" s="32" t="s">
        <v>249</v>
      </c>
      <c r="B12" s="37">
        <f t="shared" si="0"/>
        <v>23.965217306425398</v>
      </c>
      <c r="C12" s="33"/>
      <c r="D12" s="37">
        <f>IF(ISERROR(TER_rest_gas_kWh/1000),0,TER_rest_gas_kWh/1000)*0.903</f>
        <v>17.847439535818797</v>
      </c>
      <c r="E12" s="33">
        <f>$C$32*'E Balans VL '!I8/100/3.6*1000000</f>
        <v>9.5496096591373869E-2</v>
      </c>
      <c r="F12" s="33">
        <f>$C$32*('E Balans VL '!L8+'E Balans VL '!N8)/100/3.6*1000000</f>
        <v>6.2670840194464805</v>
      </c>
      <c r="G12" s="34"/>
      <c r="H12" s="33"/>
      <c r="I12" s="33"/>
      <c r="J12" s="33">
        <f>$C$32*('E Balans VL '!D8+'E Balans VL '!E8)/100/3.6*1000000</f>
        <v>4.8430654788999391E-5</v>
      </c>
      <c r="K12" s="33"/>
      <c r="L12" s="33"/>
      <c r="M12" s="33"/>
      <c r="N12" s="33">
        <f>$C$32*'E Balans VL '!Y8/100/3.6*1000000</f>
        <v>1.6902823180192901</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2282.6519035822516</v>
      </c>
      <c r="C16" s="21">
        <f t="shared" ca="1" si="1"/>
        <v>0</v>
      </c>
      <c r="D16" s="21">
        <f t="shared" ca="1" si="1"/>
        <v>1528.0588562457772</v>
      </c>
      <c r="E16" s="21">
        <f t="shared" si="1"/>
        <v>10.027525774234435</v>
      </c>
      <c r="F16" s="21">
        <f t="shared" ca="1" si="1"/>
        <v>603.40539783616396</v>
      </c>
      <c r="G16" s="21">
        <f t="shared" si="1"/>
        <v>0</v>
      </c>
      <c r="H16" s="21">
        <f t="shared" si="1"/>
        <v>0</v>
      </c>
      <c r="I16" s="21">
        <f t="shared" si="1"/>
        <v>0</v>
      </c>
      <c r="J16" s="21">
        <f t="shared" si="1"/>
        <v>4.7571385521113872E-3</v>
      </c>
      <c r="K16" s="21">
        <f t="shared" si="1"/>
        <v>0</v>
      </c>
      <c r="L16" s="21">
        <f t="shared" ca="1" si="1"/>
        <v>0</v>
      </c>
      <c r="M16" s="21">
        <f t="shared" si="1"/>
        <v>0</v>
      </c>
      <c r="N16" s="21">
        <f t="shared" ca="1" si="1"/>
        <v>164.33348907548844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0.20982443885128216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478.95615476195695</v>
      </c>
      <c r="C20" s="23">
        <f t="shared" ref="C20:P20" ca="1" si="2">C16*C18</f>
        <v>0</v>
      </c>
      <c r="D20" s="23">
        <f t="shared" ca="1" si="2"/>
        <v>308.66788896164701</v>
      </c>
      <c r="E20" s="23">
        <f t="shared" si="2"/>
        <v>2.2762483507512168</v>
      </c>
      <c r="F20" s="23">
        <f t="shared" ca="1" si="2"/>
        <v>161.10924122225578</v>
      </c>
      <c r="G20" s="23">
        <f t="shared" si="2"/>
        <v>0</v>
      </c>
      <c r="H20" s="23">
        <f t="shared" si="2"/>
        <v>0</v>
      </c>
      <c r="I20" s="23">
        <f t="shared" si="2"/>
        <v>0</v>
      </c>
      <c r="J20" s="23">
        <f t="shared" si="2"/>
        <v>1.684027047447431E-3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673.81523008358704</v>
      </c>
      <c r="C26" s="39">
        <f>IF(ISERROR(B26*3.6/1000000/'E Balans VL '!Z12*100),0,B26*3.6/1000000/'E Balans VL '!Z12*100)</f>
        <v>1.899311316709465E-2</v>
      </c>
      <c r="D26" s="232" t="s">
        <v>660</v>
      </c>
      <c r="F26" s="6"/>
    </row>
    <row r="27" spans="1:18">
      <c r="A27" s="227" t="s">
        <v>52</v>
      </c>
      <c r="B27" s="33">
        <f>IF(ISERROR(TER_horeca_ele_kWh/1000),0,TER_horeca_ele_kWh/1000)</f>
        <v>212.504007594413</v>
      </c>
      <c r="C27" s="39">
        <f>IF(ISERROR(B27*3.6/1000000/'E Balans VL '!Z9*100),0,B27*3.6/1000000/'E Balans VL '!Z9*100)</f>
        <v>1.5754561619982274E-2</v>
      </c>
      <c r="D27" s="232" t="s">
        <v>660</v>
      </c>
      <c r="F27" s="6"/>
    </row>
    <row r="28" spans="1:18">
      <c r="A28" s="167" t="s">
        <v>51</v>
      </c>
      <c r="B28" s="33">
        <f>IF(ISERROR(TER_handel_ele_kWh/1000),0,TER_handel_ele_kWh/1000)</f>
        <v>827.570883233735</v>
      </c>
      <c r="C28" s="39">
        <f>IF(ISERROR(B28*3.6/1000000/'E Balans VL '!Z13*100),0,B28*3.6/1000000/'E Balans VL '!Z13*100)</f>
        <v>2.4792056038445021E-2</v>
      </c>
      <c r="D28" s="232" t="s">
        <v>660</v>
      </c>
      <c r="F28" s="6"/>
    </row>
    <row r="29" spans="1:18">
      <c r="A29" s="227" t="s">
        <v>50</v>
      </c>
      <c r="B29" s="33">
        <f>IF(ISERROR(TER_gezond_ele_kWh/1000),0,TER_gezond_ele_kWh/1000)</f>
        <v>0</v>
      </c>
      <c r="C29" s="39">
        <f>IF(ISERROR(B29*3.6/1000000/'E Balans VL '!Z10*100),0,B29*3.6/1000000/'E Balans VL '!Z10*100)</f>
        <v>0</v>
      </c>
      <c r="D29" s="232" t="s">
        <v>660</v>
      </c>
      <c r="F29" s="6"/>
    </row>
    <row r="30" spans="1:18">
      <c r="A30" s="227" t="s">
        <v>49</v>
      </c>
      <c r="B30" s="33">
        <f>IF(ISERROR(TER_ander_ele_kWh/1000),0,TER_ander_ele_kWh/1000)</f>
        <v>476.79158249680302</v>
      </c>
      <c r="C30" s="39">
        <f>IF(ISERROR(B30*3.6/1000000/'E Balans VL '!Z14*100),0,B30*3.6/1000000/'E Balans VL '!Z14*100)</f>
        <v>1.9284810500979063E-2</v>
      </c>
      <c r="D30" s="232" t="s">
        <v>660</v>
      </c>
      <c r="F30" s="6"/>
    </row>
    <row r="31" spans="1:18">
      <c r="A31" s="227" t="s">
        <v>54</v>
      </c>
      <c r="B31" s="33">
        <f>IF(ISERROR(TER_onderwijs_ele_kWh/1000),0,TER_onderwijs_ele_kWh/1000)</f>
        <v>68.004982867287993</v>
      </c>
      <c r="C31" s="39">
        <f>IF(ISERROR(B31*3.6/1000000/'E Balans VL '!Z11*100),0,B31*3.6/1000000/'E Balans VL '!Z11*100)</f>
        <v>1.8683942966818516E-2</v>
      </c>
      <c r="D31" s="232" t="s">
        <v>660</v>
      </c>
    </row>
    <row r="32" spans="1:18">
      <c r="A32" s="227" t="s">
        <v>249</v>
      </c>
      <c r="B32" s="33">
        <f>IF(ISERROR(TER_rest_ele_kWh/1000),0,TER_rest_ele_kWh/1000)</f>
        <v>23.965217306425398</v>
      </c>
      <c r="C32" s="39">
        <f>IF(ISERROR(B32*3.6/1000000/'E Balans VL '!Z8*100),0,B32*3.6/1000000/'E Balans VL '!Z8*100)</f>
        <v>1.9835080459658453E-4</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0</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11701.021898470512</v>
      </c>
      <c r="C5" s="17">
        <f>IF(ISERROR('Eigen informatie GS &amp; warmtenet'!B61),0,'Eigen informatie GS &amp; warmtenet'!B61)</f>
        <v>0</v>
      </c>
      <c r="D5" s="30">
        <f>SUM(D6:D15)</f>
        <v>1352.8811199225797</v>
      </c>
      <c r="E5" s="17">
        <f>SUM(E6:E15)</f>
        <v>30.798775503602041</v>
      </c>
      <c r="F5" s="17">
        <f>SUM(F6:F15)</f>
        <v>1206.7798738668021</v>
      </c>
      <c r="G5" s="18"/>
      <c r="H5" s="17"/>
      <c r="I5" s="17"/>
      <c r="J5" s="17">
        <f>SUM(J6:J15)</f>
        <v>0.19644055703878488</v>
      </c>
      <c r="K5" s="17"/>
      <c r="L5" s="17"/>
      <c r="M5" s="17"/>
      <c r="N5" s="17">
        <f>SUM(N6:N15)</f>
        <v>266.19568664173516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163.66162172136902</v>
      </c>
      <c r="C8" s="33"/>
      <c r="D8" s="37">
        <f>IF( ISERROR(IND_metaal_Gas_kWH/1000),0,IND_metaal_Gas_kWH/1000)*0.903</f>
        <v>0</v>
      </c>
      <c r="E8" s="33">
        <f>C30*'E Balans VL '!I18/100/3.6*1000000</f>
        <v>0.89448185032569361</v>
      </c>
      <c r="F8" s="33">
        <f>C30*'E Balans VL '!L18/100/3.6*1000000+C30*'E Balans VL '!N18/100/3.6*1000000</f>
        <v>11.202394282866797</v>
      </c>
      <c r="G8" s="34"/>
      <c r="H8" s="33"/>
      <c r="I8" s="33"/>
      <c r="J8" s="40">
        <f>C30*'E Balans VL '!D18/100/3.6*1000000+C30*'E Balans VL '!E18/100/3.6*1000000</f>
        <v>0.16309983912224929</v>
      </c>
      <c r="K8" s="33"/>
      <c r="L8" s="33"/>
      <c r="M8" s="33"/>
      <c r="N8" s="33">
        <f>C30*'E Balans VL '!Y18/100/3.6*1000000</f>
        <v>2.4206341934520696</v>
      </c>
      <c r="O8" s="33"/>
      <c r="P8" s="33"/>
      <c r="R8" s="32"/>
    </row>
    <row r="9" spans="1:18">
      <c r="A9" s="6" t="s">
        <v>32</v>
      </c>
      <c r="B9" s="37">
        <f t="shared" si="0"/>
        <v>1427.73575290853</v>
      </c>
      <c r="C9" s="33"/>
      <c r="D9" s="37">
        <f>IF( ISERROR(IND_andere_gas_kWh/1000),0,IND_andere_gas_kWh/1000)*0.903</f>
        <v>1220.1655446043849</v>
      </c>
      <c r="E9" s="33">
        <f>C31*'E Balans VL '!I19/100/3.6*1000000</f>
        <v>5.3729471934991553</v>
      </c>
      <c r="F9" s="33">
        <f>C31*'E Balans VL '!L19/100/3.6*1000000+C31*'E Balans VL '!N19/100/3.6*1000000</f>
        <v>918.92934007206622</v>
      </c>
      <c r="G9" s="34"/>
      <c r="H9" s="33"/>
      <c r="I9" s="33"/>
      <c r="J9" s="40">
        <f>C31*'E Balans VL '!D19/100/3.6*1000000+C31*'E Balans VL '!E19/100/3.6*1000000</f>
        <v>0</v>
      </c>
      <c r="K9" s="33"/>
      <c r="L9" s="33"/>
      <c r="M9" s="33"/>
      <c r="N9" s="33">
        <f>C31*'E Balans VL '!Y19/100/3.6*1000000</f>
        <v>51.577909428519632</v>
      </c>
      <c r="O9" s="33"/>
      <c r="P9" s="33"/>
      <c r="R9" s="32"/>
    </row>
    <row r="10" spans="1:18">
      <c r="A10" s="6" t="s">
        <v>40</v>
      </c>
      <c r="B10" s="37">
        <f t="shared" si="0"/>
        <v>88.05867839926681</v>
      </c>
      <c r="C10" s="33"/>
      <c r="D10" s="37">
        <f>IF( ISERROR(IND_voed_gas_kWh/1000),0,IND_voed_gas_kWh/1000)*0.903</f>
        <v>0</v>
      </c>
      <c r="E10" s="33">
        <f>C32*'E Balans VL '!I20/100/3.6*1000000</f>
        <v>0.17431874952376861</v>
      </c>
      <c r="F10" s="33">
        <f>C32*'E Balans VL '!L20/100/3.6*1000000+C32*'E Balans VL '!N20/100/3.6*1000000</f>
        <v>1.8702583347955839</v>
      </c>
      <c r="G10" s="34"/>
      <c r="H10" s="33"/>
      <c r="I10" s="33"/>
      <c r="J10" s="40">
        <f>C32*'E Balans VL '!D20/100/3.6*1000000+C32*'E Balans VL '!E20/100/3.6*1000000</f>
        <v>0</v>
      </c>
      <c r="K10" s="33"/>
      <c r="L10" s="33"/>
      <c r="M10" s="33"/>
      <c r="N10" s="33">
        <f>C32*'E Balans VL '!Y20/100/3.6*1000000</f>
        <v>3.5490993589585247</v>
      </c>
      <c r="O10" s="33"/>
      <c r="P10" s="33"/>
      <c r="R10" s="32"/>
    </row>
    <row r="11" spans="1:18">
      <c r="A11" s="6" t="s">
        <v>39</v>
      </c>
      <c r="B11" s="37">
        <f t="shared" si="0"/>
        <v>9581.8312987307399</v>
      </c>
      <c r="C11" s="33"/>
      <c r="D11" s="37">
        <f>IF( ISERROR(IND_textiel_gas_kWh/1000),0,IND_textiel_gas_kWh/1000)*0.903</f>
        <v>0</v>
      </c>
      <c r="E11" s="33">
        <f>C33*'E Balans VL '!I21/100/3.6*1000000</f>
        <v>18.658065389795915</v>
      </c>
      <c r="F11" s="33">
        <f>C33*'E Balans VL '!L21/100/3.6*1000000+C33*'E Balans VL '!N21/100/3.6*1000000</f>
        <v>226.9637169942317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432.136234217729</v>
      </c>
      <c r="C12" s="33"/>
      <c r="D12" s="37">
        <f>IF( ISERROR(IND_min_gas_kWh/1000),0,IND_min_gas_kWh/1000)*0.903</f>
        <v>0</v>
      </c>
      <c r="E12" s="33">
        <f>C34*'E Balans VL '!I22/100/3.6*1000000</f>
        <v>5.2875947216962897</v>
      </c>
      <c r="F12" s="33">
        <f>C34*'E Balans VL '!L22/100/3.6*1000000+C34*'E Balans VL '!N22/100/3.6*1000000</f>
        <v>46.654555192479719</v>
      </c>
      <c r="G12" s="34"/>
      <c r="H12" s="33"/>
      <c r="I12" s="33"/>
      <c r="J12" s="40">
        <f>C34*'E Balans VL '!D22/100/3.6*1000000+C34*'E Balans VL '!E22/100/3.6*1000000</f>
        <v>0</v>
      </c>
      <c r="K12" s="33"/>
      <c r="L12" s="33"/>
      <c r="M12" s="33"/>
      <c r="N12" s="33">
        <f>C34*'E Balans VL '!Y22/100/3.6*1000000</f>
        <v>208.43265741388902</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7.5983124928767998</v>
      </c>
      <c r="C15" s="33"/>
      <c r="D15" s="37">
        <f>IF( ISERROR(IND_rest_gas_kWh/1000),0,IND_rest_gas_kWh/1000)*0.903</f>
        <v>132.71557531819496</v>
      </c>
      <c r="E15" s="33">
        <f>C37*'E Balans VL '!I15/100/3.6*1000000</f>
        <v>0.4113675987612167</v>
      </c>
      <c r="F15" s="33">
        <f>C37*'E Balans VL '!L15/100/3.6*1000000+C37*'E Balans VL '!N15/100/3.6*1000000</f>
        <v>1.1596089903621716</v>
      </c>
      <c r="G15" s="34"/>
      <c r="H15" s="33"/>
      <c r="I15" s="33"/>
      <c r="J15" s="40">
        <f>C37*'E Balans VL '!D15/100/3.6*1000000+C37*'E Balans VL '!E15/100/3.6*1000000</f>
        <v>3.3340717916535596E-2</v>
      </c>
      <c r="K15" s="33"/>
      <c r="L15" s="33"/>
      <c r="M15" s="33"/>
      <c r="N15" s="33">
        <f>C37*'E Balans VL '!Y15/100/3.6*1000000</f>
        <v>0.21538624691597669</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11701.021898470512</v>
      </c>
      <c r="C18" s="21">
        <f>C5+C16</f>
        <v>0</v>
      </c>
      <c r="D18" s="21">
        <f>MAX((D5+D16),0)</f>
        <v>1352.8811199225797</v>
      </c>
      <c r="E18" s="21">
        <f>MAX((E5+E16),0)</f>
        <v>30.798775503602041</v>
      </c>
      <c r="F18" s="21">
        <f>MAX((F5+F16),0)</f>
        <v>1206.7798738668021</v>
      </c>
      <c r="G18" s="21"/>
      <c r="H18" s="21"/>
      <c r="I18" s="21"/>
      <c r="J18" s="21">
        <f>MAX((J5+J16),0)</f>
        <v>0.19644055703878488</v>
      </c>
      <c r="K18" s="21"/>
      <c r="L18" s="21">
        <f>MAX((L5+L16),0)</f>
        <v>0</v>
      </c>
      <c r="M18" s="21"/>
      <c r="N18" s="21">
        <f>MAX((N5+N16),0)</f>
        <v>266.19568664173516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0.20982443885128216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2455.1603538331392</v>
      </c>
      <c r="C22" s="23">
        <f ca="1">C18*C20</f>
        <v>0</v>
      </c>
      <c r="D22" s="23">
        <f>D18*D20</f>
        <v>273.28198622436111</v>
      </c>
      <c r="E22" s="23">
        <f>E18*E20</f>
        <v>6.9913220393176632</v>
      </c>
      <c r="F22" s="23">
        <f>F18*F20</f>
        <v>322.21022632243614</v>
      </c>
      <c r="G22" s="23"/>
      <c r="H22" s="23"/>
      <c r="I22" s="23"/>
      <c r="J22" s="23">
        <f>J18*J20</f>
        <v>6.953995719172984E-2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163.66162172136902</v>
      </c>
      <c r="C30" s="39">
        <f>IF(ISERROR(B30*3.6/1000000/'E Balans VL '!Z18*100),0,B30*3.6/1000000/'E Balans VL '!Z18*100)</f>
        <v>9.1315617549004007E-3</v>
      </c>
      <c r="D30" s="232" t="s">
        <v>660</v>
      </c>
    </row>
    <row r="31" spans="1:18">
      <c r="A31" s="6" t="s">
        <v>32</v>
      </c>
      <c r="B31" s="37">
        <f>IF( ISERROR(IND_ander_ele_kWh/1000),0,IND_ander_ele_kWh/1000)</f>
        <v>1427.73575290853</v>
      </c>
      <c r="C31" s="39">
        <f>IF(ISERROR(B31*3.6/1000000/'E Balans VL '!Z19*100),0,B31*3.6/1000000/'E Balans VL '!Z19*100)</f>
        <v>5.8113250778653876E-2</v>
      </c>
      <c r="D31" s="232" t="s">
        <v>660</v>
      </c>
    </row>
    <row r="32" spans="1:18">
      <c r="A32" s="167" t="s">
        <v>40</v>
      </c>
      <c r="B32" s="37">
        <f>IF( ISERROR(IND_voed_ele_kWh/1000),0,IND_voed_ele_kWh/1000)</f>
        <v>88.05867839926681</v>
      </c>
      <c r="C32" s="39">
        <f>IF(ISERROR(B32*3.6/1000000/'E Balans VL '!Z20*100),0,B32*3.6/1000000/'E Balans VL '!Z20*100)</f>
        <v>2.5611726709985605E-3</v>
      </c>
      <c r="D32" s="232" t="s">
        <v>660</v>
      </c>
    </row>
    <row r="33" spans="1:5">
      <c r="A33" s="167" t="s">
        <v>39</v>
      </c>
      <c r="B33" s="37">
        <f>IF( ISERROR(IND_textiel_ele_kWh/1000),0,IND_textiel_ele_kWh/1000)</f>
        <v>9581.8312987307399</v>
      </c>
      <c r="C33" s="39">
        <f>IF(ISERROR(B33*3.6/1000000/'E Balans VL '!Z21*100),0,B33*3.6/1000000/'E Balans VL '!Z21*100)</f>
        <v>1.4114107039980099</v>
      </c>
      <c r="D33" s="232" t="s">
        <v>660</v>
      </c>
    </row>
    <row r="34" spans="1:5">
      <c r="A34" s="167" t="s">
        <v>36</v>
      </c>
      <c r="B34" s="37">
        <f>IF( ISERROR(IND_min_ele_kWh/1000),0,IND_min_ele_kWh/1000)</f>
        <v>432.136234217729</v>
      </c>
      <c r="C34" s="39">
        <f>IF(ISERROR(B34*3.6/1000000/'E Balans VL '!Z22*100),0,B34*3.6/1000000/'E Balans VL '!Z22*100)</f>
        <v>0.1733552420147608</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7.5983124928767998</v>
      </c>
      <c r="C37" s="39">
        <f>IF(ISERROR(B37*3.6/1000000/'E Balans VL '!Z15*100),0,B37*3.6/1000000/'E Balans VL '!Z15*100)</f>
        <v>6.1200920344615836E-5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240.028205554133</v>
      </c>
      <c r="C5" s="17">
        <f>'Eigen informatie GS &amp; warmtenet'!B62</f>
        <v>0</v>
      </c>
      <c r="D5" s="30">
        <f>IF(ISERROR(SUM(LB_lb_gas_kWh,LB_rest_gas_kWh)/1000),0,SUM(LB_lb_gas_kWh,LB_rest_gas_kWh)/1000)*0.903</f>
        <v>0</v>
      </c>
      <c r="E5" s="17">
        <f>B17*'E Balans VL '!I25/3.6*1000000/100</f>
        <v>7.0767100906380342</v>
      </c>
      <c r="F5" s="17">
        <f>B17*('E Balans VL '!L25/3.6*1000000+'E Balans VL '!N25/3.6*1000000)/100</f>
        <v>762.89494067232442</v>
      </c>
      <c r="G5" s="18"/>
      <c r="H5" s="17"/>
      <c r="I5" s="17"/>
      <c r="J5" s="17">
        <f>('E Balans VL '!D25+'E Balans VL '!E25)/3.6*1000000*landbouw!B17/100</f>
        <v>60.533639488405591</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240.028205554133</v>
      </c>
      <c r="C8" s="21">
        <f>C5+C6</f>
        <v>0</v>
      </c>
      <c r="D8" s="21">
        <f>MAX((D5+D6),0)</f>
        <v>0</v>
      </c>
      <c r="E8" s="21">
        <f>MAX((E5+E6),0)</f>
        <v>7.0767100906380342</v>
      </c>
      <c r="F8" s="21">
        <f>MAX((F5+F6),0)</f>
        <v>762.89494067232442</v>
      </c>
      <c r="G8" s="21"/>
      <c r="H8" s="21"/>
      <c r="I8" s="21"/>
      <c r="J8" s="21">
        <f>MAX((J5+J6),0)</f>
        <v>60.533639488405591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0.20982443885128216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50.363783538876163</v>
      </c>
      <c r="C12" s="23">
        <f ca="1">C8*C10</f>
        <v>0</v>
      </c>
      <c r="D12" s="23">
        <f>D8*D10</f>
        <v>0</v>
      </c>
      <c r="E12" s="23">
        <f>E8*E10</f>
        <v>1.6064131905748338</v>
      </c>
      <c r="F12" s="23">
        <f>F8*F10</f>
        <v>203.69294915951062</v>
      </c>
      <c r="G12" s="23"/>
      <c r="H12" s="23"/>
      <c r="I12" s="23"/>
      <c r="J12" s="23">
        <f>J8*J10</f>
        <v>21.428908378895578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3.2967247674852276E-2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30.135447933931282</v>
      </c>
      <c r="C26" s="242">
        <f>B26*'GWP N2O_CH4'!B5</f>
        <v>632.8444066125569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10.208205723776382</v>
      </c>
      <c r="C27" s="242">
        <f>B27*'GWP N2O_CH4'!B5</f>
        <v>214.37232019930403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0.52814960788788912</v>
      </c>
      <c r="C28" s="242">
        <f>B28*'GWP N2O_CH4'!B4</f>
        <v>163.72637844524562</v>
      </c>
      <c r="D28" s="50"/>
    </row>
    <row r="29" spans="1:4">
      <c r="A29" s="41" t="s">
        <v>266</v>
      </c>
      <c r="B29" s="242">
        <f>B34*'ha_N2O bodem landbouw'!B4</f>
        <v>5.0584545664325882</v>
      </c>
      <c r="C29" s="242">
        <f>B29*'GWP N2O_CH4'!B4</f>
        <v>1568.1209155941024</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1.1528362416846128E-3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1.3982133865077817E-4</v>
      </c>
      <c r="C5" s="430" t="s">
        <v>204</v>
      </c>
      <c r="D5" s="415">
        <f>SUM(D6:D11)</f>
        <v>2.4663417478894311E-4</v>
      </c>
      <c r="E5" s="415">
        <f>SUM(E6:E11)</f>
        <v>1.3520622186939012E-4</v>
      </c>
      <c r="F5" s="428" t="s">
        <v>204</v>
      </c>
      <c r="G5" s="415">
        <f>SUM(G6:G11)</f>
        <v>6.3884977232100182E-2</v>
      </c>
      <c r="H5" s="415">
        <f>SUM(H6:H11)</f>
        <v>1.6267325676001063E-2</v>
      </c>
      <c r="I5" s="430" t="s">
        <v>204</v>
      </c>
      <c r="J5" s="430" t="s">
        <v>204</v>
      </c>
      <c r="K5" s="430" t="s">
        <v>204</v>
      </c>
      <c r="L5" s="430" t="s">
        <v>204</v>
      </c>
      <c r="M5" s="415">
        <f>SUM(M6:M11)</f>
        <v>4.7276611318979598E-3</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1.3202046743684997E-4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2.3039503460903509E-4</v>
      </c>
      <c r="E6" s="844">
        <f>vkm_GW_PW*SUMIFS(TableVerdeelsleutelVkm[LPG],TableVerdeelsleutelVkm[Voertuigtype],"Lichte voertuigen")*SUMIFS(TableECFTransport[EnergieConsumptieFactor (PJ per km)],TableECFTransport[Index],CONCATENATE($A6,"_LPG_LPG"))</f>
        <v>1.2667824632902838E-4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3.8988311185239634E-2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1.5211634055821141E-2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3.2525677312115336E-3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5.3924617732503245E-7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2.2318021662736564E-2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2.4459443180064024E-7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1.2565402473935252E-3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7.2587513297695953E-6</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1.6239140179907997E-5</v>
      </c>
      <c r="E8" s="418">
        <f>vkm_NGW_PW*SUMIFS(TableVerdeelsleutelVkm[LPG],TableVerdeelsleutelVkm[Voertuigtype],"Lichte voertuigen")*SUMIFS(TableECFTransport[EnergieConsumptieFactor (PJ per km)],TableECFTransport[Index],CONCATENATE($A8,"_LPG_LPG"))</f>
        <v>8.5279755403617399E-6</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2.425483316596512E-3</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1.0554454524232858E-3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2.0992994800609217E-4</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2.8737068335891467E-9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1.5316106752746774E-4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1.5733248345004859E-9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8.6232052868088061E-6</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38.839260736327269</v>
      </c>
      <c r="C14" s="21"/>
      <c r="D14" s="21">
        <f t="shared" ref="D14:M14" si="0">((D5)*10^9/3600)+D12</f>
        <v>68.509492996928643</v>
      </c>
      <c r="E14" s="21">
        <f t="shared" si="0"/>
        <v>37.557283852608364</v>
      </c>
      <c r="F14" s="21"/>
      <c r="G14" s="21">
        <f t="shared" si="0"/>
        <v>17745.827008916716</v>
      </c>
      <c r="H14" s="21">
        <f t="shared" si="0"/>
        <v>4518.701576666962</v>
      </c>
      <c r="I14" s="21"/>
      <c r="J14" s="21"/>
      <c r="K14" s="21"/>
      <c r="L14" s="21"/>
      <c r="M14" s="21">
        <f t="shared" si="0"/>
        <v>1313.2392033049889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0.20982443885128216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8.1494260893985047</v>
      </c>
      <c r="C18" s="23"/>
      <c r="D18" s="23">
        <f t="shared" ref="D18:M18" si="1">D14*D16</f>
        <v>13.838917585379587</v>
      </c>
      <c r="E18" s="23">
        <f t="shared" si="1"/>
        <v>8.5255034345420988</v>
      </c>
      <c r="F18" s="23"/>
      <c r="G18" s="23">
        <f t="shared" si="1"/>
        <v>4738.1358113807637</v>
      </c>
      <c r="H18" s="23">
        <f t="shared" si="1"/>
        <v>1125.1566925900736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1.2486224927007279E-5</v>
      </c>
      <c r="C50" s="313">
        <f t="shared" ref="C50:P50" si="2">SUM(C51:C52)</f>
        <v>0</v>
      </c>
      <c r="D50" s="313">
        <f t="shared" si="2"/>
        <v>0</v>
      </c>
      <c r="E50" s="313">
        <f t="shared" si="2"/>
        <v>0</v>
      </c>
      <c r="F50" s="313">
        <f t="shared" si="2"/>
        <v>0</v>
      </c>
      <c r="G50" s="313">
        <f t="shared" si="2"/>
        <v>8.912442393587569E-4</v>
      </c>
      <c r="H50" s="313">
        <f t="shared" si="2"/>
        <v>0</v>
      </c>
      <c r="I50" s="313">
        <f t="shared" si="2"/>
        <v>0</v>
      </c>
      <c r="J50" s="313">
        <f t="shared" si="2"/>
        <v>0</v>
      </c>
      <c r="K50" s="313">
        <f t="shared" si="2"/>
        <v>0</v>
      </c>
      <c r="L50" s="313">
        <f t="shared" si="2"/>
        <v>0</v>
      </c>
      <c r="M50" s="313">
        <f t="shared" si="2"/>
        <v>4.9213253702106684E-5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1.2486224927007279E-5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8.912442393587569E-4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4.9213253702106684E-5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3.4683958130575774</v>
      </c>
      <c r="C54" s="21">
        <f t="shared" ref="C54:P54" si="3">(C50)*10^9/3600</f>
        <v>0</v>
      </c>
      <c r="D54" s="21">
        <f t="shared" si="3"/>
        <v>0</v>
      </c>
      <c r="E54" s="21">
        <f t="shared" si="3"/>
        <v>0</v>
      </c>
      <c r="F54" s="21">
        <f t="shared" si="3"/>
        <v>0</v>
      </c>
      <c r="G54" s="21">
        <f t="shared" si="3"/>
        <v>247.56784426632137</v>
      </c>
      <c r="H54" s="21">
        <f t="shared" si="3"/>
        <v>0</v>
      </c>
      <c r="I54" s="21">
        <f t="shared" si="3"/>
        <v>0</v>
      </c>
      <c r="J54" s="21">
        <f t="shared" si="3"/>
        <v>0</v>
      </c>
      <c r="K54" s="21">
        <f t="shared" si="3"/>
        <v>0</v>
      </c>
      <c r="L54" s="21">
        <f t="shared" si="3"/>
        <v>0</v>
      </c>
      <c r="M54" s="21">
        <f t="shared" si="3"/>
        <v>13.670348250585189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0.20982443885128216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0.72775420518894274</v>
      </c>
      <c r="C58" s="23">
        <f t="shared" ref="C58:P58" ca="1" si="4">C54*C56</f>
        <v>0</v>
      </c>
      <c r="D58" s="23">
        <f t="shared" si="4"/>
        <v>0</v>
      </c>
      <c r="E58" s="23">
        <f t="shared" si="4"/>
        <v>0</v>
      </c>
      <c r="F58" s="23">
        <f t="shared" si="4"/>
        <v>0</v>
      </c>
      <c r="G58" s="23">
        <f t="shared" si="4"/>
        <v>66.100614419107814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918.10724773952893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918.10724773952893</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2477.7479035822516</v>
      </c>
      <c r="D10" s="642">
        <f ca="1">tertiair!C16</f>
        <v>0</v>
      </c>
      <c r="E10" s="642">
        <f ca="1">tertiair!D16</f>
        <v>1528.0588562457772</v>
      </c>
      <c r="F10" s="642">
        <f>tertiair!E16</f>
        <v>10.027525774234435</v>
      </c>
      <c r="G10" s="642">
        <f ca="1">tertiair!F16</f>
        <v>603.40539783616396</v>
      </c>
      <c r="H10" s="642">
        <f>tertiair!G16</f>
        <v>0</v>
      </c>
      <c r="I10" s="642">
        <f>tertiair!H16</f>
        <v>0</v>
      </c>
      <c r="J10" s="642">
        <f>tertiair!I16</f>
        <v>0</v>
      </c>
      <c r="K10" s="642">
        <f>tertiair!J16</f>
        <v>4.7571385521113872E-3</v>
      </c>
      <c r="L10" s="642">
        <f>tertiair!K16</f>
        <v>0</v>
      </c>
      <c r="M10" s="642">
        <f ca="1">tertiair!L16</f>
        <v>0</v>
      </c>
      <c r="N10" s="642">
        <f>tertiair!M16</f>
        <v>0</v>
      </c>
      <c r="O10" s="642">
        <f ca="1">tertiair!N16</f>
        <v>164.33348907548844</v>
      </c>
      <c r="P10" s="642">
        <f>tertiair!O16</f>
        <v>0</v>
      </c>
      <c r="Q10" s="643">
        <f>tertiair!P16</f>
        <v>0</v>
      </c>
      <c r="R10" s="645">
        <f ca="1">SUM(C10:Q10)</f>
        <v>4783.5779296524679</v>
      </c>
      <c r="S10" s="67"/>
    </row>
    <row r="11" spans="1:19" s="441" customFormat="1">
      <c r="A11" s="762" t="s">
        <v>214</v>
      </c>
      <c r="B11" s="767"/>
      <c r="C11" s="642">
        <f>huishoudens!B8</f>
        <v>3595.8842374548954</v>
      </c>
      <c r="D11" s="642">
        <f>huishoudens!C8</f>
        <v>0</v>
      </c>
      <c r="E11" s="642">
        <f>huishoudens!D8</f>
        <v>5632.3745857007152</v>
      </c>
      <c r="F11" s="642">
        <f>huishoudens!E8</f>
        <v>352.12168825139884</v>
      </c>
      <c r="G11" s="642">
        <f>huishoudens!F8</f>
        <v>5770.4582246609962</v>
      </c>
      <c r="H11" s="642">
        <f>huishoudens!G8</f>
        <v>0</v>
      </c>
      <c r="I11" s="642">
        <f>huishoudens!H8</f>
        <v>0</v>
      </c>
      <c r="J11" s="642">
        <f>huishoudens!I8</f>
        <v>0</v>
      </c>
      <c r="K11" s="642">
        <f>huishoudens!J8</f>
        <v>31.850037356408549</v>
      </c>
      <c r="L11" s="642">
        <f>huishoudens!K8</f>
        <v>0</v>
      </c>
      <c r="M11" s="642">
        <f>huishoudens!L8</f>
        <v>0</v>
      </c>
      <c r="N11" s="642">
        <f>huishoudens!M8</f>
        <v>0</v>
      </c>
      <c r="O11" s="642">
        <f>huishoudens!N8</f>
        <v>1299.4102567264904</v>
      </c>
      <c r="P11" s="642">
        <f>huishoudens!O8</f>
        <v>37.695206168353607</v>
      </c>
      <c r="Q11" s="643">
        <f>huishoudens!P8</f>
        <v>94.805633769165212</v>
      </c>
      <c r="R11" s="645">
        <f>SUM(C11:Q11)</f>
        <v>16814.599870088427</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11701.021898470512</v>
      </c>
      <c r="D13" s="642">
        <f>industrie!C18</f>
        <v>0</v>
      </c>
      <c r="E13" s="642">
        <f>industrie!D18</f>
        <v>1352.8811199225797</v>
      </c>
      <c r="F13" s="642">
        <f>industrie!E18</f>
        <v>30.798775503602041</v>
      </c>
      <c r="G13" s="642">
        <f>industrie!F18</f>
        <v>1206.7798738668021</v>
      </c>
      <c r="H13" s="642">
        <f>industrie!G18</f>
        <v>0</v>
      </c>
      <c r="I13" s="642">
        <f>industrie!H18</f>
        <v>0</v>
      </c>
      <c r="J13" s="642">
        <f>industrie!I18</f>
        <v>0</v>
      </c>
      <c r="K13" s="642">
        <f>industrie!J18</f>
        <v>0.19644055703878488</v>
      </c>
      <c r="L13" s="642">
        <f>industrie!K18</f>
        <v>0</v>
      </c>
      <c r="M13" s="642">
        <f>industrie!L18</f>
        <v>0</v>
      </c>
      <c r="N13" s="642">
        <f>industrie!M18</f>
        <v>0</v>
      </c>
      <c r="O13" s="642">
        <f>industrie!N18</f>
        <v>266.19568664173516</v>
      </c>
      <c r="P13" s="642">
        <f>industrie!O18</f>
        <v>0</v>
      </c>
      <c r="Q13" s="643">
        <f>industrie!P18</f>
        <v>0</v>
      </c>
      <c r="R13" s="645">
        <f>SUM(C13:Q13)</f>
        <v>14557.87379496227</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17774.654039507659</v>
      </c>
      <c r="D16" s="678">
        <f t="shared" ref="D16:R16" ca="1" si="0">SUM(D9:D15)</f>
        <v>0</v>
      </c>
      <c r="E16" s="678">
        <f t="shared" ca="1" si="0"/>
        <v>8513.3145618690723</v>
      </c>
      <c r="F16" s="678">
        <f t="shared" si="0"/>
        <v>392.94798952923531</v>
      </c>
      <c r="G16" s="678">
        <f t="shared" ca="1" si="0"/>
        <v>7580.6434963639622</v>
      </c>
      <c r="H16" s="678">
        <f t="shared" si="0"/>
        <v>0</v>
      </c>
      <c r="I16" s="678">
        <f t="shared" si="0"/>
        <v>0</v>
      </c>
      <c r="J16" s="678">
        <f t="shared" si="0"/>
        <v>0</v>
      </c>
      <c r="K16" s="678">
        <f t="shared" si="0"/>
        <v>32.051235051999448</v>
      </c>
      <c r="L16" s="678">
        <f t="shared" si="0"/>
        <v>0</v>
      </c>
      <c r="M16" s="678">
        <f t="shared" ca="1" si="0"/>
        <v>0</v>
      </c>
      <c r="N16" s="678">
        <f t="shared" si="0"/>
        <v>0</v>
      </c>
      <c r="O16" s="678">
        <f t="shared" ca="1" si="0"/>
        <v>1729.9394324437139</v>
      </c>
      <c r="P16" s="678">
        <f t="shared" si="0"/>
        <v>37.695206168353607</v>
      </c>
      <c r="Q16" s="678">
        <f t="shared" si="0"/>
        <v>94.805633769165212</v>
      </c>
      <c r="R16" s="678">
        <f t="shared" ca="1" si="0"/>
        <v>36156.051594703167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3.4683958130575774</v>
      </c>
      <c r="D19" s="642">
        <f>transport!C54</f>
        <v>0</v>
      </c>
      <c r="E19" s="642">
        <f>transport!D54</f>
        <v>0</v>
      </c>
      <c r="F19" s="642">
        <f>transport!E54</f>
        <v>0</v>
      </c>
      <c r="G19" s="642">
        <f>transport!F54</f>
        <v>0</v>
      </c>
      <c r="H19" s="642">
        <f>transport!G54</f>
        <v>247.56784426632137</v>
      </c>
      <c r="I19" s="642">
        <f>transport!H54</f>
        <v>0</v>
      </c>
      <c r="J19" s="642">
        <f>transport!I54</f>
        <v>0</v>
      </c>
      <c r="K19" s="642">
        <f>transport!J54</f>
        <v>0</v>
      </c>
      <c r="L19" s="642">
        <f>transport!K54</f>
        <v>0</v>
      </c>
      <c r="M19" s="642">
        <f>transport!L54</f>
        <v>0</v>
      </c>
      <c r="N19" s="642">
        <f>transport!M54</f>
        <v>13.670348250585189</v>
      </c>
      <c r="O19" s="642">
        <f>transport!N54</f>
        <v>0</v>
      </c>
      <c r="P19" s="642">
        <f>transport!O54</f>
        <v>0</v>
      </c>
      <c r="Q19" s="643">
        <f>transport!P54</f>
        <v>0</v>
      </c>
      <c r="R19" s="645">
        <f>SUM(C19:Q19)</f>
        <v>264.70658832996412</v>
      </c>
      <c r="S19" s="67"/>
    </row>
    <row r="20" spans="1:19" s="441" customFormat="1">
      <c r="A20" s="762" t="s">
        <v>296</v>
      </c>
      <c r="B20" s="767"/>
      <c r="C20" s="642">
        <f>transport!B14</f>
        <v>38.839260736327269</v>
      </c>
      <c r="D20" s="642">
        <f>transport!C14</f>
        <v>0</v>
      </c>
      <c r="E20" s="642">
        <f>transport!D14</f>
        <v>68.509492996928643</v>
      </c>
      <c r="F20" s="642">
        <f>transport!E14</f>
        <v>37.557283852608364</v>
      </c>
      <c r="G20" s="642">
        <f>transport!F14</f>
        <v>0</v>
      </c>
      <c r="H20" s="642">
        <f>transport!G14</f>
        <v>17745.827008916716</v>
      </c>
      <c r="I20" s="642">
        <f>transport!H14</f>
        <v>4518.701576666962</v>
      </c>
      <c r="J20" s="642">
        <f>transport!I14</f>
        <v>0</v>
      </c>
      <c r="K20" s="642">
        <f>transport!J14</f>
        <v>0</v>
      </c>
      <c r="L20" s="642">
        <f>transport!K14</f>
        <v>0</v>
      </c>
      <c r="M20" s="642">
        <f>transport!L14</f>
        <v>0</v>
      </c>
      <c r="N20" s="642">
        <f>transport!M14</f>
        <v>1313.2392033049889</v>
      </c>
      <c r="O20" s="642">
        <f>transport!N14</f>
        <v>0</v>
      </c>
      <c r="P20" s="642">
        <f>transport!O14</f>
        <v>0</v>
      </c>
      <c r="Q20" s="643">
        <f>transport!P14</f>
        <v>0</v>
      </c>
      <c r="R20" s="645">
        <f>SUM(C20:Q20)</f>
        <v>23722.673826474529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42.307656549384845</v>
      </c>
      <c r="D22" s="765">
        <f t="shared" ref="D22:R22" si="1">SUM(D18:D21)</f>
        <v>0</v>
      </c>
      <c r="E22" s="765">
        <f t="shared" si="1"/>
        <v>68.509492996928643</v>
      </c>
      <c r="F22" s="765">
        <f t="shared" si="1"/>
        <v>37.557283852608364</v>
      </c>
      <c r="G22" s="765">
        <f t="shared" si="1"/>
        <v>0</v>
      </c>
      <c r="H22" s="765">
        <f t="shared" si="1"/>
        <v>17993.394853183039</v>
      </c>
      <c r="I22" s="765">
        <f t="shared" si="1"/>
        <v>4518.701576666962</v>
      </c>
      <c r="J22" s="765">
        <f t="shared" si="1"/>
        <v>0</v>
      </c>
      <c r="K22" s="765">
        <f t="shared" si="1"/>
        <v>0</v>
      </c>
      <c r="L22" s="765">
        <f t="shared" si="1"/>
        <v>0</v>
      </c>
      <c r="M22" s="765">
        <f t="shared" si="1"/>
        <v>0</v>
      </c>
      <c r="N22" s="765">
        <f t="shared" si="1"/>
        <v>1326.9095515555741</v>
      </c>
      <c r="O22" s="765">
        <f t="shared" si="1"/>
        <v>0</v>
      </c>
      <c r="P22" s="765">
        <f t="shared" si="1"/>
        <v>0</v>
      </c>
      <c r="Q22" s="765">
        <f t="shared" si="1"/>
        <v>0</v>
      </c>
      <c r="R22" s="765">
        <f t="shared" si="1"/>
        <v>23987.380414804495</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240.028205554133</v>
      </c>
      <c r="D24" s="642">
        <f>+landbouw!C8</f>
        <v>0</v>
      </c>
      <c r="E24" s="642">
        <f>+landbouw!D8</f>
        <v>0</v>
      </c>
      <c r="F24" s="642">
        <f>+landbouw!E8</f>
        <v>7.0767100906380342</v>
      </c>
      <c r="G24" s="642">
        <f>+landbouw!F8</f>
        <v>762.89494067232442</v>
      </c>
      <c r="H24" s="642">
        <f>+landbouw!G8</f>
        <v>0</v>
      </c>
      <c r="I24" s="642">
        <f>+landbouw!H8</f>
        <v>0</v>
      </c>
      <c r="J24" s="642">
        <f>+landbouw!I8</f>
        <v>0</v>
      </c>
      <c r="K24" s="642">
        <f>+landbouw!J8</f>
        <v>60.533639488405591</v>
      </c>
      <c r="L24" s="642">
        <f>+landbouw!K8</f>
        <v>0</v>
      </c>
      <c r="M24" s="642">
        <f>+landbouw!L8</f>
        <v>0</v>
      </c>
      <c r="N24" s="642">
        <f>+landbouw!M8</f>
        <v>0</v>
      </c>
      <c r="O24" s="642">
        <f>+landbouw!N8</f>
        <v>0</v>
      </c>
      <c r="P24" s="642">
        <f>+landbouw!O8</f>
        <v>0</v>
      </c>
      <c r="Q24" s="643">
        <f>+landbouw!P8</f>
        <v>0</v>
      </c>
      <c r="R24" s="645">
        <f>SUM(C24:Q24)</f>
        <v>1070.5334958055012</v>
      </c>
      <c r="S24" s="67"/>
    </row>
    <row r="25" spans="1:19" s="441" customFormat="1" ht="15" thickBot="1">
      <c r="A25" s="784" t="s">
        <v>672</v>
      </c>
      <c r="B25" s="895"/>
      <c r="C25" s="896">
        <f>IF(Onbekend_ele_kWh="---",0,Onbekend_ele_kWh)/1000+IF(REST_rest_ele_kWh="---",0,REST_rest_ele_kWh)/1000</f>
        <v>98.850243714714807</v>
      </c>
      <c r="D25" s="896"/>
      <c r="E25" s="896">
        <f>IF(onbekend_gas_kWh="---",0,onbekend_gas_kWh)/1000+IF(REST_rest_gas_kWh="---",0,REST_rest_gas_kWh)/1000</f>
        <v>149.217486146624</v>
      </c>
      <c r="F25" s="896"/>
      <c r="G25" s="896"/>
      <c r="H25" s="896"/>
      <c r="I25" s="896"/>
      <c r="J25" s="896"/>
      <c r="K25" s="896"/>
      <c r="L25" s="896"/>
      <c r="M25" s="896"/>
      <c r="N25" s="896"/>
      <c r="O25" s="896"/>
      <c r="P25" s="896"/>
      <c r="Q25" s="897"/>
      <c r="R25" s="645">
        <f>SUM(C25:Q25)</f>
        <v>248.06772986133882</v>
      </c>
      <c r="S25" s="67"/>
    </row>
    <row r="26" spans="1:19" s="441" customFormat="1" ht="15.75" thickBot="1">
      <c r="A26" s="650" t="s">
        <v>673</v>
      </c>
      <c r="B26" s="770"/>
      <c r="C26" s="765">
        <f>SUM(C24:C25)</f>
        <v>338.87844926884782</v>
      </c>
      <c r="D26" s="765">
        <f t="shared" ref="D26:R26" si="2">SUM(D24:D25)</f>
        <v>0</v>
      </c>
      <c r="E26" s="765">
        <f t="shared" si="2"/>
        <v>149.217486146624</v>
      </c>
      <c r="F26" s="765">
        <f t="shared" si="2"/>
        <v>7.0767100906380342</v>
      </c>
      <c r="G26" s="765">
        <f t="shared" si="2"/>
        <v>762.89494067232442</v>
      </c>
      <c r="H26" s="765">
        <f t="shared" si="2"/>
        <v>0</v>
      </c>
      <c r="I26" s="765">
        <f t="shared" si="2"/>
        <v>0</v>
      </c>
      <c r="J26" s="765">
        <f t="shared" si="2"/>
        <v>0</v>
      </c>
      <c r="K26" s="765">
        <f t="shared" si="2"/>
        <v>60.533639488405591</v>
      </c>
      <c r="L26" s="765">
        <f t="shared" si="2"/>
        <v>0</v>
      </c>
      <c r="M26" s="765">
        <f t="shared" si="2"/>
        <v>0</v>
      </c>
      <c r="N26" s="765">
        <f t="shared" si="2"/>
        <v>0</v>
      </c>
      <c r="O26" s="765">
        <f t="shared" si="2"/>
        <v>0</v>
      </c>
      <c r="P26" s="765">
        <f t="shared" si="2"/>
        <v>0</v>
      </c>
      <c r="Q26" s="765">
        <f t="shared" si="2"/>
        <v>0</v>
      </c>
      <c r="R26" s="765">
        <f t="shared" si="2"/>
        <v>1318.60122566684</v>
      </c>
      <c r="S26" s="67"/>
    </row>
    <row r="27" spans="1:19" s="441" customFormat="1" ht="17.25" thickTop="1" thickBot="1">
      <c r="A27" s="651" t="s">
        <v>109</v>
      </c>
      <c r="B27" s="757"/>
      <c r="C27" s="652">
        <f ca="1">C22+C16+C26</f>
        <v>18155.840145325892</v>
      </c>
      <c r="D27" s="652">
        <f t="shared" ref="D27:R27" ca="1" si="3">D22+D16+D26</f>
        <v>0</v>
      </c>
      <c r="E27" s="652">
        <f t="shared" ca="1" si="3"/>
        <v>8731.0415410126261</v>
      </c>
      <c r="F27" s="652">
        <f t="shared" si="3"/>
        <v>437.58198347248168</v>
      </c>
      <c r="G27" s="652">
        <f t="shared" ca="1" si="3"/>
        <v>8343.5384370362863</v>
      </c>
      <c r="H27" s="652">
        <f t="shared" si="3"/>
        <v>17993.394853183039</v>
      </c>
      <c r="I27" s="652">
        <f t="shared" si="3"/>
        <v>4518.701576666962</v>
      </c>
      <c r="J27" s="652">
        <f t="shared" si="3"/>
        <v>0</v>
      </c>
      <c r="K27" s="652">
        <f t="shared" si="3"/>
        <v>92.584874540405039</v>
      </c>
      <c r="L27" s="652">
        <f t="shared" si="3"/>
        <v>0</v>
      </c>
      <c r="M27" s="652">
        <f t="shared" ca="1" si="3"/>
        <v>0</v>
      </c>
      <c r="N27" s="652">
        <f t="shared" si="3"/>
        <v>1326.9095515555741</v>
      </c>
      <c r="O27" s="652">
        <f t="shared" ca="1" si="3"/>
        <v>1729.9394324437139</v>
      </c>
      <c r="P27" s="652">
        <f t="shared" si="3"/>
        <v>37.695206168353607</v>
      </c>
      <c r="Q27" s="652">
        <f t="shared" si="3"/>
        <v>94.805633769165212</v>
      </c>
      <c r="R27" s="652">
        <f t="shared" ca="1" si="3"/>
        <v>61462.033235174502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519.89206348408675</v>
      </c>
      <c r="D40" s="642">
        <f ca="1">tertiair!C20</f>
        <v>0</v>
      </c>
      <c r="E40" s="642">
        <f ca="1">tertiair!D20</f>
        <v>308.66788896164701</v>
      </c>
      <c r="F40" s="642">
        <f>tertiair!E20</f>
        <v>2.2762483507512168</v>
      </c>
      <c r="G40" s="642">
        <f ca="1">tertiair!F20</f>
        <v>161.10924122225578</v>
      </c>
      <c r="H40" s="642">
        <f>tertiair!G20</f>
        <v>0</v>
      </c>
      <c r="I40" s="642">
        <f>tertiair!H20</f>
        <v>0</v>
      </c>
      <c r="J40" s="642">
        <f>tertiair!I20</f>
        <v>0</v>
      </c>
      <c r="K40" s="642">
        <f>tertiair!J20</f>
        <v>1.684027047447431E-3</v>
      </c>
      <c r="L40" s="642">
        <f>tertiair!K20</f>
        <v>0</v>
      </c>
      <c r="M40" s="642">
        <f ca="1">tertiair!L20</f>
        <v>0</v>
      </c>
      <c r="N40" s="642">
        <f>tertiair!M20</f>
        <v>0</v>
      </c>
      <c r="O40" s="642">
        <f ca="1">tertiair!N20</f>
        <v>0</v>
      </c>
      <c r="P40" s="642">
        <f>tertiair!O20</f>
        <v>0</v>
      </c>
      <c r="Q40" s="725">
        <f>tertiair!P20</f>
        <v>0</v>
      </c>
      <c r="R40" s="803">
        <f t="shared" ca="1" si="4"/>
        <v>991.9471260457882</v>
      </c>
    </row>
    <row r="41" spans="1:18">
      <c r="A41" s="775" t="s">
        <v>214</v>
      </c>
      <c r="B41" s="782"/>
      <c r="C41" s="642">
        <f ca="1">huishoudens!B12</f>
        <v>754.50439229814401</v>
      </c>
      <c r="D41" s="642">
        <f ca="1">huishoudens!C12</f>
        <v>0</v>
      </c>
      <c r="E41" s="642">
        <f>huishoudens!D12</f>
        <v>1137.7396663115446</v>
      </c>
      <c r="F41" s="642">
        <f>huishoudens!E12</f>
        <v>79.93162323306754</v>
      </c>
      <c r="G41" s="642">
        <f>huishoudens!F12</f>
        <v>1540.7123459844861</v>
      </c>
      <c r="H41" s="642">
        <f>huishoudens!G12</f>
        <v>0</v>
      </c>
      <c r="I41" s="642">
        <f>huishoudens!H12</f>
        <v>0</v>
      </c>
      <c r="J41" s="642">
        <f>huishoudens!I12</f>
        <v>0</v>
      </c>
      <c r="K41" s="642">
        <f>huishoudens!J12</f>
        <v>11.274913224168627</v>
      </c>
      <c r="L41" s="642">
        <f>huishoudens!K12</f>
        <v>0</v>
      </c>
      <c r="M41" s="642">
        <f>huishoudens!L12</f>
        <v>0</v>
      </c>
      <c r="N41" s="642">
        <f>huishoudens!M12</f>
        <v>0</v>
      </c>
      <c r="O41" s="642">
        <f>huishoudens!N12</f>
        <v>0</v>
      </c>
      <c r="P41" s="642">
        <f>huishoudens!O12</f>
        <v>0</v>
      </c>
      <c r="Q41" s="725">
        <f>huishoudens!P12</f>
        <v>0</v>
      </c>
      <c r="R41" s="803">
        <f t="shared" ca="1" si="4"/>
        <v>3524.1629410514111</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2455.1603538331392</v>
      </c>
      <c r="D43" s="642">
        <f ca="1">industrie!C22</f>
        <v>0</v>
      </c>
      <c r="E43" s="642">
        <f>industrie!D22</f>
        <v>273.28198622436111</v>
      </c>
      <c r="F43" s="642">
        <f>industrie!E22</f>
        <v>6.9913220393176632</v>
      </c>
      <c r="G43" s="642">
        <f>industrie!F22</f>
        <v>322.21022632243614</v>
      </c>
      <c r="H43" s="642">
        <f>industrie!G22</f>
        <v>0</v>
      </c>
      <c r="I43" s="642">
        <f>industrie!H22</f>
        <v>0</v>
      </c>
      <c r="J43" s="642">
        <f>industrie!I22</f>
        <v>0</v>
      </c>
      <c r="K43" s="642">
        <f>industrie!J22</f>
        <v>6.953995719172984E-2</v>
      </c>
      <c r="L43" s="642">
        <f>industrie!K22</f>
        <v>0</v>
      </c>
      <c r="M43" s="642">
        <f>industrie!L22</f>
        <v>0</v>
      </c>
      <c r="N43" s="642">
        <f>industrie!M22</f>
        <v>0</v>
      </c>
      <c r="O43" s="642">
        <f>industrie!N22</f>
        <v>0</v>
      </c>
      <c r="P43" s="642">
        <f>industrie!O22</f>
        <v>0</v>
      </c>
      <c r="Q43" s="725">
        <f>industrie!P22</f>
        <v>0</v>
      </c>
      <c r="R43" s="802">
        <f t="shared" ca="1" si="4"/>
        <v>3057.7134283764458</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3729.5568096153702</v>
      </c>
      <c r="D46" s="678">
        <f t="shared" ref="D46:Q46" ca="1" si="5">SUM(D39:D45)</f>
        <v>0</v>
      </c>
      <c r="E46" s="678">
        <f t="shared" ca="1" si="5"/>
        <v>1719.6895414975527</v>
      </c>
      <c r="F46" s="678">
        <f t="shared" si="5"/>
        <v>89.199193623136424</v>
      </c>
      <c r="G46" s="678">
        <f t="shared" ca="1" si="5"/>
        <v>2024.0318135291782</v>
      </c>
      <c r="H46" s="678">
        <f t="shared" si="5"/>
        <v>0</v>
      </c>
      <c r="I46" s="678">
        <f t="shared" si="5"/>
        <v>0</v>
      </c>
      <c r="J46" s="678">
        <f t="shared" si="5"/>
        <v>0</v>
      </c>
      <c r="K46" s="678">
        <f t="shared" si="5"/>
        <v>11.346137208407804</v>
      </c>
      <c r="L46" s="678">
        <f t="shared" si="5"/>
        <v>0</v>
      </c>
      <c r="M46" s="678">
        <f t="shared" ca="1" si="5"/>
        <v>0</v>
      </c>
      <c r="N46" s="678">
        <f t="shared" si="5"/>
        <v>0</v>
      </c>
      <c r="O46" s="678">
        <f t="shared" ca="1" si="5"/>
        <v>0</v>
      </c>
      <c r="P46" s="678">
        <f t="shared" si="5"/>
        <v>0</v>
      </c>
      <c r="Q46" s="678">
        <f t="shared" si="5"/>
        <v>0</v>
      </c>
      <c r="R46" s="678">
        <f ca="1">SUM(R39:R45)</f>
        <v>7573.8234954736454</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0.72775420518894274</v>
      </c>
      <c r="D49" s="642">
        <f ca="1">transport!C58</f>
        <v>0</v>
      </c>
      <c r="E49" s="642">
        <f>transport!D58</f>
        <v>0</v>
      </c>
      <c r="F49" s="642">
        <f>transport!E58</f>
        <v>0</v>
      </c>
      <c r="G49" s="642">
        <f>transport!F58</f>
        <v>0</v>
      </c>
      <c r="H49" s="642">
        <f>transport!G58</f>
        <v>66.100614419107814</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66.828368624296758</v>
      </c>
    </row>
    <row r="50" spans="1:18">
      <c r="A50" s="778" t="s">
        <v>296</v>
      </c>
      <c r="B50" s="788"/>
      <c r="C50" s="648">
        <f ca="1">transport!B18</f>
        <v>8.1494260893985047</v>
      </c>
      <c r="D50" s="648">
        <f>transport!C18</f>
        <v>0</v>
      </c>
      <c r="E50" s="648">
        <f>transport!D18</f>
        <v>13.838917585379587</v>
      </c>
      <c r="F50" s="648">
        <f>transport!E18</f>
        <v>8.5255034345420988</v>
      </c>
      <c r="G50" s="648">
        <f>transport!F18</f>
        <v>0</v>
      </c>
      <c r="H50" s="648">
        <f>transport!G18</f>
        <v>4738.1358113807637</v>
      </c>
      <c r="I50" s="648">
        <f>transport!H18</f>
        <v>1125.1566925900736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5893.8063510801576</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8.877180294587447</v>
      </c>
      <c r="D52" s="678">
        <f t="shared" ref="D52:Q52" ca="1" si="6">SUM(D48:D51)</f>
        <v>0</v>
      </c>
      <c r="E52" s="678">
        <f t="shared" si="6"/>
        <v>13.838917585379587</v>
      </c>
      <c r="F52" s="678">
        <f t="shared" si="6"/>
        <v>8.5255034345420988</v>
      </c>
      <c r="G52" s="678">
        <f t="shared" si="6"/>
        <v>0</v>
      </c>
      <c r="H52" s="678">
        <f t="shared" si="6"/>
        <v>4804.2364257998715</v>
      </c>
      <c r="I52" s="678">
        <f t="shared" si="6"/>
        <v>1125.1566925900736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5960.6347197044543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50.363783538876163</v>
      </c>
      <c r="D54" s="648">
        <f ca="1">+landbouw!C12</f>
        <v>0</v>
      </c>
      <c r="E54" s="648">
        <f>+landbouw!D12</f>
        <v>0</v>
      </c>
      <c r="F54" s="648">
        <f>+landbouw!E12</f>
        <v>1.6064131905748338</v>
      </c>
      <c r="G54" s="648">
        <f>+landbouw!F12</f>
        <v>203.69294915951062</v>
      </c>
      <c r="H54" s="648">
        <f>+landbouw!G12</f>
        <v>0</v>
      </c>
      <c r="I54" s="648">
        <f>+landbouw!H12</f>
        <v>0</v>
      </c>
      <c r="J54" s="648">
        <f>+landbouw!I12</f>
        <v>0</v>
      </c>
      <c r="K54" s="648">
        <f>+landbouw!J12</f>
        <v>21.428908378895578</v>
      </c>
      <c r="L54" s="648">
        <f>+landbouw!K12</f>
        <v>0</v>
      </c>
      <c r="M54" s="648">
        <f>+landbouw!L12</f>
        <v>0</v>
      </c>
      <c r="N54" s="648">
        <f>+landbouw!M12</f>
        <v>0</v>
      </c>
      <c r="O54" s="648">
        <f>+landbouw!N12</f>
        <v>0</v>
      </c>
      <c r="P54" s="648">
        <f>+landbouw!O12</f>
        <v>0</v>
      </c>
      <c r="Q54" s="649">
        <f>+landbouw!P12</f>
        <v>0</v>
      </c>
      <c r="R54" s="677">
        <f ca="1">SUM(C54:Q54)</f>
        <v>277.09205426785718</v>
      </c>
    </row>
    <row r="55" spans="1:18" ht="15" thickBot="1">
      <c r="A55" s="778" t="s">
        <v>672</v>
      </c>
      <c r="B55" s="788"/>
      <c r="C55" s="648">
        <f ca="1">C25*'EF ele_warmte'!B12</f>
        <v>20.741196917752514</v>
      </c>
      <c r="D55" s="648"/>
      <c r="E55" s="648">
        <f>E25*EF_CO2_aardgas</f>
        <v>30.141932201618051</v>
      </c>
      <c r="F55" s="648"/>
      <c r="G55" s="648"/>
      <c r="H55" s="648"/>
      <c r="I55" s="648"/>
      <c r="J55" s="648"/>
      <c r="K55" s="648"/>
      <c r="L55" s="648"/>
      <c r="M55" s="648"/>
      <c r="N55" s="648"/>
      <c r="O55" s="648"/>
      <c r="P55" s="648"/>
      <c r="Q55" s="649"/>
      <c r="R55" s="677">
        <f ca="1">SUM(C55:Q55)</f>
        <v>50.883129119370565</v>
      </c>
    </row>
    <row r="56" spans="1:18" ht="15.75" thickBot="1">
      <c r="A56" s="776" t="s">
        <v>673</v>
      </c>
      <c r="B56" s="789"/>
      <c r="C56" s="678">
        <f ca="1">SUM(C54:C55)</f>
        <v>71.104980456628681</v>
      </c>
      <c r="D56" s="678">
        <f t="shared" ref="D56:Q56" ca="1" si="7">SUM(D54:D55)</f>
        <v>0</v>
      </c>
      <c r="E56" s="678">
        <f t="shared" si="7"/>
        <v>30.141932201618051</v>
      </c>
      <c r="F56" s="678">
        <f t="shared" si="7"/>
        <v>1.6064131905748338</v>
      </c>
      <c r="G56" s="678">
        <f t="shared" si="7"/>
        <v>203.69294915951062</v>
      </c>
      <c r="H56" s="678">
        <f t="shared" si="7"/>
        <v>0</v>
      </c>
      <c r="I56" s="678">
        <f t="shared" si="7"/>
        <v>0</v>
      </c>
      <c r="J56" s="678">
        <f t="shared" si="7"/>
        <v>0</v>
      </c>
      <c r="K56" s="678">
        <f t="shared" si="7"/>
        <v>21.428908378895578</v>
      </c>
      <c r="L56" s="678">
        <f t="shared" si="7"/>
        <v>0</v>
      </c>
      <c r="M56" s="678">
        <f t="shared" si="7"/>
        <v>0</v>
      </c>
      <c r="N56" s="678">
        <f t="shared" si="7"/>
        <v>0</v>
      </c>
      <c r="O56" s="678">
        <f t="shared" si="7"/>
        <v>0</v>
      </c>
      <c r="P56" s="678">
        <f t="shared" si="7"/>
        <v>0</v>
      </c>
      <c r="Q56" s="679">
        <f t="shared" si="7"/>
        <v>0</v>
      </c>
      <c r="R56" s="680">
        <f ca="1">SUM(R54:R55)</f>
        <v>327.97518338722773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3809.5389703665865</v>
      </c>
      <c r="D61" s="686">
        <f t="shared" ref="D61:Q61" ca="1" si="8">D46+D52+D56</f>
        <v>0</v>
      </c>
      <c r="E61" s="686">
        <f t="shared" ca="1" si="8"/>
        <v>1763.6703912845503</v>
      </c>
      <c r="F61" s="686">
        <f t="shared" si="8"/>
        <v>99.331110248253353</v>
      </c>
      <c r="G61" s="686">
        <f t="shared" ca="1" si="8"/>
        <v>2227.7247626886888</v>
      </c>
      <c r="H61" s="686">
        <f t="shared" si="8"/>
        <v>4804.2364257998715</v>
      </c>
      <c r="I61" s="686">
        <f t="shared" si="8"/>
        <v>1125.1566925900736</v>
      </c>
      <c r="J61" s="686">
        <f t="shared" si="8"/>
        <v>0</v>
      </c>
      <c r="K61" s="686">
        <f t="shared" si="8"/>
        <v>32.775045587303381</v>
      </c>
      <c r="L61" s="686">
        <f t="shared" si="8"/>
        <v>0</v>
      </c>
      <c r="M61" s="686">
        <f t="shared" ca="1" si="8"/>
        <v>0</v>
      </c>
      <c r="N61" s="686">
        <f t="shared" si="8"/>
        <v>0</v>
      </c>
      <c r="O61" s="686">
        <f t="shared" ca="1" si="8"/>
        <v>0</v>
      </c>
      <c r="P61" s="686">
        <f t="shared" si="8"/>
        <v>0</v>
      </c>
      <c r="Q61" s="686">
        <f t="shared" si="8"/>
        <v>0</v>
      </c>
      <c r="R61" s="686">
        <f ca="1">R46+R52+R56</f>
        <v>13862.433398565327</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0.20982443885128216</v>
      </c>
      <c r="D63" s="732">
        <f t="shared" ca="1" si="9"/>
        <v>0</v>
      </c>
      <c r="E63" s="921">
        <f t="shared" ca="1" si="9"/>
        <v>0.20199999999999999</v>
      </c>
      <c r="F63" s="732">
        <f t="shared" si="9"/>
        <v>0.22700000000000004</v>
      </c>
      <c r="G63" s="732">
        <f t="shared" ca="1" si="9"/>
        <v>0.26700000000000002</v>
      </c>
      <c r="H63" s="732">
        <f t="shared" si="9"/>
        <v>0.26700000000000002</v>
      </c>
      <c r="I63" s="732">
        <f t="shared" si="9"/>
        <v>0.24900000000000003</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918.10724773952893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918.10724773952893</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3595.8842374548954</v>
      </c>
      <c r="C4" s="445">
        <f>huishoudens!C8</f>
        <v>0</v>
      </c>
      <c r="D4" s="445">
        <f>huishoudens!D8</f>
        <v>5632.3745857007152</v>
      </c>
      <c r="E4" s="445">
        <f>huishoudens!E8</f>
        <v>352.12168825139884</v>
      </c>
      <c r="F4" s="445">
        <f>huishoudens!F8</f>
        <v>5770.4582246609962</v>
      </c>
      <c r="G4" s="445">
        <f>huishoudens!G8</f>
        <v>0</v>
      </c>
      <c r="H4" s="445">
        <f>huishoudens!H8</f>
        <v>0</v>
      </c>
      <c r="I4" s="445">
        <f>huishoudens!I8</f>
        <v>0</v>
      </c>
      <c r="J4" s="445">
        <f>huishoudens!J8</f>
        <v>31.850037356408549</v>
      </c>
      <c r="K4" s="445">
        <f>huishoudens!K8</f>
        <v>0</v>
      </c>
      <c r="L4" s="445">
        <f>huishoudens!L8</f>
        <v>0</v>
      </c>
      <c r="M4" s="445">
        <f>huishoudens!M8</f>
        <v>0</v>
      </c>
      <c r="N4" s="445">
        <f>huishoudens!N8</f>
        <v>1299.4102567264904</v>
      </c>
      <c r="O4" s="445">
        <f>huishoudens!O8</f>
        <v>37.695206168353607</v>
      </c>
      <c r="P4" s="446">
        <f>huishoudens!P8</f>
        <v>94.805633769165212</v>
      </c>
      <c r="Q4" s="447">
        <f>SUM(B4:P4)</f>
        <v>16814.599870088427</v>
      </c>
    </row>
    <row r="5" spans="1:17">
      <c r="A5" s="444" t="s">
        <v>149</v>
      </c>
      <c r="B5" s="445">
        <f ca="1">tertiair!B16</f>
        <v>2282.6519035822516</v>
      </c>
      <c r="C5" s="445">
        <f ca="1">tertiair!C16</f>
        <v>0</v>
      </c>
      <c r="D5" s="445">
        <f ca="1">tertiair!D16</f>
        <v>1528.0588562457772</v>
      </c>
      <c r="E5" s="445">
        <f>tertiair!E16</f>
        <v>10.027525774234435</v>
      </c>
      <c r="F5" s="445">
        <f ca="1">tertiair!F16</f>
        <v>603.40539783616396</v>
      </c>
      <c r="G5" s="445">
        <f>tertiair!G16</f>
        <v>0</v>
      </c>
      <c r="H5" s="445">
        <f>tertiair!H16</f>
        <v>0</v>
      </c>
      <c r="I5" s="445">
        <f>tertiair!I16</f>
        <v>0</v>
      </c>
      <c r="J5" s="445">
        <f>tertiair!J16</f>
        <v>4.7571385521113872E-3</v>
      </c>
      <c r="K5" s="445">
        <f>tertiair!K16</f>
        <v>0</v>
      </c>
      <c r="L5" s="445">
        <f ca="1">tertiair!L16</f>
        <v>0</v>
      </c>
      <c r="M5" s="445">
        <f>tertiair!M16</f>
        <v>0</v>
      </c>
      <c r="N5" s="445">
        <f ca="1">tertiair!N16</f>
        <v>164.33348907548844</v>
      </c>
      <c r="O5" s="445">
        <f>tertiair!O16</f>
        <v>0</v>
      </c>
      <c r="P5" s="446">
        <f>tertiair!P16</f>
        <v>0</v>
      </c>
      <c r="Q5" s="444">
        <f t="shared" ref="Q5:Q14" ca="1" si="0">SUM(B5:P5)</f>
        <v>4588.4819296524684</v>
      </c>
    </row>
    <row r="6" spans="1:17">
      <c r="A6" s="444" t="s">
        <v>187</v>
      </c>
      <c r="B6" s="445">
        <f>'openbare verlichting'!B8</f>
        <v>195.096</v>
      </c>
      <c r="C6" s="445"/>
      <c r="D6" s="445"/>
      <c r="E6" s="445"/>
      <c r="F6" s="445"/>
      <c r="G6" s="445"/>
      <c r="H6" s="445"/>
      <c r="I6" s="445"/>
      <c r="J6" s="445"/>
      <c r="K6" s="445"/>
      <c r="L6" s="445"/>
      <c r="M6" s="445"/>
      <c r="N6" s="445"/>
      <c r="O6" s="445"/>
      <c r="P6" s="446"/>
      <c r="Q6" s="444">
        <f t="shared" si="0"/>
        <v>195.096</v>
      </c>
    </row>
    <row r="7" spans="1:17">
      <c r="A7" s="444" t="s">
        <v>105</v>
      </c>
      <c r="B7" s="445">
        <f>landbouw!B8</f>
        <v>240.028205554133</v>
      </c>
      <c r="C7" s="445">
        <f>landbouw!C8</f>
        <v>0</v>
      </c>
      <c r="D7" s="445">
        <f>landbouw!D8</f>
        <v>0</v>
      </c>
      <c r="E7" s="445">
        <f>landbouw!E8</f>
        <v>7.0767100906380342</v>
      </c>
      <c r="F7" s="445">
        <f>landbouw!F8</f>
        <v>762.89494067232442</v>
      </c>
      <c r="G7" s="445">
        <f>landbouw!G8</f>
        <v>0</v>
      </c>
      <c r="H7" s="445">
        <f>landbouw!H8</f>
        <v>0</v>
      </c>
      <c r="I7" s="445">
        <f>landbouw!I8</f>
        <v>0</v>
      </c>
      <c r="J7" s="445">
        <f>landbouw!J8</f>
        <v>60.533639488405591</v>
      </c>
      <c r="K7" s="445">
        <f>landbouw!K8</f>
        <v>0</v>
      </c>
      <c r="L7" s="445">
        <f>landbouw!L8</f>
        <v>0</v>
      </c>
      <c r="M7" s="445">
        <f>landbouw!M8</f>
        <v>0</v>
      </c>
      <c r="N7" s="445">
        <f>landbouw!N8</f>
        <v>0</v>
      </c>
      <c r="O7" s="445">
        <f>landbouw!O8</f>
        <v>0</v>
      </c>
      <c r="P7" s="446">
        <f>landbouw!P8</f>
        <v>0</v>
      </c>
      <c r="Q7" s="444">
        <f t="shared" si="0"/>
        <v>1070.5334958055012</v>
      </c>
    </row>
    <row r="8" spans="1:17">
      <c r="A8" s="444" t="s">
        <v>587</v>
      </c>
      <c r="B8" s="445">
        <f>industrie!B18</f>
        <v>11701.021898470512</v>
      </c>
      <c r="C8" s="445">
        <f>industrie!C18</f>
        <v>0</v>
      </c>
      <c r="D8" s="445">
        <f>industrie!D18</f>
        <v>1352.8811199225797</v>
      </c>
      <c r="E8" s="445">
        <f>industrie!E18</f>
        <v>30.798775503602041</v>
      </c>
      <c r="F8" s="445">
        <f>industrie!F18</f>
        <v>1206.7798738668021</v>
      </c>
      <c r="G8" s="445">
        <f>industrie!G18</f>
        <v>0</v>
      </c>
      <c r="H8" s="445">
        <f>industrie!H18</f>
        <v>0</v>
      </c>
      <c r="I8" s="445">
        <f>industrie!I18</f>
        <v>0</v>
      </c>
      <c r="J8" s="445">
        <f>industrie!J18</f>
        <v>0.19644055703878488</v>
      </c>
      <c r="K8" s="445">
        <f>industrie!K18</f>
        <v>0</v>
      </c>
      <c r="L8" s="445">
        <f>industrie!L18</f>
        <v>0</v>
      </c>
      <c r="M8" s="445">
        <f>industrie!M18</f>
        <v>0</v>
      </c>
      <c r="N8" s="445">
        <f>industrie!N18</f>
        <v>266.19568664173516</v>
      </c>
      <c r="O8" s="445">
        <f>industrie!O18</f>
        <v>0</v>
      </c>
      <c r="P8" s="446">
        <f>industrie!P18</f>
        <v>0</v>
      </c>
      <c r="Q8" s="444">
        <f t="shared" si="0"/>
        <v>14557.87379496227</v>
      </c>
    </row>
    <row r="9" spans="1:17" s="450" customFormat="1">
      <c r="A9" s="448" t="s">
        <v>536</v>
      </c>
      <c r="B9" s="449">
        <f>transport!B14</f>
        <v>38.839260736327269</v>
      </c>
      <c r="C9" s="449">
        <f>transport!C14</f>
        <v>0</v>
      </c>
      <c r="D9" s="449">
        <f>transport!D14</f>
        <v>68.509492996928643</v>
      </c>
      <c r="E9" s="449">
        <f>transport!E14</f>
        <v>37.557283852608364</v>
      </c>
      <c r="F9" s="449">
        <f>transport!F14</f>
        <v>0</v>
      </c>
      <c r="G9" s="449">
        <f>transport!G14</f>
        <v>17745.827008916716</v>
      </c>
      <c r="H9" s="449">
        <f>transport!H14</f>
        <v>4518.701576666962</v>
      </c>
      <c r="I9" s="449">
        <f>transport!I14</f>
        <v>0</v>
      </c>
      <c r="J9" s="449">
        <f>transport!J14</f>
        <v>0</v>
      </c>
      <c r="K9" s="449">
        <f>transport!K14</f>
        <v>0</v>
      </c>
      <c r="L9" s="449">
        <f>transport!L14</f>
        <v>0</v>
      </c>
      <c r="M9" s="449">
        <f>transport!M14</f>
        <v>1313.2392033049889</v>
      </c>
      <c r="N9" s="449">
        <f>transport!N14</f>
        <v>0</v>
      </c>
      <c r="O9" s="449">
        <f>transport!O14</f>
        <v>0</v>
      </c>
      <c r="P9" s="449">
        <f>transport!P14</f>
        <v>0</v>
      </c>
      <c r="Q9" s="448">
        <f>SUM(B9:P9)</f>
        <v>23722.673826474529</v>
      </c>
    </row>
    <row r="10" spans="1:17">
      <c r="A10" s="444" t="s">
        <v>526</v>
      </c>
      <c r="B10" s="445">
        <f>transport!B54</f>
        <v>3.4683958130575774</v>
      </c>
      <c r="C10" s="445">
        <f>transport!C54</f>
        <v>0</v>
      </c>
      <c r="D10" s="445">
        <f>transport!D54</f>
        <v>0</v>
      </c>
      <c r="E10" s="445">
        <f>transport!E54</f>
        <v>0</v>
      </c>
      <c r="F10" s="445">
        <f>transport!F54</f>
        <v>0</v>
      </c>
      <c r="G10" s="445">
        <f>transport!G54</f>
        <v>247.56784426632137</v>
      </c>
      <c r="H10" s="445">
        <f>transport!H54</f>
        <v>0</v>
      </c>
      <c r="I10" s="445">
        <f>transport!I54</f>
        <v>0</v>
      </c>
      <c r="J10" s="445">
        <f>transport!J54</f>
        <v>0</v>
      </c>
      <c r="K10" s="445">
        <f>transport!K54</f>
        <v>0</v>
      </c>
      <c r="L10" s="445">
        <f>transport!L54</f>
        <v>0</v>
      </c>
      <c r="M10" s="445">
        <f>transport!M54</f>
        <v>13.670348250585189</v>
      </c>
      <c r="N10" s="445">
        <f>transport!N54</f>
        <v>0</v>
      </c>
      <c r="O10" s="445">
        <f>transport!O54</f>
        <v>0</v>
      </c>
      <c r="P10" s="446">
        <f>transport!P54</f>
        <v>0</v>
      </c>
      <c r="Q10" s="444">
        <f t="shared" si="0"/>
        <v>264.70658832996412</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98.850243714714807</v>
      </c>
      <c r="C14" s="452"/>
      <c r="D14" s="452">
        <f>'SEAP template'!E25</f>
        <v>149.217486146624</v>
      </c>
      <c r="E14" s="452"/>
      <c r="F14" s="452"/>
      <c r="G14" s="452"/>
      <c r="H14" s="452"/>
      <c r="I14" s="452"/>
      <c r="J14" s="452"/>
      <c r="K14" s="452"/>
      <c r="L14" s="452"/>
      <c r="M14" s="452"/>
      <c r="N14" s="452"/>
      <c r="O14" s="452"/>
      <c r="P14" s="453"/>
      <c r="Q14" s="444">
        <f t="shared" si="0"/>
        <v>248.06772986133882</v>
      </c>
    </row>
    <row r="15" spans="1:17" s="456" customFormat="1">
      <c r="A15" s="454" t="s">
        <v>530</v>
      </c>
      <c r="B15" s="455">
        <f ca="1">SUM(B4:B14)</f>
        <v>18155.840145325892</v>
      </c>
      <c r="C15" s="455">
        <f t="shared" ref="C15:Q15" ca="1" si="1">SUM(C4:C14)</f>
        <v>0</v>
      </c>
      <c r="D15" s="455">
        <f t="shared" ca="1" si="1"/>
        <v>8731.0415410126261</v>
      </c>
      <c r="E15" s="455">
        <f t="shared" si="1"/>
        <v>437.58198347248168</v>
      </c>
      <c r="F15" s="455">
        <f t="shared" ca="1" si="1"/>
        <v>8343.5384370362863</v>
      </c>
      <c r="G15" s="455">
        <f t="shared" si="1"/>
        <v>17993.394853183039</v>
      </c>
      <c r="H15" s="455">
        <f t="shared" si="1"/>
        <v>4518.701576666962</v>
      </c>
      <c r="I15" s="455">
        <f t="shared" si="1"/>
        <v>0</v>
      </c>
      <c r="J15" s="455">
        <f t="shared" si="1"/>
        <v>92.584874540405039</v>
      </c>
      <c r="K15" s="455">
        <f t="shared" si="1"/>
        <v>0</v>
      </c>
      <c r="L15" s="455">
        <f t="shared" ca="1" si="1"/>
        <v>0</v>
      </c>
      <c r="M15" s="455">
        <f t="shared" si="1"/>
        <v>1326.9095515555741</v>
      </c>
      <c r="N15" s="455">
        <f t="shared" ca="1" si="1"/>
        <v>1729.9394324437139</v>
      </c>
      <c r="O15" s="455">
        <f t="shared" si="1"/>
        <v>37.695206168353607</v>
      </c>
      <c r="P15" s="455">
        <f t="shared" si="1"/>
        <v>94.805633769165212</v>
      </c>
      <c r="Q15" s="455">
        <f t="shared" ca="1" si="1"/>
        <v>61462.033235174502</v>
      </c>
    </row>
    <row r="17" spans="1:17">
      <c r="A17" s="457" t="s">
        <v>531</v>
      </c>
      <c r="B17" s="737">
        <f ca="1">huishoudens!B10</f>
        <v>0.20982443885128216</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754.50439229814401</v>
      </c>
      <c r="C22" s="445">
        <f t="shared" ref="C22:C32" ca="1" si="3">C4*$C$17</f>
        <v>0</v>
      </c>
      <c r="D22" s="445">
        <f t="shared" ref="D22:D32" si="4">D4*$D$17</f>
        <v>1137.7396663115446</v>
      </c>
      <c r="E22" s="445">
        <f t="shared" ref="E22:E32" si="5">E4*$E$17</f>
        <v>79.93162323306754</v>
      </c>
      <c r="F22" s="445">
        <f t="shared" ref="F22:F32" si="6">F4*$F$17</f>
        <v>1540.7123459844861</v>
      </c>
      <c r="G22" s="445">
        <f t="shared" ref="G22:G32" si="7">G4*$G$17</f>
        <v>0</v>
      </c>
      <c r="H22" s="445">
        <f t="shared" ref="H22:H32" si="8">H4*$H$17</f>
        <v>0</v>
      </c>
      <c r="I22" s="445">
        <f t="shared" ref="I22:I32" si="9">I4*$I$17</f>
        <v>0</v>
      </c>
      <c r="J22" s="445">
        <f t="shared" ref="J22:J32" si="10">J4*$J$17</f>
        <v>11.274913224168627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3524.1629410514111</v>
      </c>
    </row>
    <row r="23" spans="1:17">
      <c r="A23" s="444" t="s">
        <v>149</v>
      </c>
      <c r="B23" s="445">
        <f t="shared" ca="1" si="2"/>
        <v>478.95615476195695</v>
      </c>
      <c r="C23" s="445">
        <f t="shared" ca="1" si="3"/>
        <v>0</v>
      </c>
      <c r="D23" s="445">
        <f t="shared" ca="1" si="4"/>
        <v>308.66788896164701</v>
      </c>
      <c r="E23" s="445">
        <f t="shared" si="5"/>
        <v>2.2762483507512168</v>
      </c>
      <c r="F23" s="445">
        <f t="shared" ca="1" si="6"/>
        <v>161.10924122225578</v>
      </c>
      <c r="G23" s="445">
        <f t="shared" si="7"/>
        <v>0</v>
      </c>
      <c r="H23" s="445">
        <f t="shared" si="8"/>
        <v>0</v>
      </c>
      <c r="I23" s="445">
        <f t="shared" si="9"/>
        <v>0</v>
      </c>
      <c r="J23" s="445">
        <f t="shared" si="10"/>
        <v>1.684027047447431E-3</v>
      </c>
      <c r="K23" s="445">
        <f t="shared" si="11"/>
        <v>0</v>
      </c>
      <c r="L23" s="445">
        <f t="shared" ca="1" si="12"/>
        <v>0</v>
      </c>
      <c r="M23" s="445">
        <f t="shared" si="13"/>
        <v>0</v>
      </c>
      <c r="N23" s="445">
        <f t="shared" ca="1" si="14"/>
        <v>0</v>
      </c>
      <c r="O23" s="445">
        <f t="shared" si="15"/>
        <v>0</v>
      </c>
      <c r="P23" s="446">
        <f t="shared" si="16"/>
        <v>0</v>
      </c>
      <c r="Q23" s="444">
        <f t="shared" ref="Q23:Q31" ca="1" si="17">SUM(B23:P23)</f>
        <v>951.01121732365834</v>
      </c>
    </row>
    <row r="24" spans="1:17">
      <c r="A24" s="444" t="s">
        <v>187</v>
      </c>
      <c r="B24" s="445">
        <f t="shared" ca="1" si="2"/>
        <v>40.935908722129746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40.935908722129746</v>
      </c>
    </row>
    <row r="25" spans="1:17">
      <c r="A25" s="444" t="s">
        <v>105</v>
      </c>
      <c r="B25" s="445">
        <f t="shared" ca="1" si="2"/>
        <v>50.363783538876163</v>
      </c>
      <c r="C25" s="445">
        <f t="shared" ca="1" si="3"/>
        <v>0</v>
      </c>
      <c r="D25" s="445">
        <f t="shared" si="4"/>
        <v>0</v>
      </c>
      <c r="E25" s="445">
        <f t="shared" si="5"/>
        <v>1.6064131905748338</v>
      </c>
      <c r="F25" s="445">
        <f t="shared" si="6"/>
        <v>203.69294915951062</v>
      </c>
      <c r="G25" s="445">
        <f t="shared" si="7"/>
        <v>0</v>
      </c>
      <c r="H25" s="445">
        <f t="shared" si="8"/>
        <v>0</v>
      </c>
      <c r="I25" s="445">
        <f t="shared" si="9"/>
        <v>0</v>
      </c>
      <c r="J25" s="445">
        <f t="shared" si="10"/>
        <v>21.428908378895578</v>
      </c>
      <c r="K25" s="445">
        <f t="shared" si="11"/>
        <v>0</v>
      </c>
      <c r="L25" s="445">
        <f t="shared" si="12"/>
        <v>0</v>
      </c>
      <c r="M25" s="445">
        <f t="shared" si="13"/>
        <v>0</v>
      </c>
      <c r="N25" s="445">
        <f t="shared" si="14"/>
        <v>0</v>
      </c>
      <c r="O25" s="445">
        <f t="shared" si="15"/>
        <v>0</v>
      </c>
      <c r="P25" s="446">
        <f t="shared" si="16"/>
        <v>0</v>
      </c>
      <c r="Q25" s="444">
        <f t="shared" ca="1" si="17"/>
        <v>277.09205426785718</v>
      </c>
    </row>
    <row r="26" spans="1:17">
      <c r="A26" s="444" t="s">
        <v>587</v>
      </c>
      <c r="B26" s="445">
        <f t="shared" ca="1" si="2"/>
        <v>2455.1603538331392</v>
      </c>
      <c r="C26" s="445">
        <f t="shared" ca="1" si="3"/>
        <v>0</v>
      </c>
      <c r="D26" s="445">
        <f t="shared" si="4"/>
        <v>273.28198622436111</v>
      </c>
      <c r="E26" s="445">
        <f t="shared" si="5"/>
        <v>6.9913220393176632</v>
      </c>
      <c r="F26" s="445">
        <f t="shared" si="6"/>
        <v>322.21022632243614</v>
      </c>
      <c r="G26" s="445">
        <f t="shared" si="7"/>
        <v>0</v>
      </c>
      <c r="H26" s="445">
        <f t="shared" si="8"/>
        <v>0</v>
      </c>
      <c r="I26" s="445">
        <f t="shared" si="9"/>
        <v>0</v>
      </c>
      <c r="J26" s="445">
        <f t="shared" si="10"/>
        <v>6.953995719172984E-2</v>
      </c>
      <c r="K26" s="445">
        <f t="shared" si="11"/>
        <v>0</v>
      </c>
      <c r="L26" s="445">
        <f t="shared" si="12"/>
        <v>0</v>
      </c>
      <c r="M26" s="445">
        <f t="shared" si="13"/>
        <v>0</v>
      </c>
      <c r="N26" s="445">
        <f t="shared" si="14"/>
        <v>0</v>
      </c>
      <c r="O26" s="445">
        <f t="shared" si="15"/>
        <v>0</v>
      </c>
      <c r="P26" s="446">
        <f t="shared" si="16"/>
        <v>0</v>
      </c>
      <c r="Q26" s="444">
        <f t="shared" ca="1" si="17"/>
        <v>3057.7134283764458</v>
      </c>
    </row>
    <row r="27" spans="1:17" s="450" customFormat="1">
      <c r="A27" s="448" t="s">
        <v>536</v>
      </c>
      <c r="B27" s="731">
        <f t="shared" ca="1" si="2"/>
        <v>8.1494260893985047</v>
      </c>
      <c r="C27" s="449">
        <f t="shared" ca="1" si="3"/>
        <v>0</v>
      </c>
      <c r="D27" s="449">
        <f t="shared" si="4"/>
        <v>13.838917585379587</v>
      </c>
      <c r="E27" s="449">
        <f t="shared" si="5"/>
        <v>8.5255034345420988</v>
      </c>
      <c r="F27" s="449">
        <f t="shared" si="6"/>
        <v>0</v>
      </c>
      <c r="G27" s="449">
        <f t="shared" si="7"/>
        <v>4738.1358113807637</v>
      </c>
      <c r="H27" s="449">
        <f t="shared" si="8"/>
        <v>1125.1566925900736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5893.8063510801576</v>
      </c>
    </row>
    <row r="28" spans="1:17" ht="16.5" customHeight="1">
      <c r="A28" s="444" t="s">
        <v>526</v>
      </c>
      <c r="B28" s="445">
        <f t="shared" ca="1" si="2"/>
        <v>0.72775420518894274</v>
      </c>
      <c r="C28" s="445">
        <f t="shared" ca="1" si="3"/>
        <v>0</v>
      </c>
      <c r="D28" s="445">
        <f t="shared" si="4"/>
        <v>0</v>
      </c>
      <c r="E28" s="445">
        <f t="shared" si="5"/>
        <v>0</v>
      </c>
      <c r="F28" s="445">
        <f t="shared" si="6"/>
        <v>0</v>
      </c>
      <c r="G28" s="445">
        <f t="shared" si="7"/>
        <v>66.100614419107814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66.828368624296758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20.741196917752514</v>
      </c>
      <c r="C32" s="445">
        <f t="shared" ca="1" si="3"/>
        <v>0</v>
      </c>
      <c r="D32" s="445">
        <f t="shared" si="4"/>
        <v>30.141932201618051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50.883129119370565</v>
      </c>
    </row>
    <row r="33" spans="1:17" s="456" customFormat="1">
      <c r="A33" s="454" t="s">
        <v>530</v>
      </c>
      <c r="B33" s="455">
        <f ca="1">SUM(B22:B32)</f>
        <v>3809.538970366586</v>
      </c>
      <c r="C33" s="455">
        <f t="shared" ref="C33:Q33" ca="1" si="19">SUM(C22:C32)</f>
        <v>0</v>
      </c>
      <c r="D33" s="455">
        <f t="shared" ca="1" si="19"/>
        <v>1763.6703912845503</v>
      </c>
      <c r="E33" s="455">
        <f t="shared" si="19"/>
        <v>99.331110248253353</v>
      </c>
      <c r="F33" s="455">
        <f t="shared" ca="1" si="19"/>
        <v>2227.7247626886888</v>
      </c>
      <c r="G33" s="455">
        <f t="shared" si="19"/>
        <v>4804.2364257998715</v>
      </c>
      <c r="H33" s="455">
        <f t="shared" si="19"/>
        <v>1125.1566925900736</v>
      </c>
      <c r="I33" s="455">
        <f t="shared" si="19"/>
        <v>0</v>
      </c>
      <c r="J33" s="455">
        <f t="shared" si="19"/>
        <v>32.775045587303381</v>
      </c>
      <c r="K33" s="455">
        <f t="shared" si="19"/>
        <v>0</v>
      </c>
      <c r="L33" s="455">
        <f t="shared" ca="1" si="19"/>
        <v>0</v>
      </c>
      <c r="M33" s="455">
        <f t="shared" si="19"/>
        <v>0</v>
      </c>
      <c r="N33" s="455">
        <f t="shared" ca="1" si="19"/>
        <v>0</v>
      </c>
      <c r="O33" s="455">
        <f t="shared" si="19"/>
        <v>0</v>
      </c>
      <c r="P33" s="455">
        <f t="shared" si="19"/>
        <v>0</v>
      </c>
      <c r="Q33" s="455">
        <f t="shared" ca="1" si="19"/>
        <v>13862.433398565328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918.10724773952893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918.10724773952893</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0.20982443885128216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0.20982443885128216</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2022-07-26T09:51:33Z</dcterms:modified>
</cp:coreProperties>
</file>