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3E76A42-2440-4F74-A52D-35AF287711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<sst xmlns="http://schemas.openxmlformats.org/spreadsheetml/2006/main" count="2387" uniqueCount="866">
  <si>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</si>
  <si>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</si>
  <si>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</si>
  <si>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</si>
  <si>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</si>
  <si>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</si>
  <si>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</si>
  <si>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</si>
  <si>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</si>
  <si>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</si>
  <si>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</si>
  <si>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</si>
  <si>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</si>
  <si>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</si>
  <si>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</si>
  <si>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</si>
  <si>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</si>
  <si>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</si>
  <si>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</si>
  <si>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</si>
  <si>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</si>
  <si>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</si>
  <si>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</si>
  <si>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</si>
  <si>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</si>
  <si>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</si>
  <si>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</si>
  <si>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</si>
  <si>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</si>
  <si>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</si>
  <si>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</si>
  <si>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</si>
  <si>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</si>
  <si>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</si>
  <si>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</si>
  <si>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</si>
  <si>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</si>
  <si>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</si>
  <si>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</si>
  <si>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</si>
  <si>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</si>
  <si>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</si>
  <si>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</si>
  <si>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</si>
  <si>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</si>
  <si>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</si>
  <si>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</si>
  <si>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</si>
  <si>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</si>
  <si>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</si>
  <si>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</si>
  <si>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</si>
  <si>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</si>
  <si>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</si>
  <si>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</si>
  <si>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</si>
  <si>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</si>
  <si>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</si>
  <si>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</si>
  <si>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</si>
  <si>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</si>
  <si>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</si>
  <si>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</si>
  <si>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</si>
  <si>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</si>
  <si>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</si>
  <si>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</si>
  <si>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</si>
  <si>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</si>
  <si>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</si>
  <si>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</si>
  <si>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</si>
  <si>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</si>
  <si>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</si>
  <si>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</si>
  <si>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</si>
  <si>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</si>
  <si>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</si>
  <si>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</si>
  <si>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</si>
  <si>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</si>
  <si>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</si>
  <si>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</si>
  <si>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</si>
  <si>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</si>
  <si>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</si>
  <si>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</si>
  <si>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</si>
  <si>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</si>
  <si>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</si>
  <si>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</si>
  <si>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</si>
  <si>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</si>
  <si>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</si>
  <si>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</si>
  <si>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</si>
  <si>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</si>
  <si>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</si>
  <si>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</si>
  <si>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</si>
  <si>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</si>
  <si>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</si>
  <si>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</si>
  <si>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</si>
  <si>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</si>
  <si>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</si>
  <si>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</si>
  <si>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</si>
  <si>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</si>
  <si>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</si>
  <si>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</si>
  <si>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</si>
  <si>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</si>
  <si>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</si>
  <si>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</si>
  <si>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</si>
  <si>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</si>
  <si>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</si>
  <si>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</si>
  <si>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</si>
  <si>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</si>
  <si>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</si>
  <si>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</si>
  <si>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</si>
  <si>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</si>
  <si>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</si>
  <si>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</si>
  <si>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</si>
  <si>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</si>
  <si>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</si>
  <si>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</si>
  <si>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</si>
  <si>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</si>
  <si>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</si>
  <si>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</si>
  <si>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</si>
  <si>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</si>
  <si>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</si>
  <si>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</si>
  <si>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</si>
  <si>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</si>
  <si>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</si>
  <si>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</si>
  <si>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</si>
  <si>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</si>
  <si>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</si>
  <si>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</si>
  <si>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</si>
  <si>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</si>
  <si>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</si>
  <si>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</si>
  <si>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</si>
  <si>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</si>
  <si>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</si>
  <si>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</si>
  <si>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</si>
  <si>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</si>
  <si>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</si>
  <si>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</si>
  <si>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</si>
  <si>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</si>
  <si>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</si>
  <si>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</si>
  <si>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</si>
  <si>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</si>
  <si>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</si>
  <si>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</si>
  <si>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</si>
  <si>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</si>
  <si>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</si>
  <si>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</si>
  <si>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</si>
  <si>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</si>
  <si>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</si>
  <si>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</si>
  <si>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</si>
  <si>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</si>
  <si>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</si>
  <si>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</si>
  <si>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</si>
  <si>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</si>
  <si>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</si>
  <si>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</si>
  <si>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</si>
  <si>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</si>
  <si>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</si>
  <si>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</si>
  <si>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</si>
  <si>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</si>
  <si>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</si>
  <si>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</si>
  <si>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</si>
  <si>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</si>
  <si>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</si>
  <si>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</si>
  <si>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</si>
  <si>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</si>
  <si>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</si>
  <si>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</si>
  <si>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</si>
  <si>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</si>
  <si>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</si>
  <si>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</si>
  <si>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</si>
  <si>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</si>
  <si>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</si>
  <si>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</si>
  <si>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</si>
  <si>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</si>
  <si>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</si>
  <si>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</si>
  <si>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</si>
  <si>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</si>
  <si>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</si>
  <si>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</si>
  <si>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</si>
  <si>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</si>
  <si>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</si>
  <si>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</si>
  <si>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</si>
  <si>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</si>
  <si>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</si>
  <si>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</si>
  <si>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</si>
  <si>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</si>
  <si>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</si>
  <si>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</si>
  <si>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</si>
  <si>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</si>
  <si>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</si>
  <si>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</si>
  <si>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</si>
  <si>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</si>
  <si>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</si>
  <si>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</si>
  <si>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</si>
  <si>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</si>
  <si>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</si>
  <si>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</si>
  <si>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</si>
  <si>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</si>
  <si>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</si>
  <si>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</si>
  <si>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</si>
  <si>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</si>
  <si>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</si>
  <si>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</si>
  <si>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</si>
  <si>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</si>
  <si>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</si>
  <si>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</si>
  <si>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</si>
  <si>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</si>
  <si>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</si>
  <si>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</si>
  <si>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</si>
  <si>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</si>
  <si>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</si>
  <si>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</si>
  <si>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</si>
  <si>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</si>
  <si>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</si>
  <si>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</si>
  <si>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</si>
  <si>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</si>
  <si>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</si>
  <si>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</si>
  <si>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</si>
  <si>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</si>
  <si>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</si>
  <si>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</si>
  <si>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</si>
  <si>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</si>
  <si>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</si>
  <si>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</si>
  <si>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</si>
  <si>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</si>
  <si>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</si>
  <si>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</si>
  <si>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</si>
  <si>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</si>
  <si>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</si>
  <si>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</si>
  <si>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</si>
  <si>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</si>
  <si>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</si>
  <si>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</si>
  <si>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</si>
  <si>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</si>
  <si>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</si>
  <si>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</si>
  <si>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</si>
  <si>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</si>
  <si>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</si>
  <si>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</si>
  <si>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</si>
  <si>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</si>
  <si>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</si>
  <si>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</si>
  <si>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</si>
  <si>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</si>
  <si>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</si>
  <si>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</si>
  <si>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</si>
  <si>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</si>
  <si>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</si>
  <si>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</si>
  <si>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</si>
  <si>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</si>
  <si>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</si>
  <si>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</si>
  <si>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</si>
  <si>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</si>
  <si>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</si>
  <si>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</si>
  <si>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</si>
  <si>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</si>
  <si>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</si>
  <si>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</si>
  <si>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</si>
  <si>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</si>
  <si>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</si>
  <si>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</si>
  <si>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</si>
  <si>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</si>
  <si>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</si>
  <si>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</si>
  <si>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</si>
  <si>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</si>
  <si>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</si>
  <si>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</si>
  <si>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</si>
  <si>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</si>
  <si>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</si>
  <si>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</si>
  <si>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</si>
  <si>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</si>
  <si>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</si>
  <si>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</si>
  <si>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</si>
  <si>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</si>
  <si>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</si>
  <si>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</si>
  <si>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</si>
  <si>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</si>
  <si>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</si>
  <si>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</si>
  <si>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</si>
  <si>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</si>
  <si>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</si>
  <si>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</si>
  <si>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</si>
  <si>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</si>
  <si>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</si>
  <si>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</si>
  <si>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</si>
  <si>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</si>
  <si>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</si>
  <si>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</si>
  <si>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</si>
  <si>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</si>
  <si>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</si>
  <si>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</si>
  <si>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</si>
  <si>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</si>
  <si>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</si>
  <si>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</si>
  <si>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</si>
  <si>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</si>
  <si>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</si>
  <si>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</si>
  <si>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</si>
  <si>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</si>
  <si>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</si>
  <si>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</si>
  <si>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</si>
  <si>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</si>
  <si>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</si>
  <si>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</si>
  <si>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</si>
  <si>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</si>
  <si>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</si>
  <si>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</si>
  <si>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</si>
  <si>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</si>
  <si>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</si>
  <si>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</si>
  <si>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</si>
  <si>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</si>
  <si>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</si>
  <si>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</si>
  <si>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</si>
  <si>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</si>
  <si>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</si>
  <si>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</si>
  <si>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</si>
  <si>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</si>
  <si>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</si>
  <si>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</si>
  <si>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</si>
  <si>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</si>
  <si>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</si>
  <si>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</si>
  <si>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</si>
  <si>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</si>
  <si>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</si>
  <si>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</si>
  <si>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</si>
  <si>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</si>
  <si>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</si>
  <si>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</si>
  <si>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</si>
  <si>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</si>
  <si>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</si>
  <si>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</si>
  <si>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</si>
  <si>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</si>
  <si>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</si>
  <si>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</si>
  <si>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</si>
  <si>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</si>
  <si>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</si>
  <si>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</si>
  <si>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</si>
  <si>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</si>
  <si>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</si>
  <si>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</si>
  <si>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</si>
  <si>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</si>
  <si>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</si>
  <si>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</si>
  <si>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</si>
  <si>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</si>
  <si>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</si>
  <si>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</si>
  <si>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</si>
  <si>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</si>
  <si>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</si>
  <si>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</si>
  <si>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</si>
  <si>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</si>
  <si>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</si>
  <si>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</si>
  <si>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</si>
  <si>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</si>
  <si>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</si>
  <si>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</si>
  <si>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</si>
  <si>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</si>
  <si>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</si>
  <si>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</si>
  <si>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</si>
  <si>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</si>
  <si>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</si>
  <si>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</si>
  <si>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</si>
  <si>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</si>
  <si>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</si>
  <si>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</si>
  <si>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</si>
  <si>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</si>
  <si>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</si>
  <si>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</si>
  <si>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</si>
  <si>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</si>
  <si>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</si>
  <si>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</si>
  <si>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</si>
  <si>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</si>
  <si>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</si>
  <si>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</si>
  <si>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</si>
  <si>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</si>
  <si>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</si>
  <si>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</si>
  <si>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</si>
  <si>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</si>
  <si>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</si>
  <si>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</si>
  <si>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</si>
  <si>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</si>
  <si>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</si>
  <si>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</si>
  <si>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</si>
  <si>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</si>
  <si>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</si>
  <si>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</si>
  <si>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</si>
  <si>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</si>
  <si>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</si>
  <si>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</si>
  <si>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</si>
  <si>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</si>
  <si>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</si>
  <si>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</si>
  <si>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</si>
  <si>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</si>
  <si>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</si>
  <si>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</si>
  <si>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</si>
  <si>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</si>
  <si>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</si>
  <si>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</si>
  <si>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</si>
  <si>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</si>
  <si>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</si>
  <si>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</si>
  <si>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</si>
  <si>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</si>
  <si>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</si>
  <si>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</si>
  <si>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</si>
  <si>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</si>
  <si>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</si>
  <si>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</si>
  <si>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</si>
  <si>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</si>
  <si>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</si>
  <si>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</si>
  <si>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</si>
  <si>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</si>
  <si>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</si>
  <si>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</si>
  <si>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</si>
  <si>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</si>
  <si>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</si>
  <si>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</si>
  <si>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</si>
  <si>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</si>
  <si>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</si>
  <si>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</si>
  <si>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</si>
  <si>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</si>
  <si>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</si>
  <si>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</si>
  <si>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</si>
  <si>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</si>
  <si>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</si>
  <si>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</si>
  <si>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</si>
  <si>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</si>
  <si>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</si>
  <si>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</si>
  <si>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</si>
  <si>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</si>
  <si>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</si>
  <si>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</si>
  <si>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</si>
  <si>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</si>
  <si>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</si>
  <si>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</si>
  <si>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</si>
  <si>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</si>
  <si>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</si>
  <si>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</si>
  <si>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</si>
  <si>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</si>
  <si>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</si>
  <si>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</si>
  <si>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</si>
  <si>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</si>
  <si>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</si>
  <si>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</si>
  <si>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</si>
  <si>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</si>
  <si>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</si>
  <si>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</si>
  <si>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</si>
  <si>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</si>
  <si>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</si>
  <si>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</si>
  <si>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</si>
  <si>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</si>
  <si>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</si>
  <si>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</si>
  <si>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</si>
  <si>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</si>
  <si>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</si>
  <si>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</si>
  <si>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</si>
  <si>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</si>
  <si>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</si>
  <si>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</si>
  <si>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</si>
  <si>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</si>
  <si>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</si>
  <si>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</si>
  <si>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</si>
  <si>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</si>
  <si>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</si>
  <si>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</si>
  <si>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</si>
  <si>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</si>
  <si>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</si>
  <si>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</si>
  <si>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</si>
  <si>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</si>
  <si>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</si>
  <si>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</si>
  <si>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</si>
  <si>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</si>
  <si>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</si>
  <si>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</si>
  <si>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</si>
  <si>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</si>
  <si>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</si>
  <si>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</si>
  <si>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</si>
  <si>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</si>
  <si>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</si>
  <si>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</si>
  <si>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</si>
  <si>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</si>
  <si>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</si>
  <si>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</si>
  <si>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</si>
  <si>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</si>
  <si>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</si>
  <si>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</si>
  <si>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</si>
  <si>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</si>
  <si>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</si>
  <si>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</si>
  <si>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</si>
  <si>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</si>
  <si>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</si>
  <si>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</si>
  <si>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</si>
  <si>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</si>
  <si>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</si>
  <si>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</si>
  <si>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</si>
  <si>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</si>
  <si>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</si>
  <si>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</si>
  <si>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</si>
  <si>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</si>
  <si>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</si>
  <si>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</si>
  <si>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</si>
  <si>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</si>
  <si>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</si>
  <si>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</si>
  <si>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</si>
  <si>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</si>
  <si>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</si>
  <si>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</si>
  <si>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</si>
  <si>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</si>
  <si>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</si>
  <si>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</si>
  <si>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</si>
  <si>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</si>
  <si>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</si>
  <si>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</si>
  <si>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</si>
  <si>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</si>
  <si>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</si>
  <si>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</si>
  <si>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</si>
  <si>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</si>
  <si>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</si>
  <si>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</si>
  <si>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</si>
  <si>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</si>
  <si>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</si>
  <si>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</si>
  <si>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</si>
  <si>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</si>
  <si>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</si>
  <si>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</si>
  <si>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</si>
  <si>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</si>
  <si>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</si>
  <si>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</si>
  <si>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</si>
  <si>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</si>
  <si>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</si>
  <si>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</si>
  <si>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</si>
  <si>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</si>
  <si>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</si>
  <si>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</si>
  <si>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</si>
  <si>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</si>
  <si>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</si>
  <si>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</si>
  <si>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</si>
  <si>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</si>
  <si>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</si>
  <si>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</si>
  <si>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</si>
  <si>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</si>
  <si>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</si>
  <si>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</si>
  <si>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</si>
  <si>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</si>
  <si>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</si>
  <si>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</si>
  <si>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</si>
  <si>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</si>
  <si>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</si>
  <si>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</si>
  <si>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</si>
  <si>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</si>
  <si>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</si>
  <si>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</si>
  <si>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</si>
  <si>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</si>
  <si>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</si>
  <si>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</si>
  <si>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</si>
  <si>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</si>
  <si>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</si>
  <si>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</si>
  <si>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</si>
  <si>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</si>
  <si>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</si>
  <si>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</si>
  <si>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</si>
  <si>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</si>
  <si>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</si>
  <si>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</si>
  <si>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</si>
  <si>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</si>
  <si>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</si>
  <si>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</si>
  <si>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</si>
  <si>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</si>
  <si>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</si>
  <si>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</si>
  <si>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</si>
  <si>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</si>
  <si>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</si>
  <si>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</si>
  <si>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</si>
  <si>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</si>
  <si>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</si>
  <si>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</si>
  <si>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</si>
  <si>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</si>
  <si>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</si>
  <si>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</si>
  <si>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</si>
  <si>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</si>
  <si>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</si>
  <si>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</si>
  <si>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</si>
  <si>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</si>
  <si>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</si>
  <si>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</si>
  <si>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</si>
  <si>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</si>
  <si>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</si>
  <si>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</si>
  <si>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</si>
  <si>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</si>
  <si>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</si>
  <si>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</si>
  <si>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</si>
  <si>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</si>
  <si>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</si>
  <si>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</si>
  <si>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</si>
  <si>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</si>
  <si>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</si>
  <si>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</si>
  <si>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</si>
  <si>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</si>
  <si>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</si>
  <si>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</si>
  <si>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</si>
  <si>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</si>
  <si>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</si>
  <si>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</si>
  <si>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</si>
  <si>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</si>
  <si>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</si>
  <si>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</si>
  <si>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</si>
  <si>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</si>
  <si>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</si>
  <si>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</si>
  <si>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</si>
  <si>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</si>
  <si>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</si>
  <si>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</si>
  <si>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</si>
  <si>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</si>
  <si>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</si>
  <si>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</si>
  <si>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</si>
  <si>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</si>
  <si>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</si>
  <si>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</si>
  <si>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</si>
  <si>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</si>
  <si>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</si>
  <si>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</si>
  <si>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</si>
  <si>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</si>
  <si>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</si>
  <si>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</si>
  <si>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</si>
  <si>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</si>
  <si>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</si>
  <si>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</si>
  <si>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</si>
  <si>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</si>
  <si>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</si>
  <si>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</si>
  <si>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</si>
  <si>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</si>
  <si>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</si>
  <si>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</si>
  <si>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</si>
  <si>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</si>
  <si>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</si>
  <si>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</si>
  <si>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</si>
  <si>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</si>
  <si>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</si>
  <si>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</si>
  <si>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</si>
  <si>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</si>
  <si>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</si>
  <si>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</si>
  <si>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</si>
  <si>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</si>
  <si>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</si>
  <si>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</si>
  <si>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</si>
  <si>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</si>
  <si>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</si>
  <si>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</si>
  <si>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</si>
  <si>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</si>
  <si>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</si>
  <si>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</si>
  <si>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</si>
  <si>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</si>
  <si>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</si>
  <si>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</si>
  <si>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</si>
  <si>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</si>
  <si>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</si>
  <si>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</si>
  <si>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</si>
  <si>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</si>
  <si>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</si>
  <si>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</si>
  <si>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</si>
  <si>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</si>
  <si>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</si>
  <si>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</si>
  <si>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</si>
  <si>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</si>
  <si>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34042</t>
  </si>
  <si>
    <t>ZWEVEGEM</t>
  </si>
  <si>
    <t>waterkracht</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</si>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</sst>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B01A698-2C59-4537-ADD7-356D2035F93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194314.14078353008</c:v>
                </c:pt>
                <c:pt idx="1">
                  <c:v>60453.331627074345</c:v>
                </c:pt>
                <c:pt idx="2">
                  <c:v>1867.3710000000001</c:v>
                </c:pt>
                <c:pt idx="3">
                  <c:v>10606.133982105041</c:v>
                </c:pt>
                <c:pt idx="4">
                  <c:v>160217.09136416999</c:v>
                </c:pt>
                <c:pt idx="5">
                  <c:v>87809.99995161494</c:v>
                </c:pt>
                <c:pt idx="6">
                  <c:v>1121.6733877124941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194314.14078353008</c:v>
                </c:pt>
                <c:pt idx="1">
                  <c:v>60453.331627074345</c:v>
                </c:pt>
                <c:pt idx="2">
                  <c:v>1867.3710000000001</c:v>
                </c:pt>
                <c:pt idx="3">
                  <c:v>10606.133982105041</c:v>
                </c:pt>
                <c:pt idx="4">
                  <c:v>160217.09136416999</c:v>
                </c:pt>
                <c:pt idx="5">
                  <c:v>87809.99995161494</c:v>
                </c:pt>
                <c:pt idx="6">
                  <c:v>1121.6733877124941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38839.8847517342</c:v>
                </c:pt>
                <c:pt idx="1">
                  <c:v>11067.401133562345</c:v>
                </c:pt>
                <c:pt idx="2">
                  <c:v>333.07798218436454</c:v>
                </c:pt>
                <c:pt idx="3">
                  <c:v>2666.7585949902227</c:v>
                </c:pt>
                <c:pt idx="4">
                  <c:v>32084.184944650337</c:v>
                </c:pt>
                <c:pt idx="5">
                  <c:v>21770.363131625883</c:v>
                </c:pt>
                <c:pt idx="6">
                  <c:v>282.7176389630265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38839.8847517342</c:v>
                </c:pt>
                <c:pt idx="1">
                  <c:v>11067.401133562345</c:v>
                </c:pt>
                <c:pt idx="2">
                  <c:v>333.07798218436454</c:v>
                </c:pt>
                <c:pt idx="3">
                  <c:v>2666.7585949902227</c:v>
                </c:pt>
                <c:pt idx="4">
                  <c:v>32084.184944650337</c:v>
                </c:pt>
                <c:pt idx="5">
                  <c:v>21770.363131625883</c:v>
                </c:pt>
                <c:pt idx="6">
                  <c:v>282.7176389630265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34042</v>
      </c>
      <c r="B6" s="382"/>
      <c r="C6" s="383"/>
    </row>
    <row r="7" spans="1:7" s="380" customFormat="1" ht="15.75" customHeight="1">
      <c r="A7" s="384" t="str">
        <f>txtMunicipality</f>
        <v>ZWEVEGEM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0.1783673314967216</v>
      </c>
      <c r="C17" s="493">
        <f ca="1">'EF ele_warmte'!B22</f>
        <v>2.4828797190518E-2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0.1783673314967216</v>
      </c>
      <c r="C29" s="494">
        <f ca="1">'EF ele_warmte'!B22</f>
        <v>2.4828797190518E-2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10239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4245.58</v>
      </c>
      <c r="C14" s="324"/>
      <c r="D14" s="324"/>
      <c r="E14" s="324"/>
      <c r="F14" s="324"/>
    </row>
    <row r="15" spans="1:6">
      <c r="A15" s="1264" t="s">
        <v>177</v>
      </c>
      <c r="B15" s="1265">
        <v>27</v>
      </c>
      <c r="C15" s="324"/>
      <c r="D15" s="324"/>
      <c r="E15" s="324"/>
      <c r="F15" s="324"/>
    </row>
    <row r="16" spans="1:6">
      <c r="A16" s="1264" t="s">
        <v>6</v>
      </c>
      <c r="B16" s="1265">
        <v>957</v>
      </c>
      <c r="C16" s="324"/>
      <c r="D16" s="324"/>
      <c r="E16" s="324"/>
      <c r="F16" s="324"/>
    </row>
    <row r="17" spans="1:6">
      <c r="A17" s="1264" t="s">
        <v>7</v>
      </c>
      <c r="B17" s="1265">
        <v>808</v>
      </c>
      <c r="C17" s="324"/>
      <c r="D17" s="324"/>
      <c r="E17" s="324"/>
      <c r="F17" s="324"/>
    </row>
    <row r="18" spans="1:6">
      <c r="A18" s="1264" t="s">
        <v>8</v>
      </c>
      <c r="B18" s="1265">
        <v>1049</v>
      </c>
      <c r="C18" s="324"/>
      <c r="D18" s="324"/>
      <c r="E18" s="324"/>
      <c r="F18" s="324"/>
    </row>
    <row r="19" spans="1:6">
      <c r="A19" s="1264" t="s">
        <v>9</v>
      </c>
      <c r="B19" s="1265">
        <v>973</v>
      </c>
      <c r="C19" s="324"/>
      <c r="D19" s="324"/>
      <c r="E19" s="324"/>
      <c r="F19" s="324"/>
    </row>
    <row r="20" spans="1:6">
      <c r="A20" s="1264" t="s">
        <v>10</v>
      </c>
      <c r="B20" s="1265">
        <v>993</v>
      </c>
      <c r="C20" s="324"/>
      <c r="D20" s="324"/>
      <c r="E20" s="324"/>
      <c r="F20" s="324"/>
    </row>
    <row r="21" spans="1:6">
      <c r="A21" s="1264" t="s">
        <v>11</v>
      </c>
      <c r="B21" s="1265">
        <v>2396</v>
      </c>
      <c r="C21" s="324"/>
      <c r="D21" s="324"/>
      <c r="E21" s="324"/>
      <c r="F21" s="324"/>
    </row>
    <row r="22" spans="1:6">
      <c r="A22" s="1264" t="s">
        <v>12</v>
      </c>
      <c r="B22" s="1265">
        <v>16713</v>
      </c>
      <c r="C22" s="324"/>
      <c r="D22" s="324"/>
      <c r="E22" s="324"/>
      <c r="F22" s="324"/>
    </row>
    <row r="23" spans="1:6">
      <c r="A23" s="1264" t="s">
        <v>13</v>
      </c>
      <c r="B23" s="1265">
        <v>113</v>
      </c>
      <c r="C23" s="324"/>
      <c r="D23" s="324"/>
      <c r="E23" s="324"/>
      <c r="F23" s="324"/>
    </row>
    <row r="24" spans="1:6">
      <c r="A24" s="1264" t="s">
        <v>14</v>
      </c>
      <c r="B24" s="1265">
        <v>11</v>
      </c>
      <c r="C24" s="324"/>
      <c r="D24" s="324"/>
      <c r="E24" s="324"/>
      <c r="F24" s="324"/>
    </row>
    <row r="25" spans="1:6">
      <c r="A25" s="1264" t="s">
        <v>15</v>
      </c>
      <c r="B25" s="1265">
        <v>765</v>
      </c>
      <c r="C25" s="324"/>
      <c r="D25" s="324"/>
      <c r="E25" s="324"/>
      <c r="F25" s="324"/>
    </row>
    <row r="26" spans="1:6">
      <c r="A26" s="1264" t="s">
        <v>16</v>
      </c>
      <c r="B26" s="1265">
        <v>197</v>
      </c>
      <c r="C26" s="324"/>
      <c r="D26" s="324"/>
      <c r="E26" s="324"/>
      <c r="F26" s="324"/>
    </row>
    <row r="27" spans="1:6">
      <c r="A27" s="1264" t="s">
        <v>17</v>
      </c>
      <c r="B27" s="1265">
        <v>8</v>
      </c>
      <c r="C27" s="324"/>
      <c r="D27" s="324"/>
      <c r="E27" s="324"/>
      <c r="F27" s="324"/>
    </row>
    <row r="28" spans="1:6">
      <c r="A28" s="1264" t="s">
        <v>18</v>
      </c>
      <c r="B28" s="1266">
        <v>501436</v>
      </c>
      <c r="C28" s="324"/>
      <c r="D28" s="324"/>
      <c r="E28" s="324"/>
      <c r="F28" s="324"/>
    </row>
    <row r="29" spans="1:6">
      <c r="A29" s="1264" t="s">
        <v>657</v>
      </c>
      <c r="B29" s="1266">
        <v>125</v>
      </c>
      <c r="C29" s="324"/>
      <c r="D29" s="324"/>
      <c r="E29" s="324"/>
      <c r="F29" s="324"/>
    </row>
    <row r="30" spans="1:6">
      <c r="A30" s="1259" t="s">
        <v>658</v>
      </c>
      <c r="B30" s="1267">
        <v>39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3249.7544174486002</v>
      </c>
    </row>
    <row r="39" spans="1:6">
      <c r="A39" s="1264" t="s">
        <v>29</v>
      </c>
      <c r="B39" s="1264" t="s">
        <v>30</v>
      </c>
      <c r="C39" s="1265">
        <v>5989</v>
      </c>
      <c r="D39" s="1265">
        <v>81814031.299494594</v>
      </c>
      <c r="E39" s="1265">
        <v>9779</v>
      </c>
      <c r="F39" s="1265">
        <v>35698014.161565699</v>
      </c>
    </row>
    <row r="40" spans="1:6">
      <c r="A40" s="1264" t="s">
        <v>29</v>
      </c>
      <c r="B40" s="1264" t="s">
        <v>28</v>
      </c>
      <c r="C40" s="1265">
        <v>0</v>
      </c>
      <c r="D40" s="1265">
        <v>0</v>
      </c>
      <c r="E40" s="1265">
        <v>0</v>
      </c>
      <c r="F40" s="1265">
        <v>0</v>
      </c>
    </row>
    <row r="41" spans="1:6">
      <c r="A41" s="1264" t="s">
        <v>31</v>
      </c>
      <c r="B41" s="1264" t="s">
        <v>32</v>
      </c>
      <c r="C41" s="1265">
        <v>164</v>
      </c>
      <c r="D41" s="1265">
        <v>2431656.3692070302</v>
      </c>
      <c r="E41" s="1265">
        <v>346</v>
      </c>
      <c r="F41" s="1265">
        <v>3402879.2571091298</v>
      </c>
    </row>
    <row r="42" spans="1:6">
      <c r="A42" s="1264" t="s">
        <v>31</v>
      </c>
      <c r="B42" s="1264" t="s">
        <v>33</v>
      </c>
      <c r="C42" s="1265">
        <v>0</v>
      </c>
      <c r="D42" s="1265">
        <v>0</v>
      </c>
      <c r="E42" s="1265">
        <v>3</v>
      </c>
      <c r="F42" s="1265">
        <v>27741.1140390172</v>
      </c>
    </row>
    <row r="43" spans="1:6">
      <c r="A43" s="1264" t="s">
        <v>31</v>
      </c>
      <c r="B43" s="1264" t="s">
        <v>34</v>
      </c>
      <c r="C43" s="1265">
        <v>4</v>
      </c>
      <c r="D43" s="1265">
        <v>143716208.117466</v>
      </c>
      <c r="E43" s="1265">
        <v>12</v>
      </c>
      <c r="F43" s="1265">
        <v>269402.53735469998</v>
      </c>
    </row>
    <row r="44" spans="1:6">
      <c r="A44" s="1264" t="s">
        <v>31</v>
      </c>
      <c r="B44" s="1264" t="s">
        <v>35</v>
      </c>
      <c r="C44" s="1265">
        <v>13</v>
      </c>
      <c r="D44" s="1265">
        <v>723647.492339427</v>
      </c>
      <c r="E44" s="1265">
        <v>46</v>
      </c>
      <c r="F44" s="1265">
        <v>3507311.7928480399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243063.15305788099</v>
      </c>
      <c r="E47" s="1265">
        <v>9</v>
      </c>
      <c r="F47" s="1265">
        <v>218869.98421811001</v>
      </c>
    </row>
    <row r="48" spans="1:6">
      <c r="A48" s="1264" t="s">
        <v>31</v>
      </c>
      <c r="B48" s="1264" t="s">
        <v>28</v>
      </c>
      <c r="C48" s="1265">
        <v>1</v>
      </c>
      <c r="D48" s="1265">
        <v>17906.146937294801</v>
      </c>
      <c r="E48" s="1265">
        <v>2</v>
      </c>
      <c r="F48" s="1265">
        <v>7715.6832578290996</v>
      </c>
    </row>
    <row r="49" spans="1:6">
      <c r="A49" s="1264" t="s">
        <v>31</v>
      </c>
      <c r="B49" s="1264" t="s">
        <v>39</v>
      </c>
      <c r="C49" s="1265">
        <v>5</v>
      </c>
      <c r="D49" s="1265">
        <v>6787184.1880240999</v>
      </c>
      <c r="E49" s="1265">
        <v>11</v>
      </c>
      <c r="F49" s="1265">
        <v>6861951.8911535004</v>
      </c>
    </row>
    <row r="50" spans="1:6">
      <c r="A50" s="1264" t="s">
        <v>31</v>
      </c>
      <c r="B50" s="1264" t="s">
        <v>40</v>
      </c>
      <c r="C50" s="1265">
        <v>15</v>
      </c>
      <c r="D50" s="1265">
        <v>1428216.8887698599</v>
      </c>
      <c r="E50" s="1265">
        <v>35</v>
      </c>
      <c r="F50" s="1265">
        <v>2668526.04885684</v>
      </c>
    </row>
    <row r="51" spans="1:6">
      <c r="A51" s="1264" t="s">
        <v>41</v>
      </c>
      <c r="B51" s="1264" t="s">
        <v>42</v>
      </c>
      <c r="C51" s="1265">
        <v>5</v>
      </c>
      <c r="D51" s="1265">
        <v>81839.2806346164</v>
      </c>
      <c r="E51" s="1265">
        <v>139</v>
      </c>
      <c r="F51" s="1265">
        <v>2361470.26149339</v>
      </c>
    </row>
    <row r="52" spans="1:6">
      <c r="A52" s="1264" t="s">
        <v>41</v>
      </c>
      <c r="B52" s="1264" t="s">
        <v>28</v>
      </c>
      <c r="C52" s="1265">
        <v>0</v>
      </c>
      <c r="D52" s="1265">
        <v>0</v>
      </c>
      <c r="E52" s="1265">
        <v>0</v>
      </c>
      <c r="F52" s="1265">
        <v>0</v>
      </c>
    </row>
    <row r="53" spans="1:6">
      <c r="A53" s="1264" t="s">
        <v>43</v>
      </c>
      <c r="B53" s="1264" t="s">
        <v>44</v>
      </c>
      <c r="C53" s="1265">
        <v>104</v>
      </c>
      <c r="D53" s="1265">
        <v>1852987.7445259399</v>
      </c>
      <c r="E53" s="1265">
        <v>274</v>
      </c>
      <c r="F53" s="1265">
        <v>1110304.4811891899</v>
      </c>
    </row>
    <row r="54" spans="1:6">
      <c r="A54" s="1264" t="s">
        <v>45</v>
      </c>
      <c r="B54" s="1264" t="s">
        <v>46</v>
      </c>
      <c r="C54" s="1265">
        <v>0</v>
      </c>
      <c r="D54" s="1265">
        <v>0</v>
      </c>
      <c r="E54" s="1265">
        <v>1</v>
      </c>
      <c r="F54" s="1265">
        <v>1867371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119</v>
      </c>
      <c r="D57" s="1265">
        <v>9170786.7939699609</v>
      </c>
      <c r="E57" s="1265">
        <v>139</v>
      </c>
      <c r="F57" s="1265">
        <v>2658278.2343331701</v>
      </c>
    </row>
    <row r="58" spans="1:6">
      <c r="A58" s="1264" t="s">
        <v>48</v>
      </c>
      <c r="B58" s="1264" t="s">
        <v>50</v>
      </c>
      <c r="C58" s="1265">
        <v>30</v>
      </c>
      <c r="D58" s="1265">
        <v>1931246.4651415199</v>
      </c>
      <c r="E58" s="1265">
        <v>58</v>
      </c>
      <c r="F58" s="1265">
        <v>1196339.56321609</v>
      </c>
    </row>
    <row r="59" spans="1:6">
      <c r="A59" s="1264" t="s">
        <v>48</v>
      </c>
      <c r="B59" s="1264" t="s">
        <v>51</v>
      </c>
      <c r="C59" s="1265">
        <v>155</v>
      </c>
      <c r="D59" s="1265">
        <v>5002898.9493834199</v>
      </c>
      <c r="E59" s="1265">
        <v>365</v>
      </c>
      <c r="F59" s="1265">
        <v>9824356.8993002698</v>
      </c>
    </row>
    <row r="60" spans="1:6">
      <c r="A60" s="1264" t="s">
        <v>48</v>
      </c>
      <c r="B60" s="1264" t="s">
        <v>52</v>
      </c>
      <c r="C60" s="1265">
        <v>57</v>
      </c>
      <c r="D60" s="1265">
        <v>2437840.2053976702</v>
      </c>
      <c r="E60" s="1265">
        <v>89</v>
      </c>
      <c r="F60" s="1265">
        <v>1388005.85224839</v>
      </c>
    </row>
    <row r="61" spans="1:6">
      <c r="A61" s="1264" t="s">
        <v>48</v>
      </c>
      <c r="B61" s="1264" t="s">
        <v>53</v>
      </c>
      <c r="C61" s="1265">
        <v>204</v>
      </c>
      <c r="D61" s="1265">
        <v>7613851.4414830599</v>
      </c>
      <c r="E61" s="1265">
        <v>608</v>
      </c>
      <c r="F61" s="1265">
        <v>8822036.4744169209</v>
      </c>
    </row>
    <row r="62" spans="1:6">
      <c r="A62" s="1264" t="s">
        <v>48</v>
      </c>
      <c r="B62" s="1264" t="s">
        <v>54</v>
      </c>
      <c r="C62" s="1265">
        <v>15</v>
      </c>
      <c r="D62" s="1265">
        <v>1505173.28456472</v>
      </c>
      <c r="E62" s="1265">
        <v>26</v>
      </c>
      <c r="F62" s="1265">
        <v>488487.68775216601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9</v>
      </c>
      <c r="F66" s="1265">
        <v>121430.28054985699</v>
      </c>
    </row>
    <row r="67" spans="1:6">
      <c r="A67" s="1264" t="s">
        <v>55</v>
      </c>
      <c r="B67" s="1264" t="s">
        <v>58</v>
      </c>
      <c r="C67" s="1265">
        <v>0</v>
      </c>
      <c r="D67" s="1265">
        <v>0</v>
      </c>
      <c r="E67" s="1265">
        <v>0</v>
      </c>
      <c r="F67" s="1265">
        <v>0</v>
      </c>
    </row>
    <row r="68" spans="1:6">
      <c r="A68" s="1259" t="s">
        <v>55</v>
      </c>
      <c r="B68" s="1259" t="s">
        <v>59</v>
      </c>
      <c r="C68" s="1267">
        <v>6</v>
      </c>
      <c r="D68" s="1267">
        <v>81088.833898049401</v>
      </c>
      <c r="E68" s="1267">
        <v>22</v>
      </c>
      <c r="F68" s="1267">
        <v>409765.10045130801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40758857</v>
      </c>
      <c r="E73" s="443"/>
      <c r="F73" s="324"/>
    </row>
    <row r="74" spans="1:6">
      <c r="A74" s="1264" t="s">
        <v>63</v>
      </c>
      <c r="B74" s="1264" t="s">
        <v>608</v>
      </c>
      <c r="C74" s="1277" t="s">
        <v>610</v>
      </c>
      <c r="D74" s="1265">
        <v>4111852.7147194897</v>
      </c>
      <c r="E74" s="443"/>
      <c r="F74" s="324"/>
    </row>
    <row r="75" spans="1:6">
      <c r="A75" s="1264" t="s">
        <v>64</v>
      </c>
      <c r="B75" s="1264" t="s">
        <v>607</v>
      </c>
      <c r="C75" s="1277" t="s">
        <v>611</v>
      </c>
      <c r="D75" s="1265">
        <v>45195130</v>
      </c>
      <c r="E75" s="443"/>
      <c r="F75" s="324"/>
    </row>
    <row r="76" spans="1:6">
      <c r="A76" s="1264" t="s">
        <v>64</v>
      </c>
      <c r="B76" s="1264" t="s">
        <v>608</v>
      </c>
      <c r="C76" s="1277" t="s">
        <v>612</v>
      </c>
      <c r="D76" s="1265">
        <v>2452862.7147194897</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310650.57056102098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3823.398856916674</v>
      </c>
      <c r="C90" s="324"/>
      <c r="D90" s="324"/>
      <c r="E90" s="324"/>
      <c r="F90" s="324"/>
    </row>
    <row r="91" spans="1:6">
      <c r="A91" s="1264" t="s">
        <v>67</v>
      </c>
      <c r="B91" s="1265">
        <v>7892.1802092927055</v>
      </c>
      <c r="C91" s="324"/>
      <c r="D91" s="324"/>
      <c r="E91" s="324"/>
      <c r="F91" s="324"/>
    </row>
    <row r="92" spans="1:6">
      <c r="A92" s="1259" t="s">
        <v>68</v>
      </c>
      <c r="B92" s="1260">
        <v>3633.6409538924222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2964</v>
      </c>
      <c r="C97" s="324"/>
      <c r="D97" s="324"/>
      <c r="E97" s="324"/>
      <c r="F97" s="324"/>
    </row>
    <row r="98" spans="1:6">
      <c r="A98" s="1264" t="s">
        <v>71</v>
      </c>
      <c r="B98" s="1265">
        <v>3</v>
      </c>
      <c r="C98" s="324"/>
      <c r="D98" s="324"/>
      <c r="E98" s="324"/>
      <c r="F98" s="324"/>
    </row>
    <row r="99" spans="1:6">
      <c r="A99" s="1264" t="s">
        <v>72</v>
      </c>
      <c r="B99" s="1265">
        <v>97</v>
      </c>
      <c r="C99" s="324"/>
      <c r="D99" s="324"/>
      <c r="E99" s="324"/>
      <c r="F99" s="324"/>
    </row>
    <row r="100" spans="1:6">
      <c r="A100" s="1264" t="s">
        <v>73</v>
      </c>
      <c r="B100" s="1265">
        <v>931</v>
      </c>
      <c r="C100" s="324"/>
      <c r="D100" s="324"/>
      <c r="E100" s="324"/>
      <c r="F100" s="324"/>
    </row>
    <row r="101" spans="1:6">
      <c r="A101" s="1264" t="s">
        <v>74</v>
      </c>
      <c r="B101" s="1265">
        <v>139</v>
      </c>
      <c r="C101" s="324"/>
      <c r="D101" s="324"/>
      <c r="E101" s="324"/>
      <c r="F101" s="324"/>
    </row>
    <row r="102" spans="1:6">
      <c r="A102" s="1264" t="s">
        <v>75</v>
      </c>
      <c r="B102" s="1265">
        <v>150</v>
      </c>
      <c r="C102" s="324"/>
      <c r="D102" s="324"/>
      <c r="E102" s="324"/>
      <c r="F102" s="324"/>
    </row>
    <row r="103" spans="1:6">
      <c r="A103" s="1264" t="s">
        <v>76</v>
      </c>
      <c r="B103" s="1265">
        <v>294</v>
      </c>
      <c r="C103" s="324"/>
      <c r="D103" s="324"/>
      <c r="E103" s="324"/>
      <c r="F103" s="324"/>
    </row>
    <row r="104" spans="1:6">
      <c r="A104" s="1264" t="s">
        <v>77</v>
      </c>
      <c r="B104" s="1265">
        <v>4270</v>
      </c>
      <c r="C104" s="324"/>
      <c r="D104" s="324"/>
      <c r="E104" s="324"/>
      <c r="F104" s="324"/>
    </row>
    <row r="105" spans="1:6">
      <c r="A105" s="1259" t="s">
        <v>78</v>
      </c>
      <c r="B105" s="1267">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51</v>
      </c>
      <c r="C123" s="1265">
        <v>51</v>
      </c>
      <c r="D123" s="324"/>
      <c r="E123" s="324"/>
      <c r="F123" s="324"/>
    </row>
    <row r="124" spans="1:6">
      <c r="A124" s="1264" t="s">
        <v>88</v>
      </c>
      <c r="B124" s="1265">
        <v>3</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306</v>
      </c>
      <c r="C129" s="324"/>
      <c r="D129" s="324"/>
      <c r="E129" s="324"/>
      <c r="F129" s="324"/>
    </row>
    <row r="130" spans="1:6">
      <c r="A130" s="1264" t="s">
        <v>284</v>
      </c>
      <c r="B130" s="1265">
        <v>5</v>
      </c>
      <c r="C130" s="324"/>
      <c r="D130" s="324"/>
      <c r="E130" s="324"/>
      <c r="F130" s="324"/>
    </row>
    <row r="131" spans="1:6">
      <c r="A131" s="1264" t="s">
        <v>285</v>
      </c>
      <c r="B131" s="1265">
        <v>2</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93440.873883058681</v>
      </c>
      <c r="C3" s="43" t="s">
        <v>163</v>
      </c>
      <c r="D3" s="43"/>
      <c r="E3" s="153"/>
      <c r="F3" s="43"/>
      <c r="G3" s="43"/>
      <c r="H3" s="43"/>
      <c r="I3" s="43"/>
      <c r="J3" s="43"/>
      <c r="K3" s="96"/>
    </row>
    <row r="4" spans="1:11">
      <c r="A4" s="350" t="s">
        <v>164</v>
      </c>
      <c r="B4" s="49">
        <f>IF(ISERROR('SEAP template'!B78+'SEAP template'!C78),0,'SEAP template'!B78+'SEAP template'!C78)</f>
        <v>18364.220020101802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74.858823529411779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0.1783673314967216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106.94117647058823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4307.1428571428569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2.4828797190518E-2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1867.3710000000001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1867.3710000000001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0.1783673314967216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333.07798218436454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35698.014161565698</v>
      </c>
      <c r="C5" s="17">
        <f>IF(ISERROR('Eigen informatie GS &amp; warmtenet'!B59),0,'Eigen informatie GS &amp; warmtenet'!B59)</f>
        <v>0</v>
      </c>
      <c r="D5" s="30">
        <f>(SUM(HH_hh_gas_kWh,HH_rest_gas_kWh)/1000)*0.903</f>
        <v>73878.070263443631</v>
      </c>
      <c r="E5" s="17">
        <f>B32*B41</f>
        <v>3482.8654473885717</v>
      </c>
      <c r="F5" s="17">
        <f>B36*B45</f>
        <v>57076.091126548628</v>
      </c>
      <c r="G5" s="18"/>
      <c r="H5" s="17"/>
      <c r="I5" s="17"/>
      <c r="J5" s="17">
        <f>B35*B44+C35*C44</f>
        <v>315.03141756912191</v>
      </c>
      <c r="K5" s="17"/>
      <c r="L5" s="17"/>
      <c r="M5" s="17"/>
      <c r="N5" s="17">
        <f>B34*B43+C34*C43</f>
        <v>14254.953106292935</v>
      </c>
      <c r="O5" s="17">
        <f>B52*B53*B54</f>
        <v>716.2089171987185</v>
      </c>
      <c r="P5" s="17">
        <f>B60*B61*B62/1000-B60*B61*B62/1000/B63</f>
        <v>1000.726134230077</v>
      </c>
    </row>
    <row r="6" spans="1:16">
      <c r="A6" s="16" t="s">
        <v>573</v>
      </c>
      <c r="B6" s="739">
        <f>kWh_PV_kleiner_dan_10kW</f>
        <v>7892.1802092927055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43590.1943708584</v>
      </c>
      <c r="C8" s="21">
        <f>C5</f>
        <v>0</v>
      </c>
      <c r="D8" s="21">
        <f>D5</f>
        <v>73878.070263443631</v>
      </c>
      <c r="E8" s="21">
        <f>E5</f>
        <v>3482.8654473885717</v>
      </c>
      <c r="F8" s="21">
        <f>F5</f>
        <v>57076.091126548628</v>
      </c>
      <c r="G8" s="21"/>
      <c r="H8" s="21"/>
      <c r="I8" s="21"/>
      <c r="J8" s="21">
        <f>J5</f>
        <v>315.03141756912191</v>
      </c>
      <c r="K8" s="21"/>
      <c r="L8" s="21">
        <f>L5</f>
        <v>0</v>
      </c>
      <c r="M8" s="21">
        <f>M5</f>
        <v>0</v>
      </c>
      <c r="N8" s="21">
        <f>N5</f>
        <v>14254.953106292935</v>
      </c>
      <c r="O8" s="21">
        <f>O5</f>
        <v>716.2089171987185</v>
      </c>
      <c r="P8" s="21">
        <f>P5</f>
        <v>1000.726134230077</v>
      </c>
    </row>
    <row r="9" spans="1:16">
      <c r="B9" s="19"/>
      <c r="C9" s="19"/>
      <c r="D9" s="253"/>
      <c r="E9" s="19"/>
      <c r="F9" s="19"/>
      <c r="G9" s="19"/>
      <c r="H9" s="19"/>
      <c r="I9" s="19"/>
      <c r="J9" s="19"/>
      <c r="K9" s="19"/>
      <c r="L9" s="19"/>
      <c r="M9" s="19"/>
      <c r="N9" s="19"/>
      <c r="O9" s="19"/>
      <c r="P9" s="19"/>
    </row>
    <row r="10" spans="1:16">
      <c r="A10" s="24" t="s">
        <v>207</v>
      </c>
      <c r="B10" s="25">
        <f ca="1">'EF ele_warmte'!B12</f>
        <v>0.1783673314967216</v>
      </c>
      <c r="C10" s="25">
        <f ca="1">'EF ele_warmte'!B22</f>
        <v>2.4828797190518E-2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7775.0666493534281</v>
      </c>
      <c r="C12" s="23">
        <f ca="1">C10*C8</f>
        <v>0</v>
      </c>
      <c r="D12" s="23">
        <f>D8*D10</f>
        <v>14923.370193215615</v>
      </c>
      <c r="E12" s="23">
        <f>E10*E8</f>
        <v>790.61045655720579</v>
      </c>
      <c r="F12" s="23">
        <f>F10*F8</f>
        <v>15239.316330788484</v>
      </c>
      <c r="G12" s="23"/>
      <c r="H12" s="23"/>
      <c r="I12" s="23"/>
      <c r="J12" s="23">
        <f>J10*J8</f>
        <v>111.52112181946916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10239</v>
      </c>
      <c r="C26" s="36"/>
      <c r="D26" s="224"/>
    </row>
    <row r="27" spans="1:5" s="15" customFormat="1">
      <c r="A27" s="226" t="s">
        <v>784</v>
      </c>
      <c r="B27" s="37">
        <f>SUM(HH_hh_gas_aantal,HH_rest_gas_aantal)</f>
        <v>5989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5689.55</v>
      </c>
      <c r="C31" s="34" t="s">
        <v>104</v>
      </c>
      <c r="D31" s="170"/>
    </row>
    <row r="32" spans="1:5">
      <c r="A32" s="167" t="s">
        <v>72</v>
      </c>
      <c r="B32" s="33">
        <f>IF((B21*($B$26-($B$27-0.05*$B$27)-$B$60))&lt;0,0,B21*($B$26-($B$27-0.05*$B$27)-$B$60))</f>
        <v>68.709722808117519</v>
      </c>
      <c r="C32" s="34" t="s">
        <v>104</v>
      </c>
      <c r="D32" s="170"/>
    </row>
    <row r="33" spans="1:6">
      <c r="A33" s="167" t="s">
        <v>73</v>
      </c>
      <c r="B33" s="33">
        <f>IF((B22*($B$26-($B$27-0.05*$B$27)-$B$60))&lt;0,0,B22*($B$26-($B$27-0.05*$B$27)-$B$60))</f>
        <v>1115.7098173041961</v>
      </c>
      <c r="C33" s="34" t="s">
        <v>104</v>
      </c>
      <c r="D33" s="170"/>
    </row>
    <row r="34" spans="1:6">
      <c r="A34" s="167" t="s">
        <v>74</v>
      </c>
      <c r="B34" s="33">
        <f>IF((B24*($B$26-($B$27-0.05*$B$27)-$B$60))&lt;0,0,B24*($B$26-($B$27-0.05*$B$27)-$B$60))</f>
        <v>487.8544619396647</v>
      </c>
      <c r="C34" s="33">
        <f>B26*C24</f>
        <v>1720.1513018290918</v>
      </c>
      <c r="D34" s="229"/>
    </row>
    <row r="35" spans="1:6">
      <c r="A35" s="167" t="s">
        <v>76</v>
      </c>
      <c r="B35" s="33">
        <f>IF((B19*($B$26-($B$27-0.05*$B$27)-$B$60))&lt;0,0,B19*($B$26-($B$27-0.05*$B$27)-$B$60))</f>
        <v>29.867952696225849</v>
      </c>
      <c r="C35" s="33">
        <f>B35/2</f>
        <v>14.933976348112925</v>
      </c>
      <c r="D35" s="229"/>
    </row>
    <row r="36" spans="1:6">
      <c r="A36" s="167" t="s">
        <v>77</v>
      </c>
      <c r="B36" s="33">
        <f>IF((B18*($B$26-($B$27-0.05*$B$27)-$B$60))&lt;0,0,B18*($B$26-($B$27-0.05*$B$27)-$B$60))</f>
        <v>2752.3080452517943</v>
      </c>
      <c r="C36" s="34" t="s">
        <v>104</v>
      </c>
      <c r="D36" s="170"/>
    </row>
    <row r="37" spans="1:6">
      <c r="A37" s="167" t="s">
        <v>78</v>
      </c>
      <c r="B37" s="33">
        <f>B60</f>
        <v>95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361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24377.504711267007</v>
      </c>
      <c r="C5" s="17">
        <f>IF(ISERROR('Eigen informatie GS &amp; warmtenet'!B60),0,'Eigen informatie GS &amp; warmtenet'!B60)</f>
        <v>0</v>
      </c>
      <c r="D5" s="30">
        <f>SUM(D6:D12)</f>
        <v>24978.602817366136</v>
      </c>
      <c r="E5" s="17">
        <f>SUM(E6:E12)</f>
        <v>75.025320195556972</v>
      </c>
      <c r="F5" s="17">
        <f>SUM(F6:F12)</f>
        <v>4470.4650879829587</v>
      </c>
      <c r="G5" s="18"/>
      <c r="H5" s="17"/>
      <c r="I5" s="17"/>
      <c r="J5" s="17">
        <f>SUM(J6:J12)</f>
        <v>2.625267763691852E-2</v>
      </c>
      <c r="K5" s="17"/>
      <c r="L5" s="17"/>
      <c r="M5" s="17"/>
      <c r="N5" s="17">
        <f>SUM(N6:N12)</f>
        <v>921.71547301962732</v>
      </c>
      <c r="O5" s="17">
        <f>B38*B39*B40</f>
        <v>24.486303829205774</v>
      </c>
      <c r="P5" s="17">
        <f>B46*B47*B48/1000-B46*B47*B48/1000/B49</f>
        <v>105.07827661299004</v>
      </c>
      <c r="R5" s="32"/>
    </row>
    <row r="6" spans="1:18">
      <c r="A6" s="32" t="s">
        <v>53</v>
      </c>
      <c r="B6" s="37">
        <f>B26</f>
        <v>8822.0364744169201</v>
      </c>
      <c r="C6" s="33"/>
      <c r="D6" s="37">
        <f>IF(ISERROR(TER_kantoor_gas_kWh/1000),0,TER_kantoor_gas_kWh/1000)*0.903</f>
        <v>6875.3078516592032</v>
      </c>
      <c r="E6" s="33">
        <f>$C$26*'E Balans VL '!I12/100/3.6*1000000</f>
        <v>2.145581708935699</v>
      </c>
      <c r="F6" s="33">
        <f>$C$26*('E Balans VL '!L12+'E Balans VL '!N12)/100/3.6*1000000</f>
        <v>844.7658547725116</v>
      </c>
      <c r="G6" s="34"/>
      <c r="H6" s="33"/>
      <c r="I6" s="33"/>
      <c r="J6" s="33">
        <f>$C$26*('E Balans VL '!D12+'E Balans VL '!E12)/100/3.6*1000000</f>
        <v>0</v>
      </c>
      <c r="K6" s="33"/>
      <c r="L6" s="33"/>
      <c r="M6" s="33"/>
      <c r="N6" s="33">
        <f>$C$26*'E Balans VL '!Y12/100/3.6*1000000</f>
        <v>4.4787186766321332</v>
      </c>
      <c r="O6" s="33"/>
      <c r="P6" s="33"/>
      <c r="R6" s="32"/>
    </row>
    <row r="7" spans="1:18">
      <c r="A7" s="32" t="s">
        <v>52</v>
      </c>
      <c r="B7" s="37">
        <f t="shared" ref="B7:B12" si="0">B27</f>
        <v>1388.0058522483901</v>
      </c>
      <c r="C7" s="33"/>
      <c r="D7" s="37">
        <f>IF(ISERROR(TER_horeca_gas_kWh/1000),0,TER_horeca_gas_kWh/1000)*0.903</f>
        <v>2201.369705474096</v>
      </c>
      <c r="E7" s="33">
        <f>$C$27*'E Balans VL '!I9/100/3.6*1000000</f>
        <v>0</v>
      </c>
      <c r="F7" s="33">
        <f>$C$27*('E Balans VL '!L9+'E Balans VL '!N9)/100/3.6*1000000</f>
        <v>113.84297559289591</v>
      </c>
      <c r="G7" s="34"/>
      <c r="H7" s="33"/>
      <c r="I7" s="33"/>
      <c r="J7" s="33">
        <f>$C$27*('E Balans VL '!D9+'E Balans VL '!E9)/100/3.6*1000000</f>
        <v>0</v>
      </c>
      <c r="K7" s="33"/>
      <c r="L7" s="33"/>
      <c r="M7" s="33"/>
      <c r="N7" s="33">
        <f>$C$27*'E Balans VL '!Y9/100/3.6*1000000</f>
        <v>9.1161474092917203</v>
      </c>
      <c r="O7" s="33"/>
      <c r="P7" s="33"/>
      <c r="R7" s="32"/>
    </row>
    <row r="8" spans="1:18">
      <c r="A8" s="6" t="s">
        <v>51</v>
      </c>
      <c r="B8" s="37">
        <f t="shared" si="0"/>
        <v>9824.35689930027</v>
      </c>
      <c r="C8" s="33"/>
      <c r="D8" s="37">
        <f>IF(ISERROR(TER_handel_gas_kWh/1000),0,TER_handel_gas_kWh/1000)*0.903</f>
        <v>4517.6177512932281</v>
      </c>
      <c r="E8" s="33">
        <f>$C$28*'E Balans VL '!I13/100/3.6*1000000</f>
        <v>34.729610592642977</v>
      </c>
      <c r="F8" s="33">
        <f>$C$28*('E Balans VL '!L13+'E Balans VL '!N13)/100/3.6*1000000</f>
        <v>904.61311225547581</v>
      </c>
      <c r="G8" s="34"/>
      <c r="H8" s="33"/>
      <c r="I8" s="33"/>
      <c r="J8" s="33">
        <f>$C$28*('E Balans VL '!D13+'E Balans VL '!E13)/100/3.6*1000000</f>
        <v>0</v>
      </c>
      <c r="K8" s="33"/>
      <c r="L8" s="33"/>
      <c r="M8" s="33"/>
      <c r="N8" s="33">
        <f>$C$28*'E Balans VL '!Y13/100/3.6*1000000</f>
        <v>3.5579591145331282</v>
      </c>
      <c r="O8" s="33"/>
      <c r="P8" s="33"/>
      <c r="R8" s="32"/>
    </row>
    <row r="9" spans="1:18">
      <c r="A9" s="32" t="s">
        <v>50</v>
      </c>
      <c r="B9" s="37">
        <f t="shared" si="0"/>
        <v>1196.33956321609</v>
      </c>
      <c r="C9" s="33"/>
      <c r="D9" s="37">
        <f>IF(ISERROR(TER_gezond_gas_kWh/1000),0,TER_gezond_gas_kWh/1000)*0.903</f>
        <v>1743.9155580227925</v>
      </c>
      <c r="E9" s="33">
        <f>$C$29*'E Balans VL '!I10/100/3.6*1000000</f>
        <v>0</v>
      </c>
      <c r="F9" s="33">
        <f>$C$29*('E Balans VL '!L10+'E Balans VL '!N10)/100/3.6*1000000</f>
        <v>146.96543111679523</v>
      </c>
      <c r="G9" s="34"/>
      <c r="H9" s="33"/>
      <c r="I9" s="33"/>
      <c r="J9" s="33">
        <f>$C$29*('E Balans VL '!D10+'E Balans VL '!E10)/100/3.6*1000000</f>
        <v>0</v>
      </c>
      <c r="K9" s="33"/>
      <c r="L9" s="33"/>
      <c r="M9" s="33"/>
      <c r="N9" s="33">
        <f>$C$29*'E Balans VL '!Y10/100/3.6*1000000</f>
        <v>8.8221706037093437</v>
      </c>
      <c r="O9" s="33"/>
      <c r="P9" s="33"/>
      <c r="R9" s="32"/>
    </row>
    <row r="10" spans="1:18">
      <c r="A10" s="32" t="s">
        <v>49</v>
      </c>
      <c r="B10" s="37">
        <f t="shared" si="0"/>
        <v>2658.2782343331701</v>
      </c>
      <c r="C10" s="33"/>
      <c r="D10" s="37">
        <f>IF(ISERROR(TER_ander_gas_kWh/1000),0,TER_ander_gas_kWh/1000)*0.903</f>
        <v>8281.2204749548746</v>
      </c>
      <c r="E10" s="33">
        <f>$C$30*'E Balans VL '!I14/100/3.6*1000000</f>
        <v>38.150127893978294</v>
      </c>
      <c r="F10" s="33">
        <f>$C$30*('E Balans VL '!L14+'E Balans VL '!N14)/100/3.6*1000000</f>
        <v>2403.1676864340238</v>
      </c>
      <c r="G10" s="34"/>
      <c r="H10" s="33"/>
      <c r="I10" s="33"/>
      <c r="J10" s="33">
        <f>$C$30*('E Balans VL '!D14+'E Balans VL '!E14)/100/3.6*1000000</f>
        <v>2.625267763691852E-2</v>
      </c>
      <c r="K10" s="33"/>
      <c r="L10" s="33"/>
      <c r="M10" s="33"/>
      <c r="N10" s="33">
        <f>$C$30*'E Balans VL '!Y14/100/3.6*1000000</f>
        <v>894.36495198038665</v>
      </c>
      <c r="O10" s="33"/>
      <c r="P10" s="33"/>
      <c r="R10" s="32"/>
    </row>
    <row r="11" spans="1:18">
      <c r="A11" s="32" t="s">
        <v>54</v>
      </c>
      <c r="B11" s="37">
        <f t="shared" si="0"/>
        <v>488.48768775216598</v>
      </c>
      <c r="C11" s="33"/>
      <c r="D11" s="37">
        <f>IF(ISERROR(TER_onderwijs_gas_kWh/1000),0,TER_onderwijs_gas_kWh/1000)*0.903</f>
        <v>1359.1714759619422</v>
      </c>
      <c r="E11" s="33">
        <f>$C$31*'E Balans VL '!I11/100/3.6*1000000</f>
        <v>0</v>
      </c>
      <c r="F11" s="33">
        <f>$C$31*('E Balans VL '!L11+'E Balans VL '!N11)/100/3.6*1000000</f>
        <v>57.110027811255975</v>
      </c>
      <c r="G11" s="34"/>
      <c r="H11" s="33"/>
      <c r="I11" s="33"/>
      <c r="J11" s="33">
        <f>$C$31*('E Balans VL '!D11+'E Balans VL '!E11)/100/3.6*1000000</f>
        <v>0</v>
      </c>
      <c r="K11" s="33"/>
      <c r="L11" s="33"/>
      <c r="M11" s="33"/>
      <c r="N11" s="33">
        <f>$C$31*'E Balans VL '!Y11/100/3.6*1000000</f>
        <v>1.3755252350742837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3015</v>
      </c>
      <c r="C13" s="242">
        <f ca="1">'lokale energieproductie'!O40+'lokale energieproductie'!O33</f>
        <v>4307.1428571428569</v>
      </c>
      <c r="D13" s="302">
        <f ca="1">('lokale energieproductie'!P33+'lokale energieproductie'!P40)*(-1)</f>
        <v>-900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-7714.2857142857147</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27392.504711267007</v>
      </c>
      <c r="C16" s="21">
        <f t="shared" ca="1" si="1"/>
        <v>4307.1428571428569</v>
      </c>
      <c r="D16" s="21">
        <f t="shared" ca="1" si="1"/>
        <v>24078.602817366136</v>
      </c>
      <c r="E16" s="21">
        <f t="shared" si="1"/>
        <v>75.025320195556972</v>
      </c>
      <c r="F16" s="21">
        <f t="shared" ca="1" si="1"/>
        <v>4470.4650879829587</v>
      </c>
      <c r="G16" s="21">
        <f t="shared" si="1"/>
        <v>0</v>
      </c>
      <c r="H16" s="21">
        <f t="shared" si="1"/>
        <v>0</v>
      </c>
      <c r="I16" s="21">
        <f t="shared" si="1"/>
        <v>0</v>
      </c>
      <c r="J16" s="21">
        <f t="shared" si="1"/>
        <v>2.625267763691852E-2</v>
      </c>
      <c r="K16" s="21">
        <f t="shared" si="1"/>
        <v>0</v>
      </c>
      <c r="L16" s="21">
        <f t="shared" ca="1" si="1"/>
        <v>0</v>
      </c>
      <c r="M16" s="21">
        <f t="shared" si="1"/>
        <v>0</v>
      </c>
      <c r="N16" s="21">
        <f t="shared" ca="1" si="1"/>
        <v>0</v>
      </c>
      <c r="O16" s="21">
        <f>O5</f>
        <v>24.486303829205774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0.1783673314967216</v>
      </c>
      <c r="C18" s="25">
        <f ca="1">'EF ele_warmte'!B22</f>
        <v>2.4828797190518E-2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4885.9279683600707</v>
      </c>
      <c r="C20" s="23">
        <f t="shared" ref="C20:P20" ca="1" si="2">C16*C18</f>
        <v>106.94117647058823</v>
      </c>
      <c r="D20" s="23">
        <f t="shared" ca="1" si="2"/>
        <v>4863.8777691079595</v>
      </c>
      <c r="E20" s="23">
        <f t="shared" si="2"/>
        <v>17.030747684391432</v>
      </c>
      <c r="F20" s="23">
        <f t="shared" ca="1" si="2"/>
        <v>1193.61417849145</v>
      </c>
      <c r="G20" s="23">
        <f t="shared" si="2"/>
        <v>0</v>
      </c>
      <c r="H20" s="23">
        <f t="shared" si="2"/>
        <v>0</v>
      </c>
      <c r="I20" s="23">
        <f t="shared" si="2"/>
        <v>0</v>
      </c>
      <c r="J20" s="23">
        <f t="shared" si="2"/>
        <v>9.2934478834691553E-3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8822.0364744169201</v>
      </c>
      <c r="C26" s="39">
        <f>IF(ISERROR(B26*3.6/1000000/'E Balans VL '!Z12*100),0,B26*3.6/1000000/'E Balans VL '!Z12*100)</f>
        <v>0.24867045095144508</v>
      </c>
      <c r="D26" s="232" t="s">
        <v>660</v>
      </c>
      <c r="F26" s="6"/>
    </row>
    <row r="27" spans="1:18">
      <c r="A27" s="227" t="s">
        <v>52</v>
      </c>
      <c r="B27" s="33">
        <f>IF(ISERROR(TER_horeca_ele_kWh/1000),0,TER_horeca_ele_kWh/1000)</f>
        <v>1388.0058522483901</v>
      </c>
      <c r="C27" s="39">
        <f>IF(ISERROR(B27*3.6/1000000/'E Balans VL '!Z9*100),0,B27*3.6/1000000/'E Balans VL '!Z9*100)</f>
        <v>0.10290358274032947</v>
      </c>
      <c r="D27" s="232" t="s">
        <v>660</v>
      </c>
      <c r="F27" s="6"/>
    </row>
    <row r="28" spans="1:18">
      <c r="A28" s="167" t="s">
        <v>51</v>
      </c>
      <c r="B28" s="33">
        <f>IF(ISERROR(TER_handel_ele_kWh/1000),0,TER_handel_ele_kWh/1000)</f>
        <v>9824.35689930027</v>
      </c>
      <c r="C28" s="39">
        <f>IF(ISERROR(B28*3.6/1000000/'E Balans VL '!Z13*100),0,B28*3.6/1000000/'E Balans VL '!Z13*100)</f>
        <v>0.29431437442240788</v>
      </c>
      <c r="D28" s="232" t="s">
        <v>660</v>
      </c>
      <c r="F28" s="6"/>
    </row>
    <row r="29" spans="1:18">
      <c r="A29" s="227" t="s">
        <v>50</v>
      </c>
      <c r="B29" s="33">
        <f>IF(ISERROR(TER_gezond_ele_kWh/1000),0,TER_gezond_ele_kWh/1000)</f>
        <v>1196.33956321609</v>
      </c>
      <c r="C29" s="39">
        <f>IF(ISERROR(B29*3.6/1000000/'E Balans VL '!Z10*100),0,B29*3.6/1000000/'E Balans VL '!Z10*100)</f>
        <v>0.11829452491383997</v>
      </c>
      <c r="D29" s="232" t="s">
        <v>660</v>
      </c>
      <c r="F29" s="6"/>
    </row>
    <row r="30" spans="1:18">
      <c r="A30" s="227" t="s">
        <v>49</v>
      </c>
      <c r="B30" s="33">
        <f>IF(ISERROR(TER_ander_ele_kWh/1000),0,TER_ander_ele_kWh/1000)</f>
        <v>2658.2782343331701</v>
      </c>
      <c r="C30" s="39">
        <f>IF(ISERROR(B30*3.6/1000000/'E Balans VL '!Z14*100),0,B30*3.6/1000000/'E Balans VL '!Z14*100)</f>
        <v>0.1075194988542738</v>
      </c>
      <c r="D30" s="232" t="s">
        <v>660</v>
      </c>
      <c r="F30" s="6"/>
    </row>
    <row r="31" spans="1:18">
      <c r="A31" s="227" t="s">
        <v>54</v>
      </c>
      <c r="B31" s="33">
        <f>IF(ISERROR(TER_onderwijs_ele_kWh/1000),0,TER_onderwijs_ele_kWh/1000)</f>
        <v>488.48768775216598</v>
      </c>
      <c r="C31" s="39">
        <f>IF(ISERROR(B31*3.6/1000000/'E Balans VL '!Z11*100),0,B31*3.6/1000000/'E Balans VL '!Z11*100)</f>
        <v>0.1342089316567531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5</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16964.398308837168</v>
      </c>
      <c r="C5" s="17">
        <f>IF(ISERROR('Eigen informatie GS &amp; warmtenet'!B61),0,'Eigen informatie GS &amp; warmtenet'!B61)</f>
        <v>0</v>
      </c>
      <c r="D5" s="30">
        <f>SUM(D6:D15)</f>
        <v>140279.13776728886</v>
      </c>
      <c r="E5" s="17">
        <f>SUM(E6:E15)</f>
        <v>56.404288795406728</v>
      </c>
      <c r="F5" s="17">
        <f>SUM(F6:F15)</f>
        <v>2651.1068802342397</v>
      </c>
      <c r="G5" s="18"/>
      <c r="H5" s="17"/>
      <c r="I5" s="17"/>
      <c r="J5" s="17">
        <f>SUM(J6:J15)</f>
        <v>3.5461815935105534</v>
      </c>
      <c r="K5" s="17"/>
      <c r="L5" s="17"/>
      <c r="M5" s="17"/>
      <c r="N5" s="17">
        <f>SUM(N6:N15)</f>
        <v>262.49793742082647</v>
      </c>
      <c r="O5" s="17">
        <f>B43*B44*B45</f>
        <v>0</v>
      </c>
      <c r="P5" s="17">
        <f>B51*B52*B53/1000-B51*B52*B53/1000/B54</f>
        <v>0</v>
      </c>
      <c r="R5" s="32"/>
    </row>
    <row r="6" spans="1:18">
      <c r="A6" s="6" t="s">
        <v>34</v>
      </c>
      <c r="B6" s="37">
        <f>IF( ISERROR(IND_ijzer_ele_kWh/1000),0,IND_ijzer_ele_kWh/1000)</f>
        <v>269.40253735469997</v>
      </c>
      <c r="C6" s="33"/>
      <c r="D6" s="37">
        <f>IF( ISERROR(IND_ijzer_gas_kWh/1000),0,IND_ijzer_gas_kWh/1000)*0.903</f>
        <v>129775.73593007181</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3507.3117928480397</v>
      </c>
      <c r="C8" s="33"/>
      <c r="D8" s="37">
        <f>IF( ISERROR(IND_metaal_Gas_kWH/1000),0,IND_metaal_Gas_kWH/1000)*0.903</f>
        <v>653.45368558250266</v>
      </c>
      <c r="E8" s="33">
        <f>C30*'E Balans VL '!I18/100/3.6*1000000</f>
        <v>19.168982374358436</v>
      </c>
      <c r="F8" s="33">
        <f>C30*'E Balans VL '!L18/100/3.6*1000000+C30*'E Balans VL '!N18/100/3.6*1000000</f>
        <v>240.07026915157417</v>
      </c>
      <c r="G8" s="34"/>
      <c r="H8" s="33"/>
      <c r="I8" s="33"/>
      <c r="J8" s="40">
        <f>C30*'E Balans VL '!D18/100/3.6*1000000+C30*'E Balans VL '!E18/100/3.6*1000000</f>
        <v>3.4952726433260839</v>
      </c>
      <c r="K8" s="33"/>
      <c r="L8" s="33"/>
      <c r="M8" s="33"/>
      <c r="N8" s="33">
        <f>C30*'E Balans VL '!Y18/100/3.6*1000000</f>
        <v>51.874830296620068</v>
      </c>
      <c r="O8" s="33"/>
      <c r="P8" s="33"/>
      <c r="R8" s="32"/>
    </row>
    <row r="9" spans="1:18">
      <c r="A9" s="6" t="s">
        <v>32</v>
      </c>
      <c r="B9" s="37">
        <f t="shared" si="0"/>
        <v>3402.8792571091299</v>
      </c>
      <c r="C9" s="33"/>
      <c r="D9" s="37">
        <f>IF( ISERROR(IND_andere_gas_kWh/1000),0,IND_andere_gas_kWh/1000)*0.903</f>
        <v>2195.7857013939483</v>
      </c>
      <c r="E9" s="33">
        <f>C31*'E Balans VL '!I19/100/3.6*1000000</f>
        <v>12.805934513480207</v>
      </c>
      <c r="F9" s="33">
        <f>C31*'E Balans VL '!L19/100/3.6*1000000+C31*'E Balans VL '!N19/100/3.6*1000000</f>
        <v>2190.1851121329678</v>
      </c>
      <c r="G9" s="34"/>
      <c r="H9" s="33"/>
      <c r="I9" s="33"/>
      <c r="J9" s="40">
        <f>C31*'E Balans VL '!D19/100/3.6*1000000+C31*'E Balans VL '!E19/100/3.6*1000000</f>
        <v>0</v>
      </c>
      <c r="K9" s="33"/>
      <c r="L9" s="33"/>
      <c r="M9" s="33"/>
      <c r="N9" s="33">
        <f>C31*'E Balans VL '!Y19/100/3.6*1000000</f>
        <v>122.93129016473358</v>
      </c>
      <c r="O9" s="33"/>
      <c r="P9" s="33"/>
      <c r="R9" s="32"/>
    </row>
    <row r="10" spans="1:18">
      <c r="A10" s="6" t="s">
        <v>40</v>
      </c>
      <c r="B10" s="37">
        <f t="shared" si="0"/>
        <v>2668.5260488568401</v>
      </c>
      <c r="C10" s="33"/>
      <c r="D10" s="37">
        <f>IF( ISERROR(IND_voed_gas_kWh/1000),0,IND_voed_gas_kWh/1000)*0.903</f>
        <v>1289.6798505591835</v>
      </c>
      <c r="E10" s="33">
        <f>C32*'E Balans VL '!I20/100/3.6*1000000</f>
        <v>5.28254718744678</v>
      </c>
      <c r="F10" s="33">
        <f>C32*'E Balans VL '!L20/100/3.6*1000000+C32*'E Balans VL '!N20/100/3.6*1000000</f>
        <v>56.676220620353831</v>
      </c>
      <c r="G10" s="34"/>
      <c r="H10" s="33"/>
      <c r="I10" s="33"/>
      <c r="J10" s="40">
        <f>C32*'E Balans VL '!D20/100/3.6*1000000+C32*'E Balans VL '!E20/100/3.6*1000000</f>
        <v>0</v>
      </c>
      <c r="K10" s="33"/>
      <c r="L10" s="33"/>
      <c r="M10" s="33"/>
      <c r="N10" s="33">
        <f>C32*'E Balans VL '!Y20/100/3.6*1000000</f>
        <v>107.5517400615541</v>
      </c>
      <c r="O10" s="33"/>
      <c r="P10" s="33"/>
      <c r="R10" s="32"/>
    </row>
    <row r="11" spans="1:18">
      <c r="A11" s="6" t="s">
        <v>39</v>
      </c>
      <c r="B11" s="37">
        <f t="shared" si="0"/>
        <v>6861.9518911535006</v>
      </c>
      <c r="C11" s="33"/>
      <c r="D11" s="37">
        <f>IF( ISERROR(IND_textiel_gas_kWh/1000),0,IND_textiel_gas_kWh/1000)*0.903</f>
        <v>6128.8273217857623</v>
      </c>
      <c r="E11" s="33">
        <f>C33*'E Balans VL '!I21/100/3.6*1000000</f>
        <v>13.361824383584731</v>
      </c>
      <c r="F11" s="33">
        <f>C33*'E Balans VL '!L21/100/3.6*1000000+C33*'E Balans VL '!N21/100/3.6*1000000</f>
        <v>162.53825166574367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218.86998421811001</v>
      </c>
      <c r="C13" s="33"/>
      <c r="D13" s="37">
        <f>IF( ISERROR(IND_papier_gas_kWh/1000),0,IND_papier_gas_kWh/1000)*0.903</f>
        <v>219.48602721126653</v>
      </c>
      <c r="E13" s="33">
        <f>C35*'E Balans VL '!I23/100/3.6*1000000</f>
        <v>0</v>
      </c>
      <c r="F13" s="33">
        <f>C35*'E Balans VL '!L23/100/3.6*1000000+C35*'E Balans VL '!N23/100/3.6*1000000</f>
        <v>2.6812954618539032E-2</v>
      </c>
      <c r="G13" s="34"/>
      <c r="H13" s="33"/>
      <c r="I13" s="33"/>
      <c r="J13" s="40">
        <f>C35*'E Balans VL '!D23/100/3.6*1000000+C35*'E Balans VL '!E23/100/3.6*1000000</f>
        <v>1.7053219813577811E-2</v>
      </c>
      <c r="K13" s="33"/>
      <c r="L13" s="33"/>
      <c r="M13" s="33"/>
      <c r="N13" s="33">
        <f>C35*'E Balans VL '!Y23/100/3.6*1000000</f>
        <v>-20.084821669678707</v>
      </c>
      <c r="O13" s="33"/>
      <c r="P13" s="33"/>
      <c r="R13" s="32"/>
    </row>
    <row r="14" spans="1:18">
      <c r="A14" s="6" t="s">
        <v>33</v>
      </c>
      <c r="B14" s="37">
        <f t="shared" si="0"/>
        <v>27.741114039017202</v>
      </c>
      <c r="C14" s="33"/>
      <c r="D14" s="37">
        <f>IF( ISERROR(IND_chemie_gas_kWh/1000),0,IND_chemie_gas_kWh/1000)*0.903</f>
        <v>0</v>
      </c>
      <c r="E14" s="33">
        <f>C36*'E Balans VL '!I24/100/3.6*1000000</f>
        <v>5.3672783624073483</v>
      </c>
      <c r="F14" s="33">
        <f>C36*'E Balans VL '!L24/100/3.6*1000000+C36*'E Balans VL '!N24/100/3.6*1000000</f>
        <v>0.43269229472663928</v>
      </c>
      <c r="G14" s="34"/>
      <c r="H14" s="33"/>
      <c r="I14" s="33"/>
      <c r="J14" s="40">
        <f>C36*'E Balans VL '!D24/100/3.6*1000000+C36*'E Balans VL '!E24/100/3.6*1000000</f>
        <v>0</v>
      </c>
      <c r="K14" s="33"/>
      <c r="L14" s="33"/>
      <c r="M14" s="33"/>
      <c r="N14" s="33">
        <f>C36*'E Balans VL '!Y24/100/3.6*1000000</f>
        <v>6.1852597604620174E-3</v>
      </c>
      <c r="O14" s="33"/>
      <c r="P14" s="33"/>
      <c r="R14" s="32"/>
    </row>
    <row r="15" spans="1:18">
      <c r="A15" s="6" t="s">
        <v>259</v>
      </c>
      <c r="B15" s="37">
        <f t="shared" si="0"/>
        <v>7.7156832578290997</v>
      </c>
      <c r="C15" s="33"/>
      <c r="D15" s="37">
        <f>IF( ISERROR(IND_rest_gas_kWh/1000),0,IND_rest_gas_kWh/1000)*0.903</f>
        <v>16.169250684377204</v>
      </c>
      <c r="E15" s="33">
        <f>C37*'E Balans VL '!I15/100/3.6*1000000</f>
        <v>0.41772197412922879</v>
      </c>
      <c r="F15" s="33">
        <f>C37*'E Balans VL '!L15/100/3.6*1000000+C37*'E Balans VL '!N15/100/3.6*1000000</f>
        <v>1.1775214142552355</v>
      </c>
      <c r="G15" s="34"/>
      <c r="H15" s="33"/>
      <c r="I15" s="33"/>
      <c r="J15" s="40">
        <f>C37*'E Balans VL '!D15/100/3.6*1000000+C37*'E Balans VL '!E15/100/3.6*1000000</f>
        <v>3.3855730370891901E-2</v>
      </c>
      <c r="K15" s="33"/>
      <c r="L15" s="33"/>
      <c r="M15" s="33"/>
      <c r="N15" s="33">
        <f>C37*'E Balans VL '!Y15/100/3.6*1000000</f>
        <v>0.21871330783699464</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16964.398308837168</v>
      </c>
      <c r="C18" s="21">
        <f>C5+C16</f>
        <v>0</v>
      </c>
      <c r="D18" s="21">
        <f>MAX((D5+D16),0)</f>
        <v>140279.13776728886</v>
      </c>
      <c r="E18" s="21">
        <f>MAX((E5+E16),0)</f>
        <v>56.404288795406728</v>
      </c>
      <c r="F18" s="21">
        <f>MAX((F5+F16),0)</f>
        <v>2651.1068802342397</v>
      </c>
      <c r="G18" s="21"/>
      <c r="H18" s="21"/>
      <c r="I18" s="21"/>
      <c r="J18" s="21">
        <f>MAX((J5+J16),0)</f>
        <v>3.5461815935105534</v>
      </c>
      <c r="K18" s="21"/>
      <c r="L18" s="21">
        <f>MAX((L5+L16),0)</f>
        <v>0</v>
      </c>
      <c r="M18" s="21"/>
      <c r="N18" s="21">
        <f>MAX((N5+N16),0)</f>
        <v>262.49793742082647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0.1783673314967216</v>
      </c>
      <c r="C20" s="25">
        <f ca="1">'EF ele_warmte'!B22</f>
        <v>2.4828797190518E-2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3025.8944567947824</v>
      </c>
      <c r="C22" s="23">
        <f ca="1">C18*C20</f>
        <v>0</v>
      </c>
      <c r="D22" s="23">
        <f>D18*D20</f>
        <v>28336.385828992352</v>
      </c>
      <c r="E22" s="23">
        <f>E18*E20</f>
        <v>12.803773556557328</v>
      </c>
      <c r="F22" s="23">
        <f>F18*F20</f>
        <v>707.84553702254209</v>
      </c>
      <c r="G22" s="23"/>
      <c r="H22" s="23"/>
      <c r="I22" s="23"/>
      <c r="J22" s="23">
        <f>J18*J20</f>
        <v>1.2553482841027359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3507.3117928480397</v>
      </c>
      <c r="C30" s="39">
        <f>IF(ISERROR(B30*3.6/1000000/'E Balans VL '!Z18*100),0,B30*3.6/1000000/'E Balans VL '!Z18*100)</f>
        <v>0.1956917809638237</v>
      </c>
      <c r="D30" s="232" t="s">
        <v>660</v>
      </c>
    </row>
    <row r="31" spans="1:18">
      <c r="A31" s="6" t="s">
        <v>32</v>
      </c>
      <c r="B31" s="37">
        <f>IF( ISERROR(IND_ander_ele_kWh/1000),0,IND_ander_ele_kWh/1000)</f>
        <v>3402.8792571091299</v>
      </c>
      <c r="C31" s="39">
        <f>IF(ISERROR(B31*3.6/1000000/'E Balans VL '!Z19*100),0,B31*3.6/1000000/'E Balans VL '!Z19*100)</f>
        <v>0.13850768619823978</v>
      </c>
      <c r="D31" s="232" t="s">
        <v>660</v>
      </c>
    </row>
    <row r="32" spans="1:18">
      <c r="A32" s="167" t="s">
        <v>40</v>
      </c>
      <c r="B32" s="37">
        <f>IF( ISERROR(IND_voed_ele_kWh/1000),0,IND_voed_ele_kWh/1000)</f>
        <v>2668.5260488568401</v>
      </c>
      <c r="C32" s="39">
        <f>IF(ISERROR(B32*3.6/1000000/'E Balans VL '!Z20*100),0,B32*3.6/1000000/'E Balans VL '!Z20*100)</f>
        <v>7.761365617130149E-2</v>
      </c>
      <c r="D32" s="232" t="s">
        <v>660</v>
      </c>
    </row>
    <row r="33" spans="1:5">
      <c r="A33" s="167" t="s">
        <v>39</v>
      </c>
      <c r="B33" s="37">
        <f>IF( ISERROR(IND_textiel_ele_kWh/1000),0,IND_textiel_ele_kWh/1000)</f>
        <v>6861.9518911535006</v>
      </c>
      <c r="C33" s="39">
        <f>IF(ISERROR(B33*3.6/1000000/'E Balans VL '!Z21*100),0,B33*3.6/1000000/'E Balans VL '!Z21*100)</f>
        <v>1.0107704933999797</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218.86998421811001</v>
      </c>
      <c r="C35" s="39">
        <f>IF(ISERROR(B35*3.6/1000000/'E Balans VL '!Z22*100),0,B35*3.6/1000000/'E Balans VL '!Z22*100)</f>
        <v>8.7801614582452212E-2</v>
      </c>
      <c r="D35" s="232" t="s">
        <v>660</v>
      </c>
    </row>
    <row r="36" spans="1:5">
      <c r="A36" s="167" t="s">
        <v>33</v>
      </c>
      <c r="B36" s="37">
        <f>IF( ISERROR(IND_chemie_ele_kWh/1000),0,IND_chemie_ele_kWh/1000)</f>
        <v>27.741114039017202</v>
      </c>
      <c r="C36" s="39">
        <f>IF(ISERROR(B36*3.6/1000000/'E Balans VL '!Z24*100),0,B36*3.6/1000000/'E Balans VL '!Z24*100)</f>
        <v>8.3804799163203199E-4</v>
      </c>
      <c r="D36" s="232" t="s">
        <v>660</v>
      </c>
    </row>
    <row r="37" spans="1:5">
      <c r="A37" s="167" t="s">
        <v>259</v>
      </c>
      <c r="B37" s="37">
        <f>IF( ISERROR(IND_rest_ele_kWh/1000),0,IND_rest_ele_kWh/1000)</f>
        <v>7.7156832578290997</v>
      </c>
      <c r="C37" s="39">
        <f>IF(ISERROR(B37*3.6/1000000/'E Balans VL '!Z15*100),0,B37*3.6/1000000/'E Balans VL '!Z15*100)</f>
        <v>6.2146287996099812E-5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2361.4702614933899</v>
      </c>
      <c r="C5" s="17">
        <f>'Eigen informatie GS &amp; warmtenet'!B62</f>
        <v>0</v>
      </c>
      <c r="D5" s="30">
        <f>IF(ISERROR(SUM(LB_lb_gas_kWh,LB_rest_gas_kWh)/1000),0,SUM(LB_lb_gas_kWh,LB_rest_gas_kWh)/1000)*0.903</f>
        <v>73.900870413058612</v>
      </c>
      <c r="E5" s="17">
        <f>B17*'E Balans VL '!I25/3.6*1000000/100</f>
        <v>69.622819491865982</v>
      </c>
      <c r="F5" s="17">
        <f>B17*('E Balans VL '!L25/3.6*1000000+'E Balans VL '!N25/3.6*1000000)/100</f>
        <v>7505.5917319481759</v>
      </c>
      <c r="G5" s="18"/>
      <c r="H5" s="17"/>
      <c r="I5" s="17"/>
      <c r="J5" s="17">
        <f>('E Balans VL '!D25+'E Balans VL '!E25)/3.6*1000000*landbouw!B17/100</f>
        <v>595.54829875855114</v>
      </c>
      <c r="K5" s="17"/>
      <c r="L5" s="17">
        <f>L6*(-1)</f>
        <v>0</v>
      </c>
      <c r="M5" s="17"/>
      <c r="N5" s="17">
        <f>N6*(-1)</f>
        <v>0</v>
      </c>
      <c r="O5" s="17"/>
      <c r="P5" s="17"/>
      <c r="R5" s="32"/>
    </row>
    <row r="6" spans="1:18">
      <c r="A6" s="16" t="s">
        <v>466</v>
      </c>
      <c r="B6" s="17" t="s">
        <v>204</v>
      </c>
      <c r="C6" s="17">
        <f>'lokale energieproductie'!O41+'lokale energieproductie'!O34</f>
        <v>0</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2361.4702614933899</v>
      </c>
      <c r="C8" s="21">
        <f>C5+C6</f>
        <v>0</v>
      </c>
      <c r="D8" s="21">
        <f>MAX((D5+D6),0)</f>
        <v>73.900870413058612</v>
      </c>
      <c r="E8" s="21">
        <f>MAX((E5+E6),0)</f>
        <v>69.622819491865982</v>
      </c>
      <c r="F8" s="21">
        <f>MAX((F5+F6),0)</f>
        <v>7505.5917319481759</v>
      </c>
      <c r="G8" s="21"/>
      <c r="H8" s="21"/>
      <c r="I8" s="21"/>
      <c r="J8" s="21">
        <f>MAX((J5+J6),0)</f>
        <v>595.54829875855114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0.1783673314967216</v>
      </c>
      <c r="C10" s="31">
        <f ca="1">'EF ele_warmte'!B22</f>
        <v>2.4828797190518E-2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421.20914895144131</v>
      </c>
      <c r="C12" s="23">
        <f ca="1">C8*C10</f>
        <v>0</v>
      </c>
      <c r="D12" s="23">
        <f>D8*D10</f>
        <v>14.927975823437841</v>
      </c>
      <c r="E12" s="23">
        <f>E8*E10</f>
        <v>15.804380024653579</v>
      </c>
      <c r="F12" s="23">
        <f>F8*F10</f>
        <v>2003.992992430163</v>
      </c>
      <c r="G12" s="23"/>
      <c r="H12" s="23"/>
      <c r="I12" s="23"/>
      <c r="J12" s="23">
        <f>J8*J10</f>
        <v>210.82409776052708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0.32434177811612708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337.53694609643242</v>
      </c>
      <c r="C26" s="242">
        <f>B26*'GWP N2O_CH4'!B5</f>
        <v>7088.2758680250809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149.17700368880762</v>
      </c>
      <c r="C27" s="242">
        <f>B27*'GWP N2O_CH4'!B5</f>
        <v>3132.7170774649599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5.416997043567779</v>
      </c>
      <c r="C28" s="242">
        <f>B28*'GWP N2O_CH4'!B4</f>
        <v>1679.2690835060114</v>
      </c>
      <c r="D28" s="50"/>
    </row>
    <row r="29" spans="1:4">
      <c r="A29" s="41" t="s">
        <v>266</v>
      </c>
      <c r="B29" s="242">
        <f>B34*'ha_N2O bodem landbouw'!B4</f>
        <v>27.560988601620679</v>
      </c>
      <c r="C29" s="242">
        <f>B29*'GWP N2O_CH4'!B4</f>
        <v>8543.9064665024107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6.2812280113079206E-3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5.0376129997011106E-4</v>
      </c>
      <c r="C5" s="430" t="s">
        <v>204</v>
      </c>
      <c r="D5" s="415">
        <f>SUM(D6:D11)</f>
        <v>1.0235072877327327E-3</v>
      </c>
      <c r="E5" s="415">
        <f>SUM(E6:E11)</f>
        <v>5.4625679935657026E-4</v>
      </c>
      <c r="F5" s="428" t="s">
        <v>204</v>
      </c>
      <c r="G5" s="415">
        <f>SUM(G6:G11)</f>
        <v>0.22957875966663413</v>
      </c>
      <c r="H5" s="415">
        <f>SUM(H6:H11)</f>
        <v>6.6888253487947455E-2</v>
      </c>
      <c r="I5" s="430" t="s">
        <v>204</v>
      </c>
      <c r="J5" s="430" t="s">
        <v>204</v>
      </c>
      <c r="K5" s="430" t="s">
        <v>204</v>
      </c>
      <c r="L5" s="430" t="s">
        <v>204</v>
      </c>
      <c r="M5" s="415">
        <f>SUM(M6:M11)</f>
        <v>1.7575461284172755E-2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2.0343740391999641E-4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3.5502803941623559E-4</v>
      </c>
      <c r="E6" s="844">
        <f>vkm_GW_PW*SUMIFS(TableVerdeelsleutelVkm[LPG],TableVerdeelsleutelVkm[Voertuigtype],"Lichte voertuigen")*SUMIFS(TableECFTransport[EnergieConsumptieFactor (PJ per km)],TableECFTransport[Index],CONCATENATE($A6,"_LPG_LPG"))</f>
        <v>1.9520528950287629E-4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6.0079175333507359E-2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2.3440421033030515E-2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5.0120556922595236E-3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9.5181984170507966E-7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3.9393391626014851E-2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4.3173200506176668E-7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2.2179108349047669E-3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2.9880428267035523E-4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6.6847924831649707E-4</v>
      </c>
      <c r="E8" s="418">
        <f>vkm_NGW_PW*SUMIFS(TableVerdeelsleutelVkm[LPG],TableVerdeelsleutelVkm[Voertuigtype],"Lichte voertuigen")*SUMIFS(TableECFTransport[EnergieConsumptieFactor (PJ per km)],TableECFTransport[Index],CONCATENATE($A8,"_LPG_LPG"))</f>
        <v>3.51051509853694E-4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9.9844280320254386E-2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4.3447089861809465E-2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8.6417022260737008E-3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5.6779353805426098E-7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3.026191238685751E-2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3.1086110240895353E-7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1.7037925309347638E-3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139.93369443614196</v>
      </c>
      <c r="C14" s="21"/>
      <c r="D14" s="21">
        <f t="shared" ref="D14:M14" si="0">((D5)*10^9/3600)+D12</f>
        <v>284.30757992575911</v>
      </c>
      <c r="E14" s="21">
        <f t="shared" si="0"/>
        <v>151.73799982126951</v>
      </c>
      <c r="F14" s="21"/>
      <c r="G14" s="21">
        <f t="shared" si="0"/>
        <v>63771.87768517615</v>
      </c>
      <c r="H14" s="21">
        <f t="shared" si="0"/>
        <v>18580.070413318739</v>
      </c>
      <c r="I14" s="21"/>
      <c r="J14" s="21"/>
      <c r="K14" s="21"/>
      <c r="L14" s="21"/>
      <c r="M14" s="21">
        <f t="shared" si="0"/>
        <v>4882.0725789368762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0.1783673314967216</v>
      </c>
      <c r="C16" s="56">
        <f ca="1">'EF ele_warmte'!B22</f>
        <v>2.4828797190518E-2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24.959599663052281</v>
      </c>
      <c r="C18" s="23"/>
      <c r="D18" s="23">
        <f t="shared" ref="D18:M18" si="1">D14*D16</f>
        <v>57.430131145003344</v>
      </c>
      <c r="E18" s="23">
        <f t="shared" si="1"/>
        <v>34.444525959428184</v>
      </c>
      <c r="F18" s="23"/>
      <c r="G18" s="23">
        <f t="shared" si="1"/>
        <v>17027.091341942032</v>
      </c>
      <c r="H18" s="23">
        <f t="shared" si="1"/>
        <v>4626.4375329163659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5.2909397918567248E-5</v>
      </c>
      <c r="C50" s="313">
        <f t="shared" ref="C50:P50" si="2">SUM(C51:C52)</f>
        <v>0</v>
      </c>
      <c r="D50" s="313">
        <f t="shared" si="2"/>
        <v>0</v>
      </c>
      <c r="E50" s="313">
        <f t="shared" si="2"/>
        <v>0</v>
      </c>
      <c r="F50" s="313">
        <f t="shared" si="2"/>
        <v>0</v>
      </c>
      <c r="G50" s="313">
        <f t="shared" si="2"/>
        <v>3.7765774986856264E-3</v>
      </c>
      <c r="H50" s="313">
        <f t="shared" si="2"/>
        <v>0</v>
      </c>
      <c r="I50" s="313">
        <f t="shared" si="2"/>
        <v>0</v>
      </c>
      <c r="J50" s="313">
        <f t="shared" si="2"/>
        <v>0</v>
      </c>
      <c r="K50" s="313">
        <f t="shared" si="2"/>
        <v>0</v>
      </c>
      <c r="L50" s="313">
        <f t="shared" si="2"/>
        <v>0</v>
      </c>
      <c r="M50" s="313">
        <f t="shared" si="2"/>
        <v>2.0853729916078481E-4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5.2909397918567248E-5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3.7765774986856264E-3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2.0853729916078481E-4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14.697054977379793</v>
      </c>
      <c r="C54" s="21">
        <f t="shared" ref="C54:P54" si="3">(C50)*10^9/3600</f>
        <v>0</v>
      </c>
      <c r="D54" s="21">
        <f t="shared" si="3"/>
        <v>0</v>
      </c>
      <c r="E54" s="21">
        <f t="shared" si="3"/>
        <v>0</v>
      </c>
      <c r="F54" s="21">
        <f t="shared" si="3"/>
        <v>0</v>
      </c>
      <c r="G54" s="21">
        <f t="shared" si="3"/>
        <v>1049.0493051904518</v>
      </c>
      <c r="H54" s="21">
        <f t="shared" si="3"/>
        <v>0</v>
      </c>
      <c r="I54" s="21">
        <f t="shared" si="3"/>
        <v>0</v>
      </c>
      <c r="J54" s="21">
        <f t="shared" si="3"/>
        <v>0</v>
      </c>
      <c r="K54" s="21">
        <f t="shared" si="3"/>
        <v>0</v>
      </c>
      <c r="L54" s="21">
        <f t="shared" si="3"/>
        <v>0</v>
      </c>
      <c r="M54" s="21">
        <f t="shared" si="3"/>
        <v>57.927027544662444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0.1783673314967216</v>
      </c>
      <c r="C56" s="56">
        <f ca="1">'EF ele_warmte'!B22</f>
        <v>2.4828797190518E-2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2.6214744771758438</v>
      </c>
      <c r="C58" s="23">
        <f t="shared" ref="C58:P58" ca="1" si="4">C54*C56</f>
        <v>0</v>
      </c>
      <c r="D58" s="23">
        <f t="shared" si="4"/>
        <v>0</v>
      </c>
      <c r="E58" s="23">
        <f t="shared" si="4"/>
        <v>0</v>
      </c>
      <c r="F58" s="23">
        <f t="shared" si="4"/>
        <v>0</v>
      </c>
      <c r="G58" s="23">
        <f t="shared" si="4"/>
        <v>280.09616448585064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3823.398856916674</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11525.821163185128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3015</v>
      </c>
      <c r="C8" s="540">
        <f>B50</f>
        <v>370.58823529411768</v>
      </c>
      <c r="D8" s="541"/>
      <c r="E8" s="541">
        <f>E50</f>
        <v>0</v>
      </c>
      <c r="F8" s="542"/>
      <c r="G8" s="543"/>
      <c r="H8" s="541">
        <f>I50</f>
        <v>0</v>
      </c>
      <c r="I8" s="541">
        <f>G50+F50</f>
        <v>0</v>
      </c>
      <c r="J8" s="541">
        <f>H50+D50+C50</f>
        <v>3176.4705882352946</v>
      </c>
      <c r="K8" s="541"/>
      <c r="L8" s="541"/>
      <c r="M8" s="541"/>
      <c r="N8" s="544"/>
      <c r="O8" s="545">
        <f>C8*$C$12+D8*$D$12+E8*$E$12+F8*$F$12+G8*$G$12+H8*$H$12+I8*$I$12+J8*$J$12</f>
        <v>74.858823529411779</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18364.220020101802</v>
      </c>
      <c r="C10" s="555">
        <f t="shared" ref="C10:L10" si="0">SUM(C8:C9)</f>
        <v>370.58823529411768</v>
      </c>
      <c r="D10" s="555">
        <f t="shared" si="0"/>
        <v>0</v>
      </c>
      <c r="E10" s="555">
        <f t="shared" si="0"/>
        <v>0</v>
      </c>
      <c r="F10" s="555">
        <f t="shared" si="0"/>
        <v>0</v>
      </c>
      <c r="G10" s="555">
        <f t="shared" si="0"/>
        <v>0</v>
      </c>
      <c r="H10" s="555">
        <f t="shared" si="0"/>
        <v>0</v>
      </c>
      <c r="I10" s="555">
        <f t="shared" si="0"/>
        <v>0</v>
      </c>
      <c r="J10" s="555">
        <f t="shared" si="0"/>
        <v>3176.4705882352946</v>
      </c>
      <c r="K10" s="555">
        <f t="shared" si="0"/>
        <v>0</v>
      </c>
      <c r="L10" s="555">
        <f t="shared" si="0"/>
        <v>0</v>
      </c>
      <c r="M10" s="917"/>
      <c r="N10" s="917"/>
      <c r="O10" s="556">
        <f>SUM(O4:O9)</f>
        <v>74.858823529411779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4307.1428571428569</v>
      </c>
      <c r="C17" s="571">
        <f>B51</f>
        <v>529.41176470588232</v>
      </c>
      <c r="D17" s="572"/>
      <c r="E17" s="572">
        <f>E51</f>
        <v>0</v>
      </c>
      <c r="F17" s="573"/>
      <c r="G17" s="574"/>
      <c r="H17" s="571">
        <f>I51</f>
        <v>0</v>
      </c>
      <c r="I17" s="572">
        <f>G51+F51</f>
        <v>0</v>
      </c>
      <c r="J17" s="572">
        <f>H51+D51+C51</f>
        <v>4537.815126050421</v>
      </c>
      <c r="K17" s="572"/>
      <c r="L17" s="572"/>
      <c r="M17" s="572"/>
      <c r="N17" s="918"/>
      <c r="O17" s="575">
        <f>C17*$C$22+E17*$E$22+H17*$H$22+I17*$I$22+J17*$J$22+D17*$D$22+F17*$F$22+G17*$G$22+K17*$K$22+L17*$L$22</f>
        <v>106.94117647058823</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4307.1428571428569</v>
      </c>
      <c r="C20" s="554">
        <f>SUM(C17:C19)</f>
        <v>529.41176470588232</v>
      </c>
      <c r="D20" s="554">
        <f t="shared" ref="D20:L20" si="1">SUM(D17:D19)</f>
        <v>0</v>
      </c>
      <c r="E20" s="554">
        <f t="shared" si="1"/>
        <v>0</v>
      </c>
      <c r="F20" s="554">
        <f t="shared" si="1"/>
        <v>0</v>
      </c>
      <c r="G20" s="554">
        <f t="shared" si="1"/>
        <v>0</v>
      </c>
      <c r="H20" s="554">
        <f t="shared" si="1"/>
        <v>0</v>
      </c>
      <c r="I20" s="554">
        <f t="shared" si="1"/>
        <v>0</v>
      </c>
      <c r="J20" s="554">
        <f t="shared" si="1"/>
        <v>4537.815126050421</v>
      </c>
      <c r="K20" s="554">
        <f t="shared" si="1"/>
        <v>0</v>
      </c>
      <c r="L20" s="554">
        <f t="shared" si="1"/>
        <v>0</v>
      </c>
      <c r="M20" s="554"/>
      <c r="N20" s="554"/>
      <c r="O20" s="580">
        <f>SUM(O17:O19)</f>
        <v>106.94117647058823</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34042</v>
      </c>
      <c r="C28" s="746">
        <v>8550</v>
      </c>
      <c r="D28" s="632"/>
      <c r="E28" s="631"/>
      <c r="F28" s="631"/>
      <c r="G28" s="631" t="s">
        <v>861</v>
      </c>
      <c r="H28" s="631" t="s">
        <v>862</v>
      </c>
      <c r="I28" s="631"/>
      <c r="J28" s="745"/>
      <c r="K28" s="745"/>
      <c r="L28" s="631" t="s">
        <v>863</v>
      </c>
      <c r="M28" s="631">
        <v>600</v>
      </c>
      <c r="N28" s="631">
        <v>2700</v>
      </c>
      <c r="O28" s="631">
        <v>3857.1428571428573</v>
      </c>
      <c r="P28" s="631">
        <v>0</v>
      </c>
      <c r="Q28" s="631">
        <v>0</v>
      </c>
      <c r="R28" s="631">
        <v>7714.2857142857147</v>
      </c>
      <c r="S28" s="631">
        <v>0</v>
      </c>
      <c r="T28" s="631">
        <v>0</v>
      </c>
      <c r="U28" s="631">
        <v>0</v>
      </c>
      <c r="V28" s="631">
        <v>0</v>
      </c>
      <c r="W28" s="631">
        <v>0</v>
      </c>
      <c r="X28" s="631"/>
      <c r="Y28" s="631">
        <v>1600</v>
      </c>
      <c r="Z28" s="631" t="s">
        <v>49</v>
      </c>
      <c r="AA28" s="633" t="s">
        <v>149</v>
      </c>
    </row>
    <row r="29" spans="1:27" s="585" customFormat="1" ht="25.5" hidden="1">
      <c r="A29" s="584"/>
      <c r="B29" s="746">
        <v>34042</v>
      </c>
      <c r="C29" s="746">
        <v>8550</v>
      </c>
      <c r="D29" s="632"/>
      <c r="E29" s="631"/>
      <c r="F29" s="631"/>
      <c r="G29" s="631" t="s">
        <v>864</v>
      </c>
      <c r="H29" s="631" t="s">
        <v>862</v>
      </c>
      <c r="I29" s="631"/>
      <c r="J29" s="745"/>
      <c r="K29" s="745"/>
      <c r="L29" s="631" t="s">
        <v>865</v>
      </c>
      <c r="M29" s="631">
        <v>20</v>
      </c>
      <c r="N29" s="631">
        <v>90</v>
      </c>
      <c r="O29" s="631">
        <v>128.57142857142858</v>
      </c>
      <c r="P29" s="631">
        <v>257.14285714285717</v>
      </c>
      <c r="Q29" s="631">
        <v>0</v>
      </c>
      <c r="R29" s="631">
        <v>0</v>
      </c>
      <c r="S29" s="631">
        <v>0</v>
      </c>
      <c r="T29" s="631">
        <v>0</v>
      </c>
      <c r="U29" s="631">
        <v>0</v>
      </c>
      <c r="V29" s="631">
        <v>0</v>
      </c>
      <c r="W29" s="631">
        <v>0</v>
      </c>
      <c r="X29" s="631"/>
      <c r="Y29" s="631">
        <v>1300</v>
      </c>
      <c r="Z29" s="631" t="s">
        <v>53</v>
      </c>
      <c r="AA29" s="633" t="s">
        <v>149</v>
      </c>
    </row>
    <row r="30" spans="1:27" s="585" customFormat="1" ht="51" hidden="1">
      <c r="A30" s="584"/>
      <c r="B30" s="746">
        <v>34042</v>
      </c>
      <c r="C30" s="746">
        <v>8550</v>
      </c>
      <c r="D30" s="632"/>
      <c r="E30" s="631"/>
      <c r="F30" s="631"/>
      <c r="G30" s="631" t="s">
        <v>864</v>
      </c>
      <c r="H30" s="631" t="s">
        <v>862</v>
      </c>
      <c r="I30" s="631"/>
      <c r="J30" s="745"/>
      <c r="K30" s="745"/>
      <c r="L30" s="631" t="s">
        <v>865</v>
      </c>
      <c r="M30" s="631">
        <v>50</v>
      </c>
      <c r="N30" s="631">
        <v>225</v>
      </c>
      <c r="O30" s="631">
        <v>321.42857142857144</v>
      </c>
      <c r="P30" s="631">
        <v>642.85714285714289</v>
      </c>
      <c r="Q30" s="631">
        <v>0</v>
      </c>
      <c r="R30" s="631">
        <v>0</v>
      </c>
      <c r="S30" s="631">
        <v>0</v>
      </c>
      <c r="T30" s="631">
        <v>0</v>
      </c>
      <c r="U30" s="631">
        <v>0</v>
      </c>
      <c r="V30" s="631">
        <v>0</v>
      </c>
      <c r="W30" s="631">
        <v>0</v>
      </c>
      <c r="X30" s="631"/>
      <c r="Y30" s="631">
        <v>1500</v>
      </c>
      <c r="Z30" s="631" t="s">
        <v>50</v>
      </c>
      <c r="AA30" s="633" t="s">
        <v>149</v>
      </c>
    </row>
    <row r="31" spans="1:27" s="565" customFormat="1" hidden="1">
      <c r="A31" s="587" t="s">
        <v>269</v>
      </c>
      <c r="B31" s="588"/>
      <c r="C31" s="588"/>
      <c r="D31" s="588"/>
      <c r="E31" s="588"/>
      <c r="F31" s="588"/>
      <c r="G31" s="588"/>
      <c r="H31" s="588"/>
      <c r="I31" s="588"/>
      <c r="J31" s="588"/>
      <c r="K31" s="588"/>
      <c r="L31" s="589"/>
      <c r="M31" s="589">
        <f>SUM(M28:M30)</f>
        <v>670</v>
      </c>
      <c r="N31" s="589">
        <f>SUM(N28:N30)</f>
        <v>3015</v>
      </c>
      <c r="O31" s="589">
        <f>SUM(O28:O30)</f>
        <v>4307.1428571428569</v>
      </c>
      <c r="P31" s="589">
        <f>SUM(P28:P30)</f>
        <v>900</v>
      </c>
      <c r="Q31" s="589">
        <f>SUM(Q28:Q30)</f>
        <v>0</v>
      </c>
      <c r="R31" s="589">
        <f>SUM(R28:R30)</f>
        <v>7714.2857142857147</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670</v>
      </c>
      <c r="N33" s="589">
        <f ca="1">SUMIF($AA$28:AE30,"tertiair",N28:N30)</f>
        <v>3015</v>
      </c>
      <c r="O33" s="589">
        <f ca="1">SUMIF($AA$28:AF30,"tertiair",O28:O30)</f>
        <v>4307.1428571428569</v>
      </c>
      <c r="P33" s="589">
        <f ca="1">SUMIF($AA$28:AG30,"tertiair",P28:P30)</f>
        <v>900</v>
      </c>
      <c r="Q33" s="589">
        <f ca="1">SUMIF($AA$28:AH30,"tertiair",Q28:Q30)</f>
        <v>0</v>
      </c>
      <c r="R33" s="589">
        <f ca="1">SUMIF($AA$28:AI30,"tertiair",R28:R30)</f>
        <v>7714.2857142857147</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0</v>
      </c>
      <c r="N34" s="594">
        <f>SUMIF($AA$28:$AA$30,"landbouw",N28:N30)</f>
        <v>0</v>
      </c>
      <c r="O34" s="594">
        <f>SUMIF($AA$28:$AA$30,"landbouw",O28:O30)</f>
        <v>0</v>
      </c>
      <c r="P34" s="594">
        <f>SUMIF($AA$28:$AA$30,"landbouw",P28:P30)</f>
        <v>0</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0.41176470588235298</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370.58823529411768</v>
      </c>
      <c r="C50" s="623">
        <f t="shared" si="2"/>
        <v>0</v>
      </c>
      <c r="D50" s="623">
        <f t="shared" si="2"/>
        <v>3176.4705882352946</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529.41176470588232</v>
      </c>
      <c r="C51" s="626">
        <f t="shared" si="3"/>
        <v>0</v>
      </c>
      <c r="D51" s="626">
        <f t="shared" si="3"/>
        <v>4537.815126050421</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29259.875711267006</v>
      </c>
      <c r="D10" s="642">
        <f ca="1">tertiair!C16</f>
        <v>4307.1428571428569</v>
      </c>
      <c r="E10" s="642">
        <f ca="1">tertiair!D16</f>
        <v>24078.602817366136</v>
      </c>
      <c r="F10" s="642">
        <f>tertiair!E16</f>
        <v>75.025320195556972</v>
      </c>
      <c r="G10" s="642">
        <f ca="1">tertiair!F16</f>
        <v>4470.4650879829587</v>
      </c>
      <c r="H10" s="642">
        <f>tertiair!G16</f>
        <v>0</v>
      </c>
      <c r="I10" s="642">
        <f>tertiair!H16</f>
        <v>0</v>
      </c>
      <c r="J10" s="642">
        <f>tertiair!I16</f>
        <v>0</v>
      </c>
      <c r="K10" s="642">
        <f>tertiair!J16</f>
        <v>2.625267763691852E-2</v>
      </c>
      <c r="L10" s="642">
        <f>tertiair!K16</f>
        <v>0</v>
      </c>
      <c r="M10" s="642">
        <f ca="1">tertiair!L16</f>
        <v>0</v>
      </c>
      <c r="N10" s="642">
        <f>tertiair!M16</f>
        <v>0</v>
      </c>
      <c r="O10" s="642">
        <f ca="1">tertiair!N16</f>
        <v>0</v>
      </c>
      <c r="P10" s="642">
        <f>tertiair!O16</f>
        <v>24.486303829205774</v>
      </c>
      <c r="Q10" s="643">
        <f>tertiair!P16</f>
        <v>105.07827661299004</v>
      </c>
      <c r="R10" s="645">
        <f ca="1">SUM(C10:Q10)</f>
        <v>62320.702627074344</v>
      </c>
      <c r="S10" s="67"/>
    </row>
    <row r="11" spans="1:19" s="441" customFormat="1">
      <c r="A11" s="762" t="s">
        <v>214</v>
      </c>
      <c r="B11" s="767"/>
      <c r="C11" s="642">
        <f>huishoudens!B8</f>
        <v>43590.1943708584</v>
      </c>
      <c r="D11" s="642">
        <f>huishoudens!C8</f>
        <v>0</v>
      </c>
      <c r="E11" s="642">
        <f>huishoudens!D8</f>
        <v>73878.070263443631</v>
      </c>
      <c r="F11" s="642">
        <f>huishoudens!E8</f>
        <v>3482.8654473885717</v>
      </c>
      <c r="G11" s="642">
        <f>huishoudens!F8</f>
        <v>57076.091126548628</v>
      </c>
      <c r="H11" s="642">
        <f>huishoudens!G8</f>
        <v>0</v>
      </c>
      <c r="I11" s="642">
        <f>huishoudens!H8</f>
        <v>0</v>
      </c>
      <c r="J11" s="642">
        <f>huishoudens!I8</f>
        <v>0</v>
      </c>
      <c r="K11" s="642">
        <f>huishoudens!J8</f>
        <v>315.03141756912191</v>
      </c>
      <c r="L11" s="642">
        <f>huishoudens!K8</f>
        <v>0</v>
      </c>
      <c r="M11" s="642">
        <f>huishoudens!L8</f>
        <v>0</v>
      </c>
      <c r="N11" s="642">
        <f>huishoudens!M8</f>
        <v>0</v>
      </c>
      <c r="O11" s="642">
        <f>huishoudens!N8</f>
        <v>14254.953106292935</v>
      </c>
      <c r="P11" s="642">
        <f>huishoudens!O8</f>
        <v>716.2089171987185</v>
      </c>
      <c r="Q11" s="643">
        <f>huishoudens!P8</f>
        <v>1000.726134230077</v>
      </c>
      <c r="R11" s="645">
        <f>SUM(C11:Q11)</f>
        <v>194314.14078353008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16964.398308837168</v>
      </c>
      <c r="D13" s="642">
        <f>industrie!C18</f>
        <v>0</v>
      </c>
      <c r="E13" s="642">
        <f>industrie!D18</f>
        <v>140279.13776728886</v>
      </c>
      <c r="F13" s="642">
        <f>industrie!E18</f>
        <v>56.404288795406728</v>
      </c>
      <c r="G13" s="642">
        <f>industrie!F18</f>
        <v>2651.1068802342397</v>
      </c>
      <c r="H13" s="642">
        <f>industrie!G18</f>
        <v>0</v>
      </c>
      <c r="I13" s="642">
        <f>industrie!H18</f>
        <v>0</v>
      </c>
      <c r="J13" s="642">
        <f>industrie!I18</f>
        <v>0</v>
      </c>
      <c r="K13" s="642">
        <f>industrie!J18</f>
        <v>3.5461815935105534</v>
      </c>
      <c r="L13" s="642">
        <f>industrie!K18</f>
        <v>0</v>
      </c>
      <c r="M13" s="642">
        <f>industrie!L18</f>
        <v>0</v>
      </c>
      <c r="N13" s="642">
        <f>industrie!M18</f>
        <v>0</v>
      </c>
      <c r="O13" s="642">
        <f>industrie!N18</f>
        <v>262.49793742082647</v>
      </c>
      <c r="P13" s="642">
        <f>industrie!O18</f>
        <v>0</v>
      </c>
      <c r="Q13" s="643">
        <f>industrie!P18</f>
        <v>0</v>
      </c>
      <c r="R13" s="645">
        <f>SUM(C13:Q13)</f>
        <v>160217.09136416999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89814.468390962575</v>
      </c>
      <c r="D16" s="678">
        <f t="shared" ref="D16:R16" ca="1" si="0">SUM(D9:D15)</f>
        <v>4307.1428571428569</v>
      </c>
      <c r="E16" s="678">
        <f t="shared" ca="1" si="0"/>
        <v>238235.81084809863</v>
      </c>
      <c r="F16" s="678">
        <f t="shared" si="0"/>
        <v>3614.2950563795357</v>
      </c>
      <c r="G16" s="678">
        <f t="shared" ca="1" si="0"/>
        <v>64197.663094765827</v>
      </c>
      <c r="H16" s="678">
        <f t="shared" si="0"/>
        <v>0</v>
      </c>
      <c r="I16" s="678">
        <f t="shared" si="0"/>
        <v>0</v>
      </c>
      <c r="J16" s="678">
        <f t="shared" si="0"/>
        <v>0</v>
      </c>
      <c r="K16" s="678">
        <f t="shared" si="0"/>
        <v>318.60385184026939</v>
      </c>
      <c r="L16" s="678">
        <f t="shared" si="0"/>
        <v>0</v>
      </c>
      <c r="M16" s="678">
        <f t="shared" ca="1" si="0"/>
        <v>0</v>
      </c>
      <c r="N16" s="678">
        <f t="shared" si="0"/>
        <v>0</v>
      </c>
      <c r="O16" s="678">
        <f t="shared" ca="1" si="0"/>
        <v>14517.451043713761</v>
      </c>
      <c r="P16" s="678">
        <f t="shared" si="0"/>
        <v>740.69522102792428</v>
      </c>
      <c r="Q16" s="678">
        <f t="shared" si="0"/>
        <v>1105.804410843067</v>
      </c>
      <c r="R16" s="678">
        <f t="shared" ca="1" si="0"/>
        <v>416851.93477477442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14.697054977379793</v>
      </c>
      <c r="D19" s="642">
        <f>transport!C54</f>
        <v>0</v>
      </c>
      <c r="E19" s="642">
        <f>transport!D54</f>
        <v>0</v>
      </c>
      <c r="F19" s="642">
        <f>transport!E54</f>
        <v>0</v>
      </c>
      <c r="G19" s="642">
        <f>transport!F54</f>
        <v>0</v>
      </c>
      <c r="H19" s="642">
        <f>transport!G54</f>
        <v>1049.0493051904518</v>
      </c>
      <c r="I19" s="642">
        <f>transport!H54</f>
        <v>0</v>
      </c>
      <c r="J19" s="642">
        <f>transport!I54</f>
        <v>0</v>
      </c>
      <c r="K19" s="642">
        <f>transport!J54</f>
        <v>0</v>
      </c>
      <c r="L19" s="642">
        <f>transport!K54</f>
        <v>0</v>
      </c>
      <c r="M19" s="642">
        <f>transport!L54</f>
        <v>0</v>
      </c>
      <c r="N19" s="642">
        <f>transport!M54</f>
        <v>57.927027544662444</v>
      </c>
      <c r="O19" s="642">
        <f>transport!N54</f>
        <v>0</v>
      </c>
      <c r="P19" s="642">
        <f>transport!O54</f>
        <v>0</v>
      </c>
      <c r="Q19" s="643">
        <f>transport!P54</f>
        <v>0</v>
      </c>
      <c r="R19" s="645">
        <f>SUM(C19:Q19)</f>
        <v>1121.6733877124941</v>
      </c>
      <c r="S19" s="67"/>
    </row>
    <row r="20" spans="1:19" s="441" customFormat="1">
      <c r="A20" s="762" t="s">
        <v>296</v>
      </c>
      <c r="B20" s="767"/>
      <c r="C20" s="642">
        <f>transport!B14</f>
        <v>139.93369443614196</v>
      </c>
      <c r="D20" s="642">
        <f>transport!C14</f>
        <v>0</v>
      </c>
      <c r="E20" s="642">
        <f>transport!D14</f>
        <v>284.30757992575911</v>
      </c>
      <c r="F20" s="642">
        <f>transport!E14</f>
        <v>151.73799982126951</v>
      </c>
      <c r="G20" s="642">
        <f>transport!F14</f>
        <v>0</v>
      </c>
      <c r="H20" s="642">
        <f>transport!G14</f>
        <v>63771.87768517615</v>
      </c>
      <c r="I20" s="642">
        <f>transport!H14</f>
        <v>18580.070413318739</v>
      </c>
      <c r="J20" s="642">
        <f>transport!I14</f>
        <v>0</v>
      </c>
      <c r="K20" s="642">
        <f>transport!J14</f>
        <v>0</v>
      </c>
      <c r="L20" s="642">
        <f>transport!K14</f>
        <v>0</v>
      </c>
      <c r="M20" s="642">
        <f>transport!L14</f>
        <v>0</v>
      </c>
      <c r="N20" s="642">
        <f>transport!M14</f>
        <v>4882.0725789368762</v>
      </c>
      <c r="O20" s="642">
        <f>transport!N14</f>
        <v>0</v>
      </c>
      <c r="P20" s="642">
        <f>transport!O14</f>
        <v>0</v>
      </c>
      <c r="Q20" s="643">
        <f>transport!P14</f>
        <v>0</v>
      </c>
      <c r="R20" s="645">
        <f>SUM(C20:Q20)</f>
        <v>87809.99995161494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154.63074941352176</v>
      </c>
      <c r="D22" s="765">
        <f t="shared" ref="D22:R22" si="1">SUM(D18:D21)</f>
        <v>0</v>
      </c>
      <c r="E22" s="765">
        <f t="shared" si="1"/>
        <v>284.30757992575911</v>
      </c>
      <c r="F22" s="765">
        <f t="shared" si="1"/>
        <v>151.73799982126951</v>
      </c>
      <c r="G22" s="765">
        <f t="shared" si="1"/>
        <v>0</v>
      </c>
      <c r="H22" s="765">
        <f t="shared" si="1"/>
        <v>64820.926990366599</v>
      </c>
      <c r="I22" s="765">
        <f t="shared" si="1"/>
        <v>18580.070413318739</v>
      </c>
      <c r="J22" s="765">
        <f t="shared" si="1"/>
        <v>0</v>
      </c>
      <c r="K22" s="765">
        <f t="shared" si="1"/>
        <v>0</v>
      </c>
      <c r="L22" s="765">
        <f t="shared" si="1"/>
        <v>0</v>
      </c>
      <c r="M22" s="765">
        <f t="shared" si="1"/>
        <v>0</v>
      </c>
      <c r="N22" s="765">
        <f t="shared" si="1"/>
        <v>4939.9996064815386</v>
      </c>
      <c r="O22" s="765">
        <f t="shared" si="1"/>
        <v>0</v>
      </c>
      <c r="P22" s="765">
        <f t="shared" si="1"/>
        <v>0</v>
      </c>
      <c r="Q22" s="765">
        <f t="shared" si="1"/>
        <v>0</v>
      </c>
      <c r="R22" s="765">
        <f t="shared" si="1"/>
        <v>88931.673339327433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2361.4702614933899</v>
      </c>
      <c r="D24" s="642">
        <f>+landbouw!C8</f>
        <v>0</v>
      </c>
      <c r="E24" s="642">
        <f>+landbouw!D8</f>
        <v>73.900870413058612</v>
      </c>
      <c r="F24" s="642">
        <f>+landbouw!E8</f>
        <v>69.622819491865982</v>
      </c>
      <c r="G24" s="642">
        <f>+landbouw!F8</f>
        <v>7505.5917319481759</v>
      </c>
      <c r="H24" s="642">
        <f>+landbouw!G8</f>
        <v>0</v>
      </c>
      <c r="I24" s="642">
        <f>+landbouw!H8</f>
        <v>0</v>
      </c>
      <c r="J24" s="642">
        <f>+landbouw!I8</f>
        <v>0</v>
      </c>
      <c r="K24" s="642">
        <f>+landbouw!J8</f>
        <v>595.54829875855114</v>
      </c>
      <c r="L24" s="642">
        <f>+landbouw!K8</f>
        <v>0</v>
      </c>
      <c r="M24" s="642">
        <f>+landbouw!L8</f>
        <v>0</v>
      </c>
      <c r="N24" s="642">
        <f>+landbouw!M8</f>
        <v>0</v>
      </c>
      <c r="O24" s="642">
        <f>+landbouw!N8</f>
        <v>0</v>
      </c>
      <c r="P24" s="642">
        <f>+landbouw!O8</f>
        <v>0</v>
      </c>
      <c r="Q24" s="643">
        <f>+landbouw!P8</f>
        <v>0</v>
      </c>
      <c r="R24" s="645">
        <f>SUM(C24:Q24)</f>
        <v>10606.133982105041</v>
      </c>
      <c r="S24" s="67"/>
    </row>
    <row r="25" spans="1:19" s="441" customFormat="1" ht="15" thickBot="1">
      <c r="A25" s="784" t="s">
        <v>672</v>
      </c>
      <c r="B25" s="895"/>
      <c r="C25" s="896">
        <f>IF(Onbekend_ele_kWh="---",0,Onbekend_ele_kWh)/1000+IF(REST_rest_ele_kWh="---",0,REST_rest_ele_kWh)/1000</f>
        <v>1110.30448118919</v>
      </c>
      <c r="D25" s="896"/>
      <c r="E25" s="896">
        <f>IF(onbekend_gas_kWh="---",0,onbekend_gas_kWh)/1000+IF(REST_rest_gas_kWh="---",0,REST_rest_gas_kWh)/1000</f>
        <v>1852.9877445259399</v>
      </c>
      <c r="F25" s="896"/>
      <c r="G25" s="896"/>
      <c r="H25" s="896"/>
      <c r="I25" s="896"/>
      <c r="J25" s="896"/>
      <c r="K25" s="896"/>
      <c r="L25" s="896"/>
      <c r="M25" s="896"/>
      <c r="N25" s="896"/>
      <c r="O25" s="896"/>
      <c r="P25" s="896"/>
      <c r="Q25" s="897"/>
      <c r="R25" s="645">
        <f>SUM(C25:Q25)</f>
        <v>2963.2922257151299</v>
      </c>
      <c r="S25" s="67"/>
    </row>
    <row r="26" spans="1:19" s="441" customFormat="1" ht="15.75" thickBot="1">
      <c r="A26" s="650" t="s">
        <v>673</v>
      </c>
      <c r="B26" s="770"/>
      <c r="C26" s="765">
        <f>SUM(C24:C25)</f>
        <v>3471.7747426825799</v>
      </c>
      <c r="D26" s="765">
        <f t="shared" ref="D26:R26" si="2">SUM(D24:D25)</f>
        <v>0</v>
      </c>
      <c r="E26" s="765">
        <f t="shared" si="2"/>
        <v>1926.8886149389984</v>
      </c>
      <c r="F26" s="765">
        <f t="shared" si="2"/>
        <v>69.622819491865982</v>
      </c>
      <c r="G26" s="765">
        <f t="shared" si="2"/>
        <v>7505.5917319481759</v>
      </c>
      <c r="H26" s="765">
        <f t="shared" si="2"/>
        <v>0</v>
      </c>
      <c r="I26" s="765">
        <f t="shared" si="2"/>
        <v>0</v>
      </c>
      <c r="J26" s="765">
        <f t="shared" si="2"/>
        <v>0</v>
      </c>
      <c r="K26" s="765">
        <f t="shared" si="2"/>
        <v>595.54829875855114</v>
      </c>
      <c r="L26" s="765">
        <f t="shared" si="2"/>
        <v>0</v>
      </c>
      <c r="M26" s="765">
        <f t="shared" si="2"/>
        <v>0</v>
      </c>
      <c r="N26" s="765">
        <f t="shared" si="2"/>
        <v>0</v>
      </c>
      <c r="O26" s="765">
        <f t="shared" si="2"/>
        <v>0</v>
      </c>
      <c r="P26" s="765">
        <f t="shared" si="2"/>
        <v>0</v>
      </c>
      <c r="Q26" s="765">
        <f t="shared" si="2"/>
        <v>0</v>
      </c>
      <c r="R26" s="765">
        <f t="shared" si="2"/>
        <v>13569.42620782017</v>
      </c>
      <c r="S26" s="67"/>
    </row>
    <row r="27" spans="1:19" s="441" customFormat="1" ht="17.25" thickTop="1" thickBot="1">
      <c r="A27" s="651" t="s">
        <v>109</v>
      </c>
      <c r="B27" s="757"/>
      <c r="C27" s="652">
        <f ca="1">C22+C16+C26</f>
        <v>93440.873883058681</v>
      </c>
      <c r="D27" s="652">
        <f t="shared" ref="D27:R27" ca="1" si="3">D22+D16+D26</f>
        <v>4307.1428571428569</v>
      </c>
      <c r="E27" s="652">
        <f t="shared" ca="1" si="3"/>
        <v>240447.00704296338</v>
      </c>
      <c r="F27" s="652">
        <f t="shared" si="3"/>
        <v>3835.6558756926711</v>
      </c>
      <c r="G27" s="652">
        <f t="shared" ca="1" si="3"/>
        <v>71703.254826714008</v>
      </c>
      <c r="H27" s="652">
        <f t="shared" si="3"/>
        <v>64820.926990366599</v>
      </c>
      <c r="I27" s="652">
        <f t="shared" si="3"/>
        <v>18580.070413318739</v>
      </c>
      <c r="J27" s="652">
        <f t="shared" si="3"/>
        <v>0</v>
      </c>
      <c r="K27" s="652">
        <f t="shared" si="3"/>
        <v>914.15215059882053</v>
      </c>
      <c r="L27" s="652">
        <f t="shared" si="3"/>
        <v>0</v>
      </c>
      <c r="M27" s="652">
        <f t="shared" ca="1" si="3"/>
        <v>0</v>
      </c>
      <c r="N27" s="652">
        <f t="shared" si="3"/>
        <v>4939.9996064815386</v>
      </c>
      <c r="O27" s="652">
        <f t="shared" ca="1" si="3"/>
        <v>14517.451043713761</v>
      </c>
      <c r="P27" s="652">
        <f t="shared" si="3"/>
        <v>740.69522102792428</v>
      </c>
      <c r="Q27" s="652">
        <f t="shared" si="3"/>
        <v>1105.804410843067</v>
      </c>
      <c r="R27" s="652">
        <f t="shared" ca="1" si="3"/>
        <v>519353.03432192205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5219.0059505444351</v>
      </c>
      <c r="D40" s="642">
        <f ca="1">tertiair!C20</f>
        <v>106.94117647058823</v>
      </c>
      <c r="E40" s="642">
        <f ca="1">tertiair!D20</f>
        <v>4863.8777691079595</v>
      </c>
      <c r="F40" s="642">
        <f>tertiair!E20</f>
        <v>17.030747684391432</v>
      </c>
      <c r="G40" s="642">
        <f ca="1">tertiair!F20</f>
        <v>1193.61417849145</v>
      </c>
      <c r="H40" s="642">
        <f>tertiair!G20</f>
        <v>0</v>
      </c>
      <c r="I40" s="642">
        <f>tertiair!H20</f>
        <v>0</v>
      </c>
      <c r="J40" s="642">
        <f>tertiair!I20</f>
        <v>0</v>
      </c>
      <c r="K40" s="642">
        <f>tertiair!J20</f>
        <v>9.2934478834691553E-3</v>
      </c>
      <c r="L40" s="642">
        <f>tertiair!K20</f>
        <v>0</v>
      </c>
      <c r="M40" s="642">
        <f ca="1">tertiair!L20</f>
        <v>0</v>
      </c>
      <c r="N40" s="642">
        <f>tertiair!M20</f>
        <v>0</v>
      </c>
      <c r="O40" s="642">
        <f ca="1">tertiair!N20</f>
        <v>0</v>
      </c>
      <c r="P40" s="642">
        <f>tertiair!O20</f>
        <v>0</v>
      </c>
      <c r="Q40" s="725">
        <f>tertiair!P20</f>
        <v>0</v>
      </c>
      <c r="R40" s="803">
        <f t="shared" ca="1" si="4"/>
        <v>11400.47911574671</v>
      </c>
    </row>
    <row r="41" spans="1:18">
      <c r="A41" s="775" t="s">
        <v>214</v>
      </c>
      <c r="B41" s="782"/>
      <c r="C41" s="642">
        <f ca="1">huishoudens!B12</f>
        <v>7775.0666493534281</v>
      </c>
      <c r="D41" s="642">
        <f ca="1">huishoudens!C12</f>
        <v>0</v>
      </c>
      <c r="E41" s="642">
        <f>huishoudens!D12</f>
        <v>14923.370193215615</v>
      </c>
      <c r="F41" s="642">
        <f>huishoudens!E12</f>
        <v>790.61045655720579</v>
      </c>
      <c r="G41" s="642">
        <f>huishoudens!F12</f>
        <v>15239.316330788484</v>
      </c>
      <c r="H41" s="642">
        <f>huishoudens!G12</f>
        <v>0</v>
      </c>
      <c r="I41" s="642">
        <f>huishoudens!H12</f>
        <v>0</v>
      </c>
      <c r="J41" s="642">
        <f>huishoudens!I12</f>
        <v>0</v>
      </c>
      <c r="K41" s="642">
        <f>huishoudens!J12</f>
        <v>111.52112181946916</v>
      </c>
      <c r="L41" s="642">
        <f>huishoudens!K12</f>
        <v>0</v>
      </c>
      <c r="M41" s="642">
        <f>huishoudens!L12</f>
        <v>0</v>
      </c>
      <c r="N41" s="642">
        <f>huishoudens!M12</f>
        <v>0</v>
      </c>
      <c r="O41" s="642">
        <f>huishoudens!N12</f>
        <v>0</v>
      </c>
      <c r="P41" s="642">
        <f>huishoudens!O12</f>
        <v>0</v>
      </c>
      <c r="Q41" s="725">
        <f>huishoudens!P12</f>
        <v>0</v>
      </c>
      <c r="R41" s="803">
        <f t="shared" ca="1" si="4"/>
        <v>38839.8847517342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3025.8944567947824</v>
      </c>
      <c r="D43" s="642">
        <f ca="1">industrie!C22</f>
        <v>0</v>
      </c>
      <c r="E43" s="642">
        <f>industrie!D22</f>
        <v>28336.385828992352</v>
      </c>
      <c r="F43" s="642">
        <f>industrie!E22</f>
        <v>12.803773556557328</v>
      </c>
      <c r="G43" s="642">
        <f>industrie!F22</f>
        <v>707.84553702254209</v>
      </c>
      <c r="H43" s="642">
        <f>industrie!G22</f>
        <v>0</v>
      </c>
      <c r="I43" s="642">
        <f>industrie!H22</f>
        <v>0</v>
      </c>
      <c r="J43" s="642">
        <f>industrie!I22</f>
        <v>0</v>
      </c>
      <c r="K43" s="642">
        <f>industrie!J22</f>
        <v>1.2553482841027359</v>
      </c>
      <c r="L43" s="642">
        <f>industrie!K22</f>
        <v>0</v>
      </c>
      <c r="M43" s="642">
        <f>industrie!L22</f>
        <v>0</v>
      </c>
      <c r="N43" s="642">
        <f>industrie!M22</f>
        <v>0</v>
      </c>
      <c r="O43" s="642">
        <f>industrie!N22</f>
        <v>0</v>
      </c>
      <c r="P43" s="642">
        <f>industrie!O22</f>
        <v>0</v>
      </c>
      <c r="Q43" s="725">
        <f>industrie!P22</f>
        <v>0</v>
      </c>
      <c r="R43" s="802">
        <f t="shared" ca="1" si="4"/>
        <v>32084.184944650337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16019.967056692645</v>
      </c>
      <c r="D46" s="678">
        <f t="shared" ref="D46:Q46" ca="1" si="5">SUM(D39:D45)</f>
        <v>106.94117647058823</v>
      </c>
      <c r="E46" s="678">
        <f t="shared" ca="1" si="5"/>
        <v>48123.633791315922</v>
      </c>
      <c r="F46" s="678">
        <f t="shared" si="5"/>
        <v>820.44497779815458</v>
      </c>
      <c r="G46" s="678">
        <f t="shared" ca="1" si="5"/>
        <v>17140.776046302475</v>
      </c>
      <c r="H46" s="678">
        <f t="shared" si="5"/>
        <v>0</v>
      </c>
      <c r="I46" s="678">
        <f t="shared" si="5"/>
        <v>0</v>
      </c>
      <c r="J46" s="678">
        <f t="shared" si="5"/>
        <v>0</v>
      </c>
      <c r="K46" s="678">
        <f t="shared" si="5"/>
        <v>112.78576355145536</v>
      </c>
      <c r="L46" s="678">
        <f t="shared" si="5"/>
        <v>0</v>
      </c>
      <c r="M46" s="678">
        <f t="shared" ca="1" si="5"/>
        <v>0</v>
      </c>
      <c r="N46" s="678">
        <f t="shared" si="5"/>
        <v>0</v>
      </c>
      <c r="O46" s="678">
        <f t="shared" ca="1" si="5"/>
        <v>0</v>
      </c>
      <c r="P46" s="678">
        <f t="shared" si="5"/>
        <v>0</v>
      </c>
      <c r="Q46" s="678">
        <f t="shared" si="5"/>
        <v>0</v>
      </c>
      <c r="R46" s="678">
        <f ca="1">SUM(R39:R45)</f>
        <v>82324.548812131252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2.6214744771758438</v>
      </c>
      <c r="D49" s="642">
        <f ca="1">transport!C58</f>
        <v>0</v>
      </c>
      <c r="E49" s="642">
        <f>transport!D58</f>
        <v>0</v>
      </c>
      <c r="F49" s="642">
        <f>transport!E58</f>
        <v>0</v>
      </c>
      <c r="G49" s="642">
        <f>transport!F58</f>
        <v>0</v>
      </c>
      <c r="H49" s="642">
        <f>transport!G58</f>
        <v>280.09616448585064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282.7176389630265</v>
      </c>
    </row>
    <row r="50" spans="1:18">
      <c r="A50" s="778" t="s">
        <v>296</v>
      </c>
      <c r="B50" s="788"/>
      <c r="C50" s="648">
        <f ca="1">transport!B18</f>
        <v>24.959599663052281</v>
      </c>
      <c r="D50" s="648">
        <f>transport!C18</f>
        <v>0</v>
      </c>
      <c r="E50" s="648">
        <f>transport!D18</f>
        <v>57.430131145003344</v>
      </c>
      <c r="F50" s="648">
        <f>transport!E18</f>
        <v>34.444525959428184</v>
      </c>
      <c r="G50" s="648">
        <f>transport!F18</f>
        <v>0</v>
      </c>
      <c r="H50" s="648">
        <f>transport!G18</f>
        <v>17027.091341942032</v>
      </c>
      <c r="I50" s="648">
        <f>transport!H18</f>
        <v>4626.4375329163659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21770.363131625883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27.581074140228125</v>
      </c>
      <c r="D52" s="678">
        <f t="shared" ref="D52:Q52" ca="1" si="6">SUM(D48:D51)</f>
        <v>0</v>
      </c>
      <c r="E52" s="678">
        <f t="shared" si="6"/>
        <v>57.430131145003344</v>
      </c>
      <c r="F52" s="678">
        <f t="shared" si="6"/>
        <v>34.444525959428184</v>
      </c>
      <c r="G52" s="678">
        <f t="shared" si="6"/>
        <v>0</v>
      </c>
      <c r="H52" s="678">
        <f t="shared" si="6"/>
        <v>17307.187506427883</v>
      </c>
      <c r="I52" s="678">
        <f t="shared" si="6"/>
        <v>4626.4375329163659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22053.080770588909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421.20914895144131</v>
      </c>
      <c r="D54" s="648">
        <f ca="1">+landbouw!C12</f>
        <v>0</v>
      </c>
      <c r="E54" s="648">
        <f>+landbouw!D12</f>
        <v>14.927975823437841</v>
      </c>
      <c r="F54" s="648">
        <f>+landbouw!E12</f>
        <v>15.804380024653579</v>
      </c>
      <c r="G54" s="648">
        <f>+landbouw!F12</f>
        <v>2003.992992430163</v>
      </c>
      <c r="H54" s="648">
        <f>+landbouw!G12</f>
        <v>0</v>
      </c>
      <c r="I54" s="648">
        <f>+landbouw!H12</f>
        <v>0</v>
      </c>
      <c r="J54" s="648">
        <f>+landbouw!I12</f>
        <v>0</v>
      </c>
      <c r="K54" s="648">
        <f>+landbouw!J12</f>
        <v>210.82409776052708</v>
      </c>
      <c r="L54" s="648">
        <f>+landbouw!K12</f>
        <v>0</v>
      </c>
      <c r="M54" s="648">
        <f>+landbouw!L12</f>
        <v>0</v>
      </c>
      <c r="N54" s="648">
        <f>+landbouw!M12</f>
        <v>0</v>
      </c>
      <c r="O54" s="648">
        <f>+landbouw!N12</f>
        <v>0</v>
      </c>
      <c r="P54" s="648">
        <f>+landbouw!O12</f>
        <v>0</v>
      </c>
      <c r="Q54" s="649">
        <f>+landbouw!P12</f>
        <v>0</v>
      </c>
      <c r="R54" s="677">
        <f ca="1">SUM(C54:Q54)</f>
        <v>2666.7585949902227</v>
      </c>
    </row>
    <row r="55" spans="1:18" ht="15" thickBot="1">
      <c r="A55" s="778" t="s">
        <v>672</v>
      </c>
      <c r="B55" s="788"/>
      <c r="C55" s="648">
        <f ca="1">C25*'EF ele_warmte'!B12</f>
        <v>198.04204745856774</v>
      </c>
      <c r="D55" s="648"/>
      <c r="E55" s="648">
        <f>E25*EF_CO2_aardgas</f>
        <v>374.3035243942399</v>
      </c>
      <c r="F55" s="648"/>
      <c r="G55" s="648"/>
      <c r="H55" s="648"/>
      <c r="I55" s="648"/>
      <c r="J55" s="648"/>
      <c r="K55" s="648"/>
      <c r="L55" s="648"/>
      <c r="M55" s="648"/>
      <c r="N55" s="648"/>
      <c r="O55" s="648"/>
      <c r="P55" s="648"/>
      <c r="Q55" s="649"/>
      <c r="R55" s="677">
        <f ca="1">SUM(C55:Q55)</f>
        <v>572.34557185280767</v>
      </c>
    </row>
    <row r="56" spans="1:18" ht="15.75" thickBot="1">
      <c r="A56" s="776" t="s">
        <v>673</v>
      </c>
      <c r="B56" s="789"/>
      <c r="C56" s="678">
        <f ca="1">SUM(C54:C55)</f>
        <v>619.25119641000902</v>
      </c>
      <c r="D56" s="678">
        <f t="shared" ref="D56:Q56" ca="1" si="7">SUM(D54:D55)</f>
        <v>0</v>
      </c>
      <c r="E56" s="678">
        <f t="shared" si="7"/>
        <v>389.23150021767776</v>
      </c>
      <c r="F56" s="678">
        <f t="shared" si="7"/>
        <v>15.804380024653579</v>
      </c>
      <c r="G56" s="678">
        <f t="shared" si="7"/>
        <v>2003.992992430163</v>
      </c>
      <c r="H56" s="678">
        <f t="shared" si="7"/>
        <v>0</v>
      </c>
      <c r="I56" s="678">
        <f t="shared" si="7"/>
        <v>0</v>
      </c>
      <c r="J56" s="678">
        <f t="shared" si="7"/>
        <v>0</v>
      </c>
      <c r="K56" s="678">
        <f t="shared" si="7"/>
        <v>210.82409776052708</v>
      </c>
      <c r="L56" s="678">
        <f t="shared" si="7"/>
        <v>0</v>
      </c>
      <c r="M56" s="678">
        <f t="shared" si="7"/>
        <v>0</v>
      </c>
      <c r="N56" s="678">
        <f t="shared" si="7"/>
        <v>0</v>
      </c>
      <c r="O56" s="678">
        <f t="shared" si="7"/>
        <v>0</v>
      </c>
      <c r="P56" s="678">
        <f t="shared" si="7"/>
        <v>0</v>
      </c>
      <c r="Q56" s="679">
        <f t="shared" si="7"/>
        <v>0</v>
      </c>
      <c r="R56" s="680">
        <f ca="1">SUM(R54:R55)</f>
        <v>3239.1041668430303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16666.799327242883</v>
      </c>
      <c r="D61" s="686">
        <f t="shared" ref="D61:Q61" ca="1" si="8">D46+D52+D56</f>
        <v>106.94117647058823</v>
      </c>
      <c r="E61" s="686">
        <f t="shared" ca="1" si="8"/>
        <v>48570.295422678602</v>
      </c>
      <c r="F61" s="686">
        <f t="shared" si="8"/>
        <v>870.69388378223641</v>
      </c>
      <c r="G61" s="686">
        <f t="shared" ca="1" si="8"/>
        <v>19144.769038732637</v>
      </c>
      <c r="H61" s="686">
        <f t="shared" si="8"/>
        <v>17307.187506427883</v>
      </c>
      <c r="I61" s="686">
        <f t="shared" si="8"/>
        <v>4626.4375329163659</v>
      </c>
      <c r="J61" s="686">
        <f t="shared" si="8"/>
        <v>0</v>
      </c>
      <c r="K61" s="686">
        <f t="shared" si="8"/>
        <v>323.60986131198246</v>
      </c>
      <c r="L61" s="686">
        <f t="shared" si="8"/>
        <v>0</v>
      </c>
      <c r="M61" s="686">
        <f t="shared" ca="1" si="8"/>
        <v>0</v>
      </c>
      <c r="N61" s="686">
        <f t="shared" si="8"/>
        <v>0</v>
      </c>
      <c r="O61" s="686">
        <f t="shared" ca="1" si="8"/>
        <v>0</v>
      </c>
      <c r="P61" s="686">
        <f t="shared" si="8"/>
        <v>0</v>
      </c>
      <c r="Q61" s="686">
        <f t="shared" si="8"/>
        <v>0</v>
      </c>
      <c r="R61" s="686">
        <f ca="1">R46+R52+R56</f>
        <v>107616.73374956319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0.1783673314967216</v>
      </c>
      <c r="D63" s="732">
        <f t="shared" ca="1" si="9"/>
        <v>2.4828797190518E-2</v>
      </c>
      <c r="E63" s="921">
        <f t="shared" ca="1" si="9"/>
        <v>0.20200000000000001</v>
      </c>
      <c r="F63" s="732">
        <f t="shared" si="9"/>
        <v>0.22700000000000001</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3823.398856916674</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11525.821163185128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2700</v>
      </c>
      <c r="C76" s="699">
        <f>'lokale energieproductie'!B8*IFERROR(SUM(D76:H76)/SUM(D76:O76),0)</f>
        <v>315</v>
      </c>
      <c r="D76" s="904">
        <f>'lokale energieproductie'!C8</f>
        <v>370.58823529411768</v>
      </c>
      <c r="E76" s="905">
        <f>'lokale energieproductie'!D8</f>
        <v>0</v>
      </c>
      <c r="F76" s="905">
        <f>'lokale energieproductie'!E8</f>
        <v>0</v>
      </c>
      <c r="G76" s="905">
        <f>'lokale energieproductie'!F8</f>
        <v>0</v>
      </c>
      <c r="H76" s="905">
        <f>'lokale energieproductie'!G8</f>
        <v>0</v>
      </c>
      <c r="I76" s="905">
        <f>'lokale energieproductie'!I8</f>
        <v>0</v>
      </c>
      <c r="J76" s="905">
        <f>'lokale energieproductie'!J8</f>
        <v>3176.4705882352946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74.858823529411779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18049.220020101802</v>
      </c>
      <c r="C78" s="704">
        <f>SUM(C72:C77)</f>
        <v>315</v>
      </c>
      <c r="D78" s="705">
        <f t="shared" ref="D78:H78" si="10">SUM(D76:D77)</f>
        <v>370.58823529411768</v>
      </c>
      <c r="E78" s="705">
        <f t="shared" si="10"/>
        <v>0</v>
      </c>
      <c r="F78" s="705">
        <f t="shared" si="10"/>
        <v>0</v>
      </c>
      <c r="G78" s="705">
        <f t="shared" si="10"/>
        <v>0</v>
      </c>
      <c r="H78" s="705">
        <f t="shared" si="10"/>
        <v>0</v>
      </c>
      <c r="I78" s="705">
        <f>SUM(I76:I77)</f>
        <v>0</v>
      </c>
      <c r="J78" s="705">
        <f>SUM(J76:J77)</f>
        <v>3176.4705882352946</v>
      </c>
      <c r="K78" s="705">
        <f t="shared" ref="K78:L78" si="11">SUM(K76:K77)</f>
        <v>0</v>
      </c>
      <c r="L78" s="705">
        <f t="shared" si="11"/>
        <v>0</v>
      </c>
      <c r="M78" s="705">
        <f>SUM(M76:M77)</f>
        <v>0</v>
      </c>
      <c r="N78" s="705">
        <f>SUM(N76:N77)</f>
        <v>0</v>
      </c>
      <c r="O78" s="813">
        <f>SUM(O76:O77)</f>
        <v>0</v>
      </c>
      <c r="P78" s="706">
        <v>0</v>
      </c>
      <c r="Q78" s="706">
        <f>SUM(Q76:Q77)</f>
        <v>74.858823529411779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3857.1428571428569</v>
      </c>
      <c r="C87" s="717">
        <f>'lokale energieproductie'!B17*IFERROR(SUM(D87:H87)/SUM(D87:O87),0)</f>
        <v>449.99999999999989</v>
      </c>
      <c r="D87" s="728">
        <f>'lokale energieproductie'!C17</f>
        <v>529.41176470588232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4537.815126050421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106.94117647058823</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3857.1428571428569</v>
      </c>
      <c r="C90" s="704">
        <f>SUM(C87:C89)</f>
        <v>449.99999999999989</v>
      </c>
      <c r="D90" s="704">
        <f t="shared" ref="D90:H90" si="12">SUM(D87:D89)</f>
        <v>529.41176470588232</v>
      </c>
      <c r="E90" s="704">
        <f t="shared" si="12"/>
        <v>0</v>
      </c>
      <c r="F90" s="704">
        <f t="shared" si="12"/>
        <v>0</v>
      </c>
      <c r="G90" s="704">
        <f t="shared" si="12"/>
        <v>0</v>
      </c>
      <c r="H90" s="704">
        <f t="shared" si="12"/>
        <v>0</v>
      </c>
      <c r="I90" s="704">
        <f>SUM(I87:I89)</f>
        <v>0</v>
      </c>
      <c r="J90" s="704">
        <f>SUM(J87:J89)</f>
        <v>4537.815126050421</v>
      </c>
      <c r="K90" s="704">
        <f t="shared" ref="K90:L90" si="13">SUM(K87:K89)</f>
        <v>0</v>
      </c>
      <c r="L90" s="704">
        <f t="shared" si="13"/>
        <v>0</v>
      </c>
      <c r="M90" s="704">
        <f>SUM(M87:M89)</f>
        <v>0</v>
      </c>
      <c r="N90" s="704">
        <f>SUM(N87:N89)</f>
        <v>0</v>
      </c>
      <c r="O90" s="704">
        <f>SUM(O87:O89)</f>
        <v>0</v>
      </c>
      <c r="P90" s="704">
        <v>0</v>
      </c>
      <c r="Q90" s="704">
        <f>SUM(Q87:Q89)</f>
        <v>106.94117647058823</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43590.1943708584</v>
      </c>
      <c r="C4" s="445">
        <f>huishoudens!C8</f>
        <v>0</v>
      </c>
      <c r="D4" s="445">
        <f>huishoudens!D8</f>
        <v>73878.070263443631</v>
      </c>
      <c r="E4" s="445">
        <f>huishoudens!E8</f>
        <v>3482.8654473885717</v>
      </c>
      <c r="F4" s="445">
        <f>huishoudens!F8</f>
        <v>57076.091126548628</v>
      </c>
      <c r="G4" s="445">
        <f>huishoudens!G8</f>
        <v>0</v>
      </c>
      <c r="H4" s="445">
        <f>huishoudens!H8</f>
        <v>0</v>
      </c>
      <c r="I4" s="445">
        <f>huishoudens!I8</f>
        <v>0</v>
      </c>
      <c r="J4" s="445">
        <f>huishoudens!J8</f>
        <v>315.03141756912191</v>
      </c>
      <c r="K4" s="445">
        <f>huishoudens!K8</f>
        <v>0</v>
      </c>
      <c r="L4" s="445">
        <f>huishoudens!L8</f>
        <v>0</v>
      </c>
      <c r="M4" s="445">
        <f>huishoudens!M8</f>
        <v>0</v>
      </c>
      <c r="N4" s="445">
        <f>huishoudens!N8</f>
        <v>14254.953106292935</v>
      </c>
      <c r="O4" s="445">
        <f>huishoudens!O8</f>
        <v>716.2089171987185</v>
      </c>
      <c r="P4" s="446">
        <f>huishoudens!P8</f>
        <v>1000.726134230077</v>
      </c>
      <c r="Q4" s="447">
        <f>SUM(B4:P4)</f>
        <v>194314.14078353008</v>
      </c>
    </row>
    <row r="5" spans="1:17">
      <c r="A5" s="444" t="s">
        <v>149</v>
      </c>
      <c r="B5" s="445">
        <f ca="1">tertiair!B16</f>
        <v>27392.504711267007</v>
      </c>
      <c r="C5" s="445">
        <f ca="1">tertiair!C16</f>
        <v>4307.1428571428569</v>
      </c>
      <c r="D5" s="445">
        <f ca="1">tertiair!D16</f>
        <v>24078.602817366136</v>
      </c>
      <c r="E5" s="445">
        <f>tertiair!E16</f>
        <v>75.025320195556972</v>
      </c>
      <c r="F5" s="445">
        <f ca="1">tertiair!F16</f>
        <v>4470.4650879829587</v>
      </c>
      <c r="G5" s="445">
        <f>tertiair!G16</f>
        <v>0</v>
      </c>
      <c r="H5" s="445">
        <f>tertiair!H16</f>
        <v>0</v>
      </c>
      <c r="I5" s="445">
        <f>tertiair!I16</f>
        <v>0</v>
      </c>
      <c r="J5" s="445">
        <f>tertiair!J16</f>
        <v>2.625267763691852E-2</v>
      </c>
      <c r="K5" s="445">
        <f>tertiair!K16</f>
        <v>0</v>
      </c>
      <c r="L5" s="445">
        <f ca="1">tertiair!L16</f>
        <v>0</v>
      </c>
      <c r="M5" s="445">
        <f>tertiair!M16</f>
        <v>0</v>
      </c>
      <c r="N5" s="445">
        <f ca="1">tertiair!N16</f>
        <v>0</v>
      </c>
      <c r="O5" s="445">
        <f>tertiair!O16</f>
        <v>24.486303829205774</v>
      </c>
      <c r="P5" s="446">
        <f>tertiair!P16</f>
        <v>105.07827661299004</v>
      </c>
      <c r="Q5" s="444">
        <f t="shared" ref="Q5:Q14" ca="1" si="0">SUM(B5:P5)</f>
        <v>60453.331627074345</v>
      </c>
    </row>
    <row r="6" spans="1:17">
      <c r="A6" s="444" t="s">
        <v>187</v>
      </c>
      <c r="B6" s="445">
        <f>'openbare verlichting'!B8</f>
        <v>1867.3710000000001</v>
      </c>
      <c r="C6" s="445"/>
      <c r="D6" s="445"/>
      <c r="E6" s="445"/>
      <c r="F6" s="445"/>
      <c r="G6" s="445"/>
      <c r="H6" s="445"/>
      <c r="I6" s="445"/>
      <c r="J6" s="445"/>
      <c r="K6" s="445"/>
      <c r="L6" s="445"/>
      <c r="M6" s="445"/>
      <c r="N6" s="445"/>
      <c r="O6" s="445"/>
      <c r="P6" s="446"/>
      <c r="Q6" s="444">
        <f t="shared" si="0"/>
        <v>1867.3710000000001</v>
      </c>
    </row>
    <row r="7" spans="1:17">
      <c r="A7" s="444" t="s">
        <v>105</v>
      </c>
      <c r="B7" s="445">
        <f>landbouw!B8</f>
        <v>2361.4702614933899</v>
      </c>
      <c r="C7" s="445">
        <f>landbouw!C8</f>
        <v>0</v>
      </c>
      <c r="D7" s="445">
        <f>landbouw!D8</f>
        <v>73.900870413058612</v>
      </c>
      <c r="E7" s="445">
        <f>landbouw!E8</f>
        <v>69.622819491865982</v>
      </c>
      <c r="F7" s="445">
        <f>landbouw!F8</f>
        <v>7505.5917319481759</v>
      </c>
      <c r="G7" s="445">
        <f>landbouw!G8</f>
        <v>0</v>
      </c>
      <c r="H7" s="445">
        <f>landbouw!H8</f>
        <v>0</v>
      </c>
      <c r="I7" s="445">
        <f>landbouw!I8</f>
        <v>0</v>
      </c>
      <c r="J7" s="445">
        <f>landbouw!J8</f>
        <v>595.54829875855114</v>
      </c>
      <c r="K7" s="445">
        <f>landbouw!K8</f>
        <v>0</v>
      </c>
      <c r="L7" s="445">
        <f>landbouw!L8</f>
        <v>0</v>
      </c>
      <c r="M7" s="445">
        <f>landbouw!M8</f>
        <v>0</v>
      </c>
      <c r="N7" s="445">
        <f>landbouw!N8</f>
        <v>0</v>
      </c>
      <c r="O7" s="445">
        <f>landbouw!O8</f>
        <v>0</v>
      </c>
      <c r="P7" s="446">
        <f>landbouw!P8</f>
        <v>0</v>
      </c>
      <c r="Q7" s="444">
        <f t="shared" si="0"/>
        <v>10606.133982105041</v>
      </c>
    </row>
    <row r="8" spans="1:17">
      <c r="A8" s="444" t="s">
        <v>587</v>
      </c>
      <c r="B8" s="445">
        <f>industrie!B18</f>
        <v>16964.398308837168</v>
      </c>
      <c r="C8" s="445">
        <f>industrie!C18</f>
        <v>0</v>
      </c>
      <c r="D8" s="445">
        <f>industrie!D18</f>
        <v>140279.13776728886</v>
      </c>
      <c r="E8" s="445">
        <f>industrie!E18</f>
        <v>56.404288795406728</v>
      </c>
      <c r="F8" s="445">
        <f>industrie!F18</f>
        <v>2651.1068802342397</v>
      </c>
      <c r="G8" s="445">
        <f>industrie!G18</f>
        <v>0</v>
      </c>
      <c r="H8" s="445">
        <f>industrie!H18</f>
        <v>0</v>
      </c>
      <c r="I8" s="445">
        <f>industrie!I18</f>
        <v>0</v>
      </c>
      <c r="J8" s="445">
        <f>industrie!J18</f>
        <v>3.5461815935105534</v>
      </c>
      <c r="K8" s="445">
        <f>industrie!K18</f>
        <v>0</v>
      </c>
      <c r="L8" s="445">
        <f>industrie!L18</f>
        <v>0</v>
      </c>
      <c r="M8" s="445">
        <f>industrie!M18</f>
        <v>0</v>
      </c>
      <c r="N8" s="445">
        <f>industrie!N18</f>
        <v>262.49793742082647</v>
      </c>
      <c r="O8" s="445">
        <f>industrie!O18</f>
        <v>0</v>
      </c>
      <c r="P8" s="446">
        <f>industrie!P18</f>
        <v>0</v>
      </c>
      <c r="Q8" s="444">
        <f t="shared" si="0"/>
        <v>160217.09136416999</v>
      </c>
    </row>
    <row r="9" spans="1:17" s="450" customFormat="1">
      <c r="A9" s="448" t="s">
        <v>536</v>
      </c>
      <c r="B9" s="449">
        <f>transport!B14</f>
        <v>139.93369443614196</v>
      </c>
      <c r="C9" s="449">
        <f>transport!C14</f>
        <v>0</v>
      </c>
      <c r="D9" s="449">
        <f>transport!D14</f>
        <v>284.30757992575911</v>
      </c>
      <c r="E9" s="449">
        <f>transport!E14</f>
        <v>151.73799982126951</v>
      </c>
      <c r="F9" s="449">
        <f>transport!F14</f>
        <v>0</v>
      </c>
      <c r="G9" s="449">
        <f>transport!G14</f>
        <v>63771.87768517615</v>
      </c>
      <c r="H9" s="449">
        <f>transport!H14</f>
        <v>18580.070413318739</v>
      </c>
      <c r="I9" s="449">
        <f>transport!I14</f>
        <v>0</v>
      </c>
      <c r="J9" s="449">
        <f>transport!J14</f>
        <v>0</v>
      </c>
      <c r="K9" s="449">
        <f>transport!K14</f>
        <v>0</v>
      </c>
      <c r="L9" s="449">
        <f>transport!L14</f>
        <v>0</v>
      </c>
      <c r="M9" s="449">
        <f>transport!M14</f>
        <v>4882.0725789368762</v>
      </c>
      <c r="N9" s="449">
        <f>transport!N14</f>
        <v>0</v>
      </c>
      <c r="O9" s="449">
        <f>transport!O14</f>
        <v>0</v>
      </c>
      <c r="P9" s="449">
        <f>transport!P14</f>
        <v>0</v>
      </c>
      <c r="Q9" s="448">
        <f>SUM(B9:P9)</f>
        <v>87809.99995161494</v>
      </c>
    </row>
    <row r="10" spans="1:17">
      <c r="A10" s="444" t="s">
        <v>526</v>
      </c>
      <c r="B10" s="445">
        <f>transport!B54</f>
        <v>14.697054977379793</v>
      </c>
      <c r="C10" s="445">
        <f>transport!C54</f>
        <v>0</v>
      </c>
      <c r="D10" s="445">
        <f>transport!D54</f>
        <v>0</v>
      </c>
      <c r="E10" s="445">
        <f>transport!E54</f>
        <v>0</v>
      </c>
      <c r="F10" s="445">
        <f>transport!F54</f>
        <v>0</v>
      </c>
      <c r="G10" s="445">
        <f>transport!G54</f>
        <v>1049.0493051904518</v>
      </c>
      <c r="H10" s="445">
        <f>transport!H54</f>
        <v>0</v>
      </c>
      <c r="I10" s="445">
        <f>transport!I54</f>
        <v>0</v>
      </c>
      <c r="J10" s="445">
        <f>transport!J54</f>
        <v>0</v>
      </c>
      <c r="K10" s="445">
        <f>transport!K54</f>
        <v>0</v>
      </c>
      <c r="L10" s="445">
        <f>transport!L54</f>
        <v>0</v>
      </c>
      <c r="M10" s="445">
        <f>transport!M54</f>
        <v>57.927027544662444</v>
      </c>
      <c r="N10" s="445">
        <f>transport!N54</f>
        <v>0</v>
      </c>
      <c r="O10" s="445">
        <f>transport!O54</f>
        <v>0</v>
      </c>
      <c r="P10" s="446">
        <f>transport!P54</f>
        <v>0</v>
      </c>
      <c r="Q10" s="444">
        <f t="shared" si="0"/>
        <v>1121.6733877124941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1110.30448118919</v>
      </c>
      <c r="C14" s="452"/>
      <c r="D14" s="452">
        <f>'SEAP template'!E25</f>
        <v>1852.9877445259399</v>
      </c>
      <c r="E14" s="452"/>
      <c r="F14" s="452"/>
      <c r="G14" s="452"/>
      <c r="H14" s="452"/>
      <c r="I14" s="452"/>
      <c r="J14" s="452"/>
      <c r="K14" s="452"/>
      <c r="L14" s="452"/>
      <c r="M14" s="452"/>
      <c r="N14" s="452"/>
      <c r="O14" s="452"/>
      <c r="P14" s="453"/>
      <c r="Q14" s="444">
        <f t="shared" si="0"/>
        <v>2963.2922257151299</v>
      </c>
    </row>
    <row r="15" spans="1:17" s="456" customFormat="1">
      <c r="A15" s="454" t="s">
        <v>530</v>
      </c>
      <c r="B15" s="455">
        <f ca="1">SUM(B4:B14)</f>
        <v>93440.873883058695</v>
      </c>
      <c r="C15" s="455">
        <f t="shared" ref="C15:Q15" ca="1" si="1">SUM(C4:C14)</f>
        <v>4307.1428571428569</v>
      </c>
      <c r="D15" s="455">
        <f t="shared" ca="1" si="1"/>
        <v>240447.00704296338</v>
      </c>
      <c r="E15" s="455">
        <f t="shared" si="1"/>
        <v>3835.6558756926711</v>
      </c>
      <c r="F15" s="455">
        <f t="shared" ca="1" si="1"/>
        <v>71703.254826713994</v>
      </c>
      <c r="G15" s="455">
        <f t="shared" si="1"/>
        <v>64820.926990366599</v>
      </c>
      <c r="H15" s="455">
        <f t="shared" si="1"/>
        <v>18580.070413318739</v>
      </c>
      <c r="I15" s="455">
        <f t="shared" si="1"/>
        <v>0</v>
      </c>
      <c r="J15" s="455">
        <f t="shared" si="1"/>
        <v>914.15215059882064</v>
      </c>
      <c r="K15" s="455">
        <f t="shared" si="1"/>
        <v>0</v>
      </c>
      <c r="L15" s="455">
        <f t="shared" ca="1" si="1"/>
        <v>0</v>
      </c>
      <c r="M15" s="455">
        <f t="shared" si="1"/>
        <v>4939.9996064815386</v>
      </c>
      <c r="N15" s="455">
        <f t="shared" ca="1" si="1"/>
        <v>14517.451043713761</v>
      </c>
      <c r="O15" s="455">
        <f t="shared" si="1"/>
        <v>740.69522102792428</v>
      </c>
      <c r="P15" s="455">
        <f t="shared" si="1"/>
        <v>1105.804410843067</v>
      </c>
      <c r="Q15" s="455">
        <f t="shared" ca="1" si="1"/>
        <v>519353.03432192199</v>
      </c>
    </row>
    <row r="17" spans="1:17">
      <c r="A17" s="457" t="s">
        <v>531</v>
      </c>
      <c r="B17" s="737">
        <f ca="1">huishoudens!B10</f>
        <v>0.1783673314967216</v>
      </c>
      <c r="C17" s="737">
        <f ca="1">huishoudens!C10</f>
        <v>2.4828797190518E-2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7775.0666493534281</v>
      </c>
      <c r="C22" s="445">
        <f t="shared" ref="C22:C32" ca="1" si="3">C4*$C$17</f>
        <v>0</v>
      </c>
      <c r="D22" s="445">
        <f t="shared" ref="D22:D32" si="4">D4*$D$17</f>
        <v>14923.370193215615</v>
      </c>
      <c r="E22" s="445">
        <f t="shared" ref="E22:E32" si="5">E4*$E$17</f>
        <v>790.61045655720579</v>
      </c>
      <c r="F22" s="445">
        <f t="shared" ref="F22:F32" si="6">F4*$F$17</f>
        <v>15239.316330788484</v>
      </c>
      <c r="G22" s="445">
        <f t="shared" ref="G22:G32" si="7">G4*$G$17</f>
        <v>0</v>
      </c>
      <c r="H22" s="445">
        <f t="shared" ref="H22:H32" si="8">H4*$H$17</f>
        <v>0</v>
      </c>
      <c r="I22" s="445">
        <f t="shared" ref="I22:I32" si="9">I4*$I$17</f>
        <v>0</v>
      </c>
      <c r="J22" s="445">
        <f t="shared" ref="J22:J32" si="10">J4*$J$17</f>
        <v>111.52112181946916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38839.8847517342</v>
      </c>
    </row>
    <row r="23" spans="1:17">
      <c r="A23" s="444" t="s">
        <v>149</v>
      </c>
      <c r="B23" s="445">
        <f t="shared" ca="1" si="2"/>
        <v>4885.9279683600707</v>
      </c>
      <c r="C23" s="445">
        <f t="shared" ca="1" si="3"/>
        <v>106.94117647058823</v>
      </c>
      <c r="D23" s="445">
        <f t="shared" ca="1" si="4"/>
        <v>4863.8777691079595</v>
      </c>
      <c r="E23" s="445">
        <f t="shared" si="5"/>
        <v>17.030747684391432</v>
      </c>
      <c r="F23" s="445">
        <f t="shared" ca="1" si="6"/>
        <v>1193.61417849145</v>
      </c>
      <c r="G23" s="445">
        <f t="shared" si="7"/>
        <v>0</v>
      </c>
      <c r="H23" s="445">
        <f t="shared" si="8"/>
        <v>0</v>
      </c>
      <c r="I23" s="445">
        <f t="shared" si="9"/>
        <v>0</v>
      </c>
      <c r="J23" s="445">
        <f t="shared" si="10"/>
        <v>9.2934478834691553E-3</v>
      </c>
      <c r="K23" s="445">
        <f t="shared" si="11"/>
        <v>0</v>
      </c>
      <c r="L23" s="445">
        <f t="shared" ca="1" si="12"/>
        <v>0</v>
      </c>
      <c r="M23" s="445">
        <f t="shared" si="13"/>
        <v>0</v>
      </c>
      <c r="N23" s="445">
        <f t="shared" ca="1" si="14"/>
        <v>0</v>
      </c>
      <c r="O23" s="445">
        <f t="shared" si="15"/>
        <v>0</v>
      </c>
      <c r="P23" s="446">
        <f t="shared" si="16"/>
        <v>0</v>
      </c>
      <c r="Q23" s="444">
        <f t="shared" ref="Q23:Q31" ca="1" si="17">SUM(B23:P23)</f>
        <v>11067.401133562345</v>
      </c>
    </row>
    <row r="24" spans="1:17">
      <c r="A24" s="444" t="s">
        <v>187</v>
      </c>
      <c r="B24" s="445">
        <f t="shared" ca="1" si="2"/>
        <v>333.07798218436454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333.07798218436454</v>
      </c>
    </row>
    <row r="25" spans="1:17">
      <c r="A25" s="444" t="s">
        <v>105</v>
      </c>
      <c r="B25" s="445">
        <f t="shared" ca="1" si="2"/>
        <v>421.20914895144131</v>
      </c>
      <c r="C25" s="445">
        <f t="shared" ca="1" si="3"/>
        <v>0</v>
      </c>
      <c r="D25" s="445">
        <f t="shared" si="4"/>
        <v>14.927975823437841</v>
      </c>
      <c r="E25" s="445">
        <f t="shared" si="5"/>
        <v>15.804380024653579</v>
      </c>
      <c r="F25" s="445">
        <f t="shared" si="6"/>
        <v>2003.992992430163</v>
      </c>
      <c r="G25" s="445">
        <f t="shared" si="7"/>
        <v>0</v>
      </c>
      <c r="H25" s="445">
        <f t="shared" si="8"/>
        <v>0</v>
      </c>
      <c r="I25" s="445">
        <f t="shared" si="9"/>
        <v>0</v>
      </c>
      <c r="J25" s="445">
        <f t="shared" si="10"/>
        <v>210.82409776052708</v>
      </c>
      <c r="K25" s="445">
        <f t="shared" si="11"/>
        <v>0</v>
      </c>
      <c r="L25" s="445">
        <f t="shared" si="12"/>
        <v>0</v>
      </c>
      <c r="M25" s="445">
        <f t="shared" si="13"/>
        <v>0</v>
      </c>
      <c r="N25" s="445">
        <f t="shared" si="14"/>
        <v>0</v>
      </c>
      <c r="O25" s="445">
        <f t="shared" si="15"/>
        <v>0</v>
      </c>
      <c r="P25" s="446">
        <f t="shared" si="16"/>
        <v>0</v>
      </c>
      <c r="Q25" s="444">
        <f t="shared" ca="1" si="17"/>
        <v>2666.7585949902227</v>
      </c>
    </row>
    <row r="26" spans="1:17">
      <c r="A26" s="444" t="s">
        <v>587</v>
      </c>
      <c r="B26" s="445">
        <f t="shared" ca="1" si="2"/>
        <v>3025.8944567947824</v>
      </c>
      <c r="C26" s="445">
        <f t="shared" ca="1" si="3"/>
        <v>0</v>
      </c>
      <c r="D26" s="445">
        <f t="shared" si="4"/>
        <v>28336.385828992352</v>
      </c>
      <c r="E26" s="445">
        <f t="shared" si="5"/>
        <v>12.803773556557328</v>
      </c>
      <c r="F26" s="445">
        <f t="shared" si="6"/>
        <v>707.84553702254209</v>
      </c>
      <c r="G26" s="445">
        <f t="shared" si="7"/>
        <v>0</v>
      </c>
      <c r="H26" s="445">
        <f t="shared" si="8"/>
        <v>0</v>
      </c>
      <c r="I26" s="445">
        <f t="shared" si="9"/>
        <v>0</v>
      </c>
      <c r="J26" s="445">
        <f t="shared" si="10"/>
        <v>1.2553482841027359</v>
      </c>
      <c r="K26" s="445">
        <f t="shared" si="11"/>
        <v>0</v>
      </c>
      <c r="L26" s="445">
        <f t="shared" si="12"/>
        <v>0</v>
      </c>
      <c r="M26" s="445">
        <f t="shared" si="13"/>
        <v>0</v>
      </c>
      <c r="N26" s="445">
        <f t="shared" si="14"/>
        <v>0</v>
      </c>
      <c r="O26" s="445">
        <f t="shared" si="15"/>
        <v>0</v>
      </c>
      <c r="P26" s="446">
        <f t="shared" si="16"/>
        <v>0</v>
      </c>
      <c r="Q26" s="444">
        <f t="shared" ca="1" si="17"/>
        <v>32084.184944650337</v>
      </c>
    </row>
    <row r="27" spans="1:17" s="450" customFormat="1">
      <c r="A27" s="448" t="s">
        <v>536</v>
      </c>
      <c r="B27" s="731">
        <f t="shared" ca="1" si="2"/>
        <v>24.959599663052281</v>
      </c>
      <c r="C27" s="449">
        <f t="shared" ca="1" si="3"/>
        <v>0</v>
      </c>
      <c r="D27" s="449">
        <f t="shared" si="4"/>
        <v>57.430131145003344</v>
      </c>
      <c r="E27" s="449">
        <f t="shared" si="5"/>
        <v>34.444525959428184</v>
      </c>
      <c r="F27" s="449">
        <f t="shared" si="6"/>
        <v>0</v>
      </c>
      <c r="G27" s="449">
        <f t="shared" si="7"/>
        <v>17027.091341942032</v>
      </c>
      <c r="H27" s="449">
        <f t="shared" si="8"/>
        <v>4626.4375329163659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21770.363131625883</v>
      </c>
    </row>
    <row r="28" spans="1:17" ht="16.5" customHeight="1">
      <c r="A28" s="444" t="s">
        <v>526</v>
      </c>
      <c r="B28" s="445">
        <f t="shared" ca="1" si="2"/>
        <v>2.6214744771758438</v>
      </c>
      <c r="C28" s="445">
        <f t="shared" ca="1" si="3"/>
        <v>0</v>
      </c>
      <c r="D28" s="445">
        <f t="shared" si="4"/>
        <v>0</v>
      </c>
      <c r="E28" s="445">
        <f t="shared" si="5"/>
        <v>0</v>
      </c>
      <c r="F28" s="445">
        <f t="shared" si="6"/>
        <v>0</v>
      </c>
      <c r="G28" s="445">
        <f t="shared" si="7"/>
        <v>280.09616448585064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282.7176389630265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198.04204745856774</v>
      </c>
      <c r="C32" s="445">
        <f t="shared" ca="1" si="3"/>
        <v>0</v>
      </c>
      <c r="D32" s="445">
        <f t="shared" si="4"/>
        <v>374.3035243942399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572.34557185280767</v>
      </c>
    </row>
    <row r="33" spans="1:17" s="456" customFormat="1">
      <c r="A33" s="454" t="s">
        <v>530</v>
      </c>
      <c r="B33" s="455">
        <f ca="1">SUM(B22:B32)</f>
        <v>16666.799327242879</v>
      </c>
      <c r="C33" s="455">
        <f t="shared" ref="C33:Q33" ca="1" si="19">SUM(C22:C32)</f>
        <v>106.94117647058823</v>
      </c>
      <c r="D33" s="455">
        <f t="shared" ca="1" si="19"/>
        <v>48570.29542267861</v>
      </c>
      <c r="E33" s="455">
        <f t="shared" si="19"/>
        <v>870.69388378223641</v>
      </c>
      <c r="F33" s="455">
        <f t="shared" ca="1" si="19"/>
        <v>19144.769038732637</v>
      </c>
      <c r="G33" s="455">
        <f t="shared" si="19"/>
        <v>17307.187506427883</v>
      </c>
      <c r="H33" s="455">
        <f t="shared" si="19"/>
        <v>4626.4375329163659</v>
      </c>
      <c r="I33" s="455">
        <f t="shared" si="19"/>
        <v>0</v>
      </c>
      <c r="J33" s="455">
        <f t="shared" si="19"/>
        <v>323.60986131198246</v>
      </c>
      <c r="K33" s="455">
        <f t="shared" si="19"/>
        <v>0</v>
      </c>
      <c r="L33" s="455">
        <f t="shared" ca="1" si="19"/>
        <v>0</v>
      </c>
      <c r="M33" s="455">
        <f t="shared" si="19"/>
        <v>0</v>
      </c>
      <c r="N33" s="455">
        <f t="shared" ca="1" si="19"/>
        <v>0</v>
      </c>
      <c r="O33" s="455">
        <f t="shared" si="19"/>
        <v>0</v>
      </c>
      <c r="P33" s="455">
        <f t="shared" si="19"/>
        <v>0</v>
      </c>
      <c r="Q33" s="455">
        <f t="shared" ca="1" si="19"/>
        <v>107616.73374956319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3823.398856916674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11525.821163185128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2700</v>
      </c>
      <c r="C8" s="972">
        <f>'SEAP template'!C76</f>
        <v>315</v>
      </c>
      <c r="D8" s="972">
        <f>'SEAP template'!D76</f>
        <v>370.58823529411768</v>
      </c>
      <c r="E8" s="972">
        <f>'SEAP template'!E76</f>
        <v>0</v>
      </c>
      <c r="F8" s="972">
        <f>'SEAP template'!F76</f>
        <v>0</v>
      </c>
      <c r="G8" s="972">
        <f>'SEAP template'!G76</f>
        <v>0</v>
      </c>
      <c r="H8" s="972">
        <f>'SEAP template'!H76</f>
        <v>0</v>
      </c>
      <c r="I8" s="972">
        <f>'SEAP template'!I76</f>
        <v>0</v>
      </c>
      <c r="J8" s="972">
        <f>'SEAP template'!J76</f>
        <v>3176.4705882352946</v>
      </c>
      <c r="K8" s="972">
        <f>'SEAP template'!K76</f>
        <v>0</v>
      </c>
      <c r="L8" s="972">
        <f>'SEAP template'!L76</f>
        <v>0</v>
      </c>
      <c r="M8" s="972">
        <f>'SEAP template'!M76</f>
        <v>0</v>
      </c>
      <c r="N8" s="972">
        <f>'SEAP template'!N76</f>
        <v>0</v>
      </c>
      <c r="O8" s="972">
        <f>'SEAP template'!O76</f>
        <v>0</v>
      </c>
      <c r="P8" s="973">
        <f>'SEAP template'!Q76</f>
        <v>74.858823529411779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18049.220020101802</v>
      </c>
      <c r="C10" s="974">
        <f>SUM(C4:C9)</f>
        <v>315</v>
      </c>
      <c r="D10" s="974">
        <f t="shared" ref="D10:H10" si="0">SUM(D8:D9)</f>
        <v>370.58823529411768</v>
      </c>
      <c r="E10" s="974">
        <f t="shared" si="0"/>
        <v>0</v>
      </c>
      <c r="F10" s="974">
        <f t="shared" si="0"/>
        <v>0</v>
      </c>
      <c r="G10" s="974">
        <f t="shared" si="0"/>
        <v>0</v>
      </c>
      <c r="H10" s="974">
        <f t="shared" si="0"/>
        <v>0</v>
      </c>
      <c r="I10" s="974">
        <f>SUM(I8:I9)</f>
        <v>0</v>
      </c>
      <c r="J10" s="974">
        <f>SUM(J8:J9)</f>
        <v>3176.4705882352946</v>
      </c>
      <c r="K10" s="974">
        <f t="shared" ref="K10:L10" si="1">SUM(K8:K9)</f>
        <v>0</v>
      </c>
      <c r="L10" s="974">
        <f t="shared" si="1"/>
        <v>0</v>
      </c>
      <c r="M10" s="974">
        <f>SUM(M8:M9)</f>
        <v>0</v>
      </c>
      <c r="N10" s="974">
        <f>SUM(N8:N9)</f>
        <v>0</v>
      </c>
      <c r="O10" s="974">
        <f>SUM(O8:O9)</f>
        <v>0</v>
      </c>
      <c r="P10" s="974">
        <f>SUM(P8:P9)</f>
        <v>74.858823529411779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0.1783673314967216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3857.1428571428569</v>
      </c>
      <c r="C17" s="975">
        <f>'SEAP template'!C87</f>
        <v>449.99999999999989</v>
      </c>
      <c r="D17" s="973">
        <f>'SEAP template'!D87</f>
        <v>529.41176470588232</v>
      </c>
      <c r="E17" s="973">
        <f>'SEAP template'!E87</f>
        <v>0</v>
      </c>
      <c r="F17" s="973">
        <f>'SEAP template'!F87</f>
        <v>0</v>
      </c>
      <c r="G17" s="973">
        <f>'SEAP template'!G87</f>
        <v>0</v>
      </c>
      <c r="H17" s="973">
        <f>'SEAP template'!H87</f>
        <v>0</v>
      </c>
      <c r="I17" s="973">
        <f>'SEAP template'!I87</f>
        <v>0</v>
      </c>
      <c r="J17" s="973">
        <f>'SEAP template'!J87</f>
        <v>4537.815126050421</v>
      </c>
      <c r="K17" s="973">
        <f>'SEAP template'!K87</f>
        <v>0</v>
      </c>
      <c r="L17" s="973">
        <f>'SEAP template'!L87</f>
        <v>0</v>
      </c>
      <c r="M17" s="973">
        <f>'SEAP template'!M87</f>
        <v>0</v>
      </c>
      <c r="N17" s="973">
        <f>'SEAP template'!N87</f>
        <v>0</v>
      </c>
      <c r="O17" s="973">
        <f>'SEAP template'!O87</f>
        <v>0</v>
      </c>
      <c r="P17" s="973">
        <f>'SEAP template'!Q87</f>
        <v>106.94117647058823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3857.1428571428569</v>
      </c>
      <c r="C20" s="974">
        <f>SUM(C17:C19)</f>
        <v>449.99999999999989</v>
      </c>
      <c r="D20" s="974">
        <f t="shared" ref="D20:H20" si="2">SUM(D17:D19)</f>
        <v>529.41176470588232</v>
      </c>
      <c r="E20" s="974">
        <f t="shared" si="2"/>
        <v>0</v>
      </c>
      <c r="F20" s="974">
        <f t="shared" si="2"/>
        <v>0</v>
      </c>
      <c r="G20" s="974">
        <f t="shared" si="2"/>
        <v>0</v>
      </c>
      <c r="H20" s="974">
        <f t="shared" si="2"/>
        <v>0</v>
      </c>
      <c r="I20" s="974">
        <f>SUM(I17:I19)</f>
        <v>0</v>
      </c>
      <c r="J20" s="974">
        <f>SUM(J17:J19)</f>
        <v>4537.815126050421</v>
      </c>
      <c r="K20" s="974">
        <f t="shared" ref="K20:L20" si="3">SUM(K17:K19)</f>
        <v>0</v>
      </c>
      <c r="L20" s="974">
        <f t="shared" si="3"/>
        <v>0</v>
      </c>
      <c r="M20" s="974">
        <f>SUM(M17:M19)</f>
        <v>0</v>
      </c>
      <c r="N20" s="974">
        <f>SUM(N17:N19)</f>
        <v>0</v>
      </c>
      <c r="O20" s="974">
        <f>SUM(O17:O19)</f>
        <v>0</v>
      </c>
      <c r="P20" s="974">
        <f>SUM(P17:P19)</f>
        <v>106.94117647058823</v>
      </c>
    </row>
    <row r="21" spans="1:16">
      <c r="B21" s="841"/>
    </row>
    <row r="22" spans="1:16">
      <c r="A22" s="457" t="s">
        <v>730</v>
      </c>
      <c r="B22" s="737" t="s">
        <v>728</v>
      </c>
      <c r="C22" s="737">
        <f ca="1">'EF ele_warmte'!B22</f>
        <v>2.4828797190518E-2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0.1783673314967216</v>
      </c>
      <c r="C17" s="493">
        <f ca="1">'EF ele_warmte'!B22</f>
        <v>2.4828797190518E-2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2022-07-26T09:51:27Z</dcterms:modified>
</cp:coreProperties>
</file>