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75466A7A-5396-4305-A7B9-5060273D7AC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<sst xmlns="http://schemas.openxmlformats.org/spreadsheetml/2006/main" count="2372" uniqueCount="861">
  <si>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</si>
  <si>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</si>
  <si>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</si>
  <si>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</si>
  <si>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</si>
  <si>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</si>
  <si>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</si>
  <si>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</si>
  <si>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</si>
  <si>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</si>
  <si>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</si>
  <si>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</si>
  <si>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</si>
  <si>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</si>
  <si>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</si>
  <si>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</si>
  <si>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</si>
  <si>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</si>
  <si>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</si>
  <si>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</si>
  <si>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</si>
  <si>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</si>
  <si>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</si>
  <si>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</si>
  <si>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</si>
  <si>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</si>
  <si>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</si>
  <si>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</si>
  <si>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</si>
  <si>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</si>
  <si>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</si>
  <si>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</si>
  <si>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</si>
  <si>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</si>
  <si>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</si>
  <si>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</si>
  <si>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</si>
  <si>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</si>
  <si>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</si>
  <si>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</si>
  <si>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</si>
  <si>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</si>
  <si>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</si>
  <si>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</si>
  <si>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</si>
  <si>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</si>
  <si>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</si>
  <si>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</si>
  <si>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</si>
  <si>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</si>
  <si>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</si>
  <si>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</si>
  <si>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</si>
  <si>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</si>
  <si>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</si>
  <si>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</si>
  <si>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</si>
  <si>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</si>
  <si>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</si>
  <si>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</si>
  <si>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</si>
  <si>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</si>
  <si>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</si>
  <si>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</si>
  <si>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</si>
  <si>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</si>
  <si>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</si>
  <si>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</si>
  <si>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</si>
  <si>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</si>
  <si>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</si>
  <si>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</si>
  <si>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</si>
  <si>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</si>
  <si>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</si>
  <si>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</si>
  <si>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</si>
  <si>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</si>
  <si>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</si>
  <si>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</si>
  <si>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</si>
  <si>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</si>
  <si>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</si>
  <si>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</si>
  <si>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</si>
  <si>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</si>
  <si>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</si>
  <si>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</si>
  <si>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</si>
  <si>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</si>
  <si>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</si>
  <si>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</si>
  <si>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</si>
  <si>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</si>
  <si>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</si>
  <si>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</si>
  <si>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</si>
  <si>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</si>
  <si>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</si>
  <si>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</si>
  <si>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</si>
  <si>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</si>
  <si>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</si>
  <si>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</si>
  <si>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</si>
  <si>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</si>
  <si>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</si>
  <si>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</si>
  <si>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</si>
  <si>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</si>
  <si>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</si>
  <si>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</si>
  <si>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</si>
  <si>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</si>
  <si>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</si>
  <si>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</si>
  <si>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</si>
  <si>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</si>
  <si>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</si>
  <si>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</si>
  <si>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</si>
  <si>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</si>
  <si>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</si>
  <si>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</si>
  <si>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</si>
  <si>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</si>
  <si>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</si>
  <si>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</si>
  <si>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</si>
  <si>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</si>
  <si>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</si>
  <si>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</si>
  <si>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</si>
  <si>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</si>
  <si>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</si>
  <si>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</si>
  <si>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</si>
  <si>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</si>
  <si>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</si>
  <si>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</si>
  <si>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</si>
  <si>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</si>
  <si>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</si>
  <si>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</si>
  <si>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</si>
  <si>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</si>
  <si>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</si>
  <si>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</si>
  <si>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</si>
  <si>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</si>
  <si>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</si>
  <si>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</si>
  <si>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</si>
  <si>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</si>
  <si>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</si>
  <si>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</si>
  <si>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</si>
  <si>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</si>
  <si>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</si>
  <si>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</si>
  <si>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</si>
  <si>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</si>
  <si>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</si>
  <si>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</si>
  <si>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</si>
  <si>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</si>
  <si>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</si>
  <si>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</si>
  <si>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</si>
  <si>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</si>
  <si>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</si>
  <si>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</si>
  <si>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</si>
  <si>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</si>
  <si>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</si>
  <si>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</si>
  <si>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</si>
  <si>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</si>
  <si>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</si>
  <si>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</si>
  <si>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</si>
  <si>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</si>
  <si>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</si>
  <si>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</si>
  <si>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</si>
  <si>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</si>
  <si>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</si>
  <si>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</si>
  <si>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</si>
  <si>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</si>
  <si>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</si>
  <si>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</si>
  <si>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</si>
  <si>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</si>
  <si>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</si>
  <si>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</si>
  <si>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</si>
  <si>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</si>
  <si>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</si>
  <si>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</si>
  <si>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</si>
  <si>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</si>
  <si>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</si>
  <si>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</si>
  <si>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</si>
  <si>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</si>
  <si>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</si>
  <si>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</si>
  <si>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</si>
  <si>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</si>
  <si>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</si>
  <si>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</si>
  <si>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</si>
  <si>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</si>
  <si>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</si>
  <si>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</si>
  <si>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</si>
  <si>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</si>
  <si>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</si>
  <si>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</si>
  <si>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</si>
  <si>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</si>
  <si>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</si>
  <si>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</si>
  <si>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</si>
  <si>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</si>
  <si>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</si>
  <si>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</si>
  <si>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</si>
  <si>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</si>
  <si>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</si>
  <si>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</si>
  <si>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</si>
  <si>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</si>
  <si>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</si>
  <si>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</si>
  <si>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</si>
  <si>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</si>
  <si>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</si>
  <si>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</si>
  <si>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</si>
  <si>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</si>
  <si>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</si>
  <si>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</si>
  <si>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</si>
  <si>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</si>
  <si>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</si>
  <si>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</si>
  <si>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</si>
  <si>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</si>
  <si>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</si>
  <si>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</si>
  <si>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</si>
  <si>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</si>
  <si>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</si>
  <si>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</si>
  <si>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</si>
  <si>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</si>
  <si>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</si>
  <si>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</si>
  <si>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</si>
  <si>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</si>
  <si>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</si>
  <si>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</si>
  <si>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</si>
  <si>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</si>
  <si>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</si>
  <si>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</si>
  <si>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</si>
  <si>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</si>
  <si>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</si>
  <si>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</si>
  <si>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</si>
  <si>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</si>
  <si>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</si>
  <si>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</si>
  <si>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</si>
  <si>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</si>
  <si>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</si>
  <si>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</si>
  <si>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</si>
  <si>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</si>
  <si>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</si>
  <si>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</si>
  <si>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</si>
  <si>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</si>
  <si>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</si>
  <si>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</si>
  <si>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</si>
  <si>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</si>
  <si>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</si>
  <si>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</si>
  <si>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</si>
  <si>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</si>
  <si>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</si>
  <si>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</si>
  <si>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</si>
  <si>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</si>
  <si>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</si>
  <si>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</si>
  <si>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</si>
  <si>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</si>
  <si>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</si>
  <si>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</si>
  <si>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</si>
  <si>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</si>
  <si>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</si>
  <si>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</si>
  <si>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</si>
  <si>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</si>
  <si>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</si>
  <si>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</si>
  <si>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</si>
  <si>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</si>
  <si>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</si>
  <si>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</si>
  <si>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</si>
  <si>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</si>
  <si>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</si>
  <si>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</si>
  <si>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</si>
  <si>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</si>
  <si>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</si>
  <si>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</si>
  <si>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</si>
  <si>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</si>
  <si>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</si>
  <si>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</si>
  <si>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</si>
  <si>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</si>
  <si>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</si>
  <si>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</si>
  <si>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</si>
  <si>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</si>
  <si>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</si>
  <si>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</si>
  <si>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</si>
  <si>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</si>
  <si>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</si>
  <si>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</si>
  <si>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</si>
  <si>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</si>
  <si>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</si>
  <si>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</si>
  <si>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</si>
  <si>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</si>
  <si>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</si>
  <si>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</si>
  <si>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</si>
  <si>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</si>
  <si>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</si>
  <si>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</si>
  <si>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</si>
  <si>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</si>
  <si>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</si>
  <si>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</si>
  <si>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</si>
  <si>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</si>
  <si>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</si>
  <si>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</si>
  <si>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</si>
  <si>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</si>
  <si>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</si>
  <si>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</si>
  <si>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</si>
  <si>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</si>
  <si>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</si>
  <si>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</si>
  <si>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</si>
  <si>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</si>
  <si>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</si>
  <si>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</si>
  <si>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</si>
  <si>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</si>
  <si>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</si>
  <si>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</si>
  <si>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</si>
  <si>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</si>
  <si>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</si>
  <si>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</si>
  <si>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</si>
  <si>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</si>
  <si>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</si>
  <si>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</si>
  <si>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</si>
  <si>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</si>
  <si>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</si>
  <si>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</si>
  <si>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</si>
  <si>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</si>
  <si>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</si>
  <si>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</si>
  <si>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</si>
  <si>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</si>
  <si>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</si>
  <si>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</si>
  <si>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</si>
  <si>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</si>
  <si>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</si>
  <si>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</si>
  <si>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</si>
  <si>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</si>
  <si>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</si>
  <si>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</si>
  <si>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</si>
  <si>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</si>
  <si>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</si>
  <si>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</si>
  <si>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</si>
  <si>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</si>
  <si>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</si>
  <si>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</si>
  <si>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</si>
  <si>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</si>
  <si>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</si>
  <si>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</si>
  <si>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</si>
  <si>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</si>
  <si>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</si>
  <si>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</si>
  <si>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</si>
  <si>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</si>
  <si>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</si>
  <si>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</si>
  <si>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</si>
  <si>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</si>
  <si>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</si>
  <si>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</si>
  <si>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</si>
  <si>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</si>
  <si>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</si>
  <si>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</si>
  <si>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</si>
  <si>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</si>
  <si>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</si>
  <si>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</si>
  <si>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</si>
  <si>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</si>
  <si>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</si>
  <si>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</si>
  <si>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</si>
  <si>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</si>
  <si>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</si>
  <si>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</si>
  <si>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</si>
  <si>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</si>
  <si>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</si>
  <si>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</si>
  <si>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</si>
  <si>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</si>
  <si>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</si>
  <si>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</si>
  <si>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</si>
  <si>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</si>
  <si>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</si>
  <si>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</si>
  <si>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</si>
  <si>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</si>
  <si>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</si>
  <si>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</si>
  <si>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</si>
  <si>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</si>
  <si>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</si>
  <si>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</si>
  <si>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</si>
  <si>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</si>
  <si>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</si>
  <si>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</si>
  <si>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</si>
  <si>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</si>
  <si>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</si>
  <si>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</si>
  <si>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</si>
  <si>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</si>
  <si>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</si>
  <si>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</si>
  <si>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</si>
  <si>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</si>
  <si>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</si>
  <si>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</si>
  <si>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</si>
  <si>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</si>
  <si>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</si>
  <si>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</si>
  <si>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</si>
  <si>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</si>
  <si>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</si>
  <si>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</si>
  <si>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</si>
  <si>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</si>
  <si>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</si>
  <si>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</si>
  <si>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</si>
  <si>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</si>
  <si>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</si>
  <si>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</si>
  <si>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</si>
  <si>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</si>
  <si>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</si>
  <si>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</si>
  <si>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</si>
  <si>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</si>
  <si>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</si>
  <si>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</si>
  <si>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</si>
  <si>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</si>
  <si>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</si>
  <si>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</si>
  <si>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</si>
  <si>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</si>
  <si>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</si>
  <si>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</si>
  <si>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</si>
  <si>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</si>
  <si>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</si>
  <si>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</si>
  <si>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</si>
  <si>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</si>
  <si>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</si>
  <si>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</si>
  <si>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</si>
  <si>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</si>
  <si>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</si>
  <si>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</si>
  <si>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</si>
  <si>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</si>
  <si>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</si>
  <si>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</si>
  <si>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</si>
  <si>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</si>
  <si>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</si>
  <si>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</si>
  <si>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</si>
  <si>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</si>
  <si>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</si>
  <si>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</si>
  <si>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</si>
  <si>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</si>
  <si>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</si>
  <si>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</si>
  <si>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</si>
  <si>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</si>
  <si>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</si>
  <si>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</si>
  <si>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</si>
  <si>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</si>
  <si>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</si>
  <si>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</si>
  <si>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</si>
  <si>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</si>
  <si>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</si>
  <si>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</si>
  <si>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</si>
  <si>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</si>
  <si>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</si>
  <si>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</si>
  <si>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</si>
  <si>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</si>
  <si>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</si>
  <si>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</si>
  <si>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</si>
  <si>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</si>
  <si>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</si>
  <si>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</si>
  <si>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</si>
  <si>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</si>
  <si>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</si>
  <si>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</si>
  <si>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</si>
  <si>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</si>
  <si>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</si>
  <si>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</si>
  <si>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</si>
  <si>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</si>
  <si>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</si>
  <si>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</si>
  <si>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</si>
  <si>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</si>
  <si>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</si>
  <si>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</si>
  <si>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</si>
  <si>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</si>
  <si>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</si>
  <si>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</si>
  <si>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</si>
  <si>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</si>
  <si>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</si>
  <si>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</si>
  <si>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</si>
  <si>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</si>
  <si>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</si>
  <si>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</si>
  <si>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</si>
  <si>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</si>
  <si>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</si>
  <si>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</si>
  <si>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</si>
  <si>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</si>
  <si>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</si>
  <si>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</si>
  <si>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</si>
  <si>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</si>
  <si>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</si>
  <si>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</si>
  <si>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</si>
  <si>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</si>
  <si>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</si>
  <si>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</si>
  <si>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</si>
  <si>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</si>
  <si>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</si>
  <si>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</si>
  <si>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</si>
  <si>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</si>
  <si>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</si>
  <si>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</si>
  <si>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</si>
  <si>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</si>
  <si>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</si>
  <si>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</si>
  <si>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</si>
  <si>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</si>
  <si>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</si>
  <si>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</si>
  <si>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</si>
  <si>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</si>
  <si>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</si>
  <si>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</si>
  <si>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</si>
  <si>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</si>
  <si>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</si>
  <si>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</si>
  <si>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</si>
  <si>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</si>
  <si>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</si>
  <si>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</si>
  <si>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</si>
  <si>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</si>
  <si>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</si>
  <si>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</si>
  <si>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</si>
  <si>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</si>
  <si>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</si>
  <si>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</si>
  <si>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</si>
  <si>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</si>
  <si>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</si>
  <si>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</si>
  <si>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</si>
  <si>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</si>
  <si>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</si>
  <si>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</si>
  <si>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</si>
  <si>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</si>
  <si>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</si>
  <si>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</si>
  <si>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</si>
  <si>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</si>
  <si>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</si>
  <si>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</si>
  <si>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</si>
  <si>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</si>
  <si>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</si>
  <si>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</si>
  <si>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</si>
  <si>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</si>
  <si>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</si>
  <si>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</si>
  <si>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</si>
  <si>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</si>
  <si>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</si>
  <si>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</si>
  <si>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</si>
  <si>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</si>
  <si>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</si>
  <si>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</si>
  <si>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</si>
  <si>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</si>
  <si>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</si>
  <si>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</si>
  <si>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</si>
  <si>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</si>
  <si>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</si>
  <si>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</si>
  <si>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</si>
  <si>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</si>
  <si>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</si>
  <si>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</si>
  <si>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</si>
  <si>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</si>
  <si>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</si>
  <si>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</si>
  <si>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</si>
  <si>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</si>
  <si>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</si>
  <si>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</si>
  <si>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</si>
  <si>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</si>
  <si>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</si>
  <si>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</si>
  <si>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</si>
  <si>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</si>
  <si>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</si>
  <si>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</si>
  <si>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</si>
  <si>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</si>
  <si>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</si>
  <si>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</si>
  <si>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</si>
  <si>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</si>
  <si>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</si>
  <si>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</si>
  <si>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</si>
  <si>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</si>
  <si>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</si>
  <si>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</si>
  <si>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</si>
  <si>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</si>
  <si>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</si>
  <si>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</si>
  <si>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</si>
  <si>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</si>
  <si>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</si>
  <si>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</si>
  <si>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</si>
  <si>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</si>
  <si>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</si>
  <si>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</si>
  <si>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</si>
  <si>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</si>
  <si>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</si>
  <si>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</si>
  <si>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</si>
  <si>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</si>
  <si>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</si>
  <si>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</si>
  <si>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</si>
  <si>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</si>
  <si>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</si>
  <si>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</si>
  <si>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</si>
  <si>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</si>
  <si>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</si>
  <si>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</si>
  <si>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</si>
  <si>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</si>
  <si>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</si>
  <si>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</si>
  <si>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</si>
  <si>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</si>
  <si>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</si>
  <si>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</si>
  <si>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</si>
  <si>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</si>
  <si>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</si>
  <si>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</si>
  <si>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</si>
  <si>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</si>
  <si>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</si>
  <si>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</si>
  <si>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</si>
  <si>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</si>
  <si>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</si>
  <si>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</si>
  <si>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</si>
  <si>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</si>
  <si>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</si>
  <si>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</si>
  <si>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</si>
  <si>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</si>
  <si>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</si>
  <si>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</si>
  <si>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</si>
  <si>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</si>
  <si>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</si>
  <si>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</si>
  <si>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</si>
  <si>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</si>
  <si>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</si>
  <si>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</si>
  <si>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</si>
  <si>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</si>
  <si>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</si>
  <si>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</si>
  <si>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</si>
  <si>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</si>
  <si>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</si>
  <si>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</si>
  <si>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</si>
  <si>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</si>
  <si>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</si>
  <si>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</si>
  <si>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</si>
  <si>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</si>
  <si>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</si>
  <si>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</si>
  <si>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</si>
  <si>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</si>
  <si>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</si>
  <si>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</si>
  <si>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</si>
  <si>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</si>
  <si>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</si>
  <si>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</si>
  <si>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</si>
  <si>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</si>
  <si>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</si>
  <si>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</si>
  <si>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</si>
  <si>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</si>
  <si>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</si>
  <si>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</si>
  <si>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</si>
  <si>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</si>
  <si>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</si>
  <si>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</si>
  <si>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</si>
  <si>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</si>
  <si>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</si>
  <si>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</si>
  <si>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</si>
  <si>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</si>
  <si>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</si>
  <si>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</si>
  <si>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</si>
  <si>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</si>
  <si>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</si>
  <si>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</si>
  <si>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</si>
  <si>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</si>
  <si>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</si>
  <si>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</si>
  <si>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</si>
  <si>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</si>
  <si>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</si>
  <si>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</si>
  <si>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</si>
  <si>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</si>
  <si>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</si>
  <si>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</si>
  <si>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</si>
  <si>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</si>
  <si>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</si>
  <si>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</si>
  <si>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</si>
  <si>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</si>
  <si>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</si>
  <si>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</si>
  <si>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</si>
  <si>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</si>
  <si>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</si>
  <si>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</si>
  <si>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</si>
  <si>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</si>
  <si>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</si>
  <si>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</si>
  <si>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</si>
  <si>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24135</t>
  </si>
  <si>
    <t>TIELT-WINGE</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</si>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</sst>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F481A033-F789-49C7-91F3-93B58134EA4E}"/>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89564.303378202152</c:v>
                </c:pt>
                <c:pt idx="1">
                  <c:v>19733.41084987437</c:v>
                </c:pt>
                <c:pt idx="2">
                  <c:v>598.05100000000004</c:v>
                </c:pt>
                <c:pt idx="3">
                  <c:v>4316.8111291995774</c:v>
                </c:pt>
                <c:pt idx="4">
                  <c:v>1910.5011255555505</c:v>
                </c:pt>
                <c:pt idx="5">
                  <c:v>102469.69929702363</c:v>
                </c:pt>
                <c:pt idx="6">
                  <c:v>2137.6051284582777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89564.303378202152</c:v>
                </c:pt>
                <c:pt idx="1">
                  <c:v>19733.41084987437</c:v>
                </c:pt>
                <c:pt idx="2">
                  <c:v>598.05100000000004</c:v>
                </c:pt>
                <c:pt idx="3">
                  <c:v>4316.8111291995774</c:v>
                </c:pt>
                <c:pt idx="4">
                  <c:v>1910.5011255555505</c:v>
                </c:pt>
                <c:pt idx="5">
                  <c:v>102469.69929702363</c:v>
                </c:pt>
                <c:pt idx="6">
                  <c:v>2137.6051284582777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18796.519157867766</c:v>
                </c:pt>
                <c:pt idx="1">
                  <c:v>3910.501648663841</c:v>
                </c:pt>
                <c:pt idx="2">
                  <c:v>114.19082084157296</c:v>
                </c:pt>
                <c:pt idx="3">
                  <c:v>1082.3478893190293</c:v>
                </c:pt>
                <c:pt idx="4">
                  <c:v>393.10801088167739</c:v>
                </c:pt>
                <c:pt idx="5">
                  <c:v>25449.714893730034</c:v>
                </c:pt>
                <c:pt idx="6">
                  <c:v>539.13520311572063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18796.519157867766</c:v>
                </c:pt>
                <c:pt idx="1">
                  <c:v>3910.501648663841</c:v>
                </c:pt>
                <c:pt idx="2">
                  <c:v>114.19082084157296</c:v>
                </c:pt>
                <c:pt idx="3">
                  <c:v>1082.3478893190293</c:v>
                </c:pt>
                <c:pt idx="4">
                  <c:v>393.10801088167739</c:v>
                </c:pt>
                <c:pt idx="5">
                  <c:v>25449.714893730034</c:v>
                </c:pt>
                <c:pt idx="6">
                  <c:v>539.13520311572063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24135</v>
      </c>
      <c r="B6" s="382"/>
      <c r="C6" s="383"/>
    </row>
    <row r="7" spans="1:7" s="380" customFormat="1" ht="15.75" customHeight="1">
      <c r="A7" s="384" t="str">
        <f>txtMunicipality</f>
        <v>TIELT-WINGE</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0.19093826586958795</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0.19093826586958795</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4464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2017.15</v>
      </c>
      <c r="C14" s="324"/>
      <c r="D14" s="324"/>
      <c r="E14" s="324"/>
      <c r="F14" s="324"/>
    </row>
    <row r="15" spans="1:6">
      <c r="A15" s="1264" t="s">
        <v>177</v>
      </c>
      <c r="B15" s="1265">
        <v>6</v>
      </c>
      <c r="C15" s="324"/>
      <c r="D15" s="324"/>
      <c r="E15" s="324"/>
      <c r="F15" s="324"/>
    </row>
    <row r="16" spans="1:6">
      <c r="A16" s="1264" t="s">
        <v>6</v>
      </c>
      <c r="B16" s="1265">
        <v>172</v>
      </c>
      <c r="C16" s="324"/>
      <c r="D16" s="324"/>
      <c r="E16" s="324"/>
      <c r="F16" s="324"/>
    </row>
    <row r="17" spans="1:6">
      <c r="A17" s="1264" t="s">
        <v>7</v>
      </c>
      <c r="B17" s="1265">
        <v>367</v>
      </c>
      <c r="C17" s="324"/>
      <c r="D17" s="324"/>
      <c r="E17" s="324"/>
      <c r="F17" s="324"/>
    </row>
    <row r="18" spans="1:6">
      <c r="A18" s="1264" t="s">
        <v>8</v>
      </c>
      <c r="B18" s="1265">
        <v>494</v>
      </c>
      <c r="C18" s="324"/>
      <c r="D18" s="324"/>
      <c r="E18" s="324"/>
      <c r="F18" s="324"/>
    </row>
    <row r="19" spans="1:6">
      <c r="A19" s="1264" t="s">
        <v>9</v>
      </c>
      <c r="B19" s="1265">
        <v>475</v>
      </c>
      <c r="C19" s="324"/>
      <c r="D19" s="324"/>
      <c r="E19" s="324"/>
      <c r="F19" s="324"/>
    </row>
    <row r="20" spans="1:6">
      <c r="A20" s="1264" t="s">
        <v>10</v>
      </c>
      <c r="B20" s="1265">
        <v>185</v>
      </c>
      <c r="C20" s="324"/>
      <c r="D20" s="324"/>
      <c r="E20" s="324"/>
      <c r="F20" s="324"/>
    </row>
    <row r="21" spans="1:6">
      <c r="A21" s="1264" t="s">
        <v>11</v>
      </c>
      <c r="B21" s="1265">
        <v>285</v>
      </c>
      <c r="C21" s="324"/>
      <c r="D21" s="324"/>
      <c r="E21" s="324"/>
      <c r="F21" s="324"/>
    </row>
    <row r="22" spans="1:6">
      <c r="A22" s="1264" t="s">
        <v>12</v>
      </c>
      <c r="B22" s="1265">
        <v>2961</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10</v>
      </c>
      <c r="C25" s="324"/>
      <c r="D25" s="324"/>
      <c r="E25" s="324"/>
      <c r="F25" s="324"/>
    </row>
    <row r="26" spans="1:6">
      <c r="A26" s="1264" t="s">
        <v>16</v>
      </c>
      <c r="B26" s="1265">
        <v>596</v>
      </c>
      <c r="C26" s="324"/>
      <c r="D26" s="324"/>
      <c r="E26" s="324"/>
      <c r="F26" s="324"/>
    </row>
    <row r="27" spans="1:6">
      <c r="A27" s="1264" t="s">
        <v>17</v>
      </c>
      <c r="B27" s="1265">
        <v>1</v>
      </c>
      <c r="C27" s="324"/>
      <c r="D27" s="324"/>
      <c r="E27" s="324"/>
      <c r="F27" s="324"/>
    </row>
    <row r="28" spans="1:6">
      <c r="A28" s="1264" t="s">
        <v>18</v>
      </c>
      <c r="B28" s="1266">
        <v>79167</v>
      </c>
      <c r="C28" s="324"/>
      <c r="D28" s="324"/>
      <c r="E28" s="324"/>
      <c r="F28" s="324"/>
    </row>
    <row r="29" spans="1:6">
      <c r="A29" s="1264" t="s">
        <v>657</v>
      </c>
      <c r="B29" s="1266">
        <v>129</v>
      </c>
      <c r="C29" s="324"/>
      <c r="D29" s="324"/>
      <c r="E29" s="324"/>
      <c r="F29" s="324"/>
    </row>
    <row r="30" spans="1:6">
      <c r="A30" s="1259" t="s">
        <v>658</v>
      </c>
      <c r="B30" s="1267">
        <v>21</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0</v>
      </c>
      <c r="F38" s="1265">
        <v>0</v>
      </c>
    </row>
    <row r="39" spans="1:6">
      <c r="A39" s="1264" t="s">
        <v>29</v>
      </c>
      <c r="B39" s="1264" t="s">
        <v>30</v>
      </c>
      <c r="C39" s="1265">
        <v>1477</v>
      </c>
      <c r="D39" s="1265">
        <v>23391300.642000001</v>
      </c>
      <c r="E39" s="1265">
        <v>4294</v>
      </c>
      <c r="F39" s="1265">
        <v>15228091.254000001</v>
      </c>
    </row>
    <row r="40" spans="1:6">
      <c r="A40" s="1264" t="s">
        <v>29</v>
      </c>
      <c r="B40" s="1264" t="s">
        <v>28</v>
      </c>
      <c r="C40" s="1265">
        <v>0</v>
      </c>
      <c r="D40" s="1265">
        <v>0</v>
      </c>
      <c r="E40" s="1265">
        <v>0</v>
      </c>
      <c r="F40" s="1265">
        <v>0</v>
      </c>
    </row>
    <row r="41" spans="1:6">
      <c r="A41" s="1264" t="s">
        <v>31</v>
      </c>
      <c r="B41" s="1264" t="s">
        <v>32</v>
      </c>
      <c r="C41" s="1265">
        <v>19</v>
      </c>
      <c r="D41" s="1265">
        <v>399737.78600000002</v>
      </c>
      <c r="E41" s="1265">
        <v>71</v>
      </c>
      <c r="F41" s="1265">
        <v>477174.53600000002</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3</v>
      </c>
      <c r="D44" s="1265">
        <v>95497.001000000004</v>
      </c>
      <c r="E44" s="1265">
        <v>15</v>
      </c>
      <c r="F44" s="1265">
        <v>114416.27499999999</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0</v>
      </c>
      <c r="D47" s="1265">
        <v>0</v>
      </c>
      <c r="E47" s="1265">
        <v>5</v>
      </c>
      <c r="F47" s="1265">
        <v>63873.69</v>
      </c>
    </row>
    <row r="48" spans="1:6">
      <c r="A48" s="1264" t="s">
        <v>31</v>
      </c>
      <c r="B48" s="1264" t="s">
        <v>28</v>
      </c>
      <c r="C48" s="1265">
        <v>3</v>
      </c>
      <c r="D48" s="1265">
        <v>294691.18599999999</v>
      </c>
      <c r="E48" s="1265">
        <v>1</v>
      </c>
      <c r="F48" s="1265">
        <v>3468.058</v>
      </c>
    </row>
    <row r="49" spans="1:6">
      <c r="A49" s="1264" t="s">
        <v>31</v>
      </c>
      <c r="B49" s="1264" t="s">
        <v>39</v>
      </c>
      <c r="C49" s="1265">
        <v>0</v>
      </c>
      <c r="D49" s="1265">
        <v>0</v>
      </c>
      <c r="E49" s="1265">
        <v>0</v>
      </c>
      <c r="F49" s="1265">
        <v>0</v>
      </c>
    </row>
    <row r="50" spans="1:6">
      <c r="A50" s="1264" t="s">
        <v>31</v>
      </c>
      <c r="B50" s="1264" t="s">
        <v>40</v>
      </c>
      <c r="C50" s="1265">
        <v>0</v>
      </c>
      <c r="D50" s="1265">
        <v>0</v>
      </c>
      <c r="E50" s="1265">
        <v>3</v>
      </c>
      <c r="F50" s="1265">
        <v>194508.23300000001</v>
      </c>
    </row>
    <row r="51" spans="1:6">
      <c r="A51" s="1264" t="s">
        <v>41</v>
      </c>
      <c r="B51" s="1264" t="s">
        <v>42</v>
      </c>
      <c r="C51" s="1265">
        <v>8</v>
      </c>
      <c r="D51" s="1265">
        <v>351932.18699999998</v>
      </c>
      <c r="E51" s="1265">
        <v>82</v>
      </c>
      <c r="F51" s="1265">
        <v>896633.99199999997</v>
      </c>
    </row>
    <row r="52" spans="1:6">
      <c r="A52" s="1264" t="s">
        <v>41</v>
      </c>
      <c r="B52" s="1264" t="s">
        <v>28</v>
      </c>
      <c r="C52" s="1265">
        <v>0</v>
      </c>
      <c r="D52" s="1265">
        <v>0</v>
      </c>
      <c r="E52" s="1265">
        <v>0</v>
      </c>
      <c r="F52" s="1265">
        <v>0</v>
      </c>
    </row>
    <row r="53" spans="1:6">
      <c r="A53" s="1264" t="s">
        <v>43</v>
      </c>
      <c r="B53" s="1264" t="s">
        <v>44</v>
      </c>
      <c r="C53" s="1265">
        <v>44</v>
      </c>
      <c r="D53" s="1265">
        <v>2033834.79</v>
      </c>
      <c r="E53" s="1265">
        <v>90</v>
      </c>
      <c r="F53" s="1265">
        <v>441788.54</v>
      </c>
    </row>
    <row r="54" spans="1:6">
      <c r="A54" s="1264" t="s">
        <v>45</v>
      </c>
      <c r="B54" s="1264" t="s">
        <v>46</v>
      </c>
      <c r="C54" s="1265">
        <v>0</v>
      </c>
      <c r="D54" s="1265">
        <v>0</v>
      </c>
      <c r="E54" s="1265">
        <v>1</v>
      </c>
      <c r="F54" s="1265">
        <v>598051</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15</v>
      </c>
      <c r="D57" s="1265">
        <v>589956.28</v>
      </c>
      <c r="E57" s="1265">
        <v>61</v>
      </c>
      <c r="F57" s="1265">
        <v>1238843.5160000001</v>
      </c>
    </row>
    <row r="58" spans="1:6">
      <c r="A58" s="1264" t="s">
        <v>48</v>
      </c>
      <c r="B58" s="1264" t="s">
        <v>50</v>
      </c>
      <c r="C58" s="1265">
        <v>13</v>
      </c>
      <c r="D58" s="1265">
        <v>570922.15700000001</v>
      </c>
      <c r="E58" s="1265">
        <v>29</v>
      </c>
      <c r="F58" s="1265">
        <v>555820.87</v>
      </c>
    </row>
    <row r="59" spans="1:6">
      <c r="A59" s="1264" t="s">
        <v>48</v>
      </c>
      <c r="B59" s="1264" t="s">
        <v>51</v>
      </c>
      <c r="C59" s="1265">
        <v>46</v>
      </c>
      <c r="D59" s="1265">
        <v>3215758.1839999999</v>
      </c>
      <c r="E59" s="1265">
        <v>192</v>
      </c>
      <c r="F59" s="1265">
        <v>6055405.4100000001</v>
      </c>
    </row>
    <row r="60" spans="1:6">
      <c r="A60" s="1264" t="s">
        <v>48</v>
      </c>
      <c r="B60" s="1264" t="s">
        <v>52</v>
      </c>
      <c r="C60" s="1265">
        <v>20</v>
      </c>
      <c r="D60" s="1265">
        <v>1532149.5930000001</v>
      </c>
      <c r="E60" s="1265">
        <v>41</v>
      </c>
      <c r="F60" s="1265">
        <v>801287.05500000005</v>
      </c>
    </row>
    <row r="61" spans="1:6">
      <c r="A61" s="1264" t="s">
        <v>48</v>
      </c>
      <c r="B61" s="1264" t="s">
        <v>53</v>
      </c>
      <c r="C61" s="1265">
        <v>46</v>
      </c>
      <c r="D61" s="1265">
        <v>832987.02500000002</v>
      </c>
      <c r="E61" s="1265">
        <v>184</v>
      </c>
      <c r="F61" s="1265">
        <v>2121914.0440000002</v>
      </c>
    </row>
    <row r="62" spans="1:6">
      <c r="A62" s="1264" t="s">
        <v>48</v>
      </c>
      <c r="B62" s="1264" t="s">
        <v>54</v>
      </c>
      <c r="C62" s="1265">
        <v>5</v>
      </c>
      <c r="D62" s="1265">
        <v>232830.736</v>
      </c>
      <c r="E62" s="1265">
        <v>11</v>
      </c>
      <c r="F62" s="1265">
        <v>130876.962</v>
      </c>
    </row>
    <row r="63" spans="1:6">
      <c r="A63" s="1264" t="s">
        <v>48</v>
      </c>
      <c r="B63" s="1264" t="s">
        <v>28</v>
      </c>
      <c r="C63" s="1265">
        <v>0</v>
      </c>
      <c r="D63" s="1265">
        <v>0</v>
      </c>
      <c r="E63" s="1265">
        <v>1</v>
      </c>
      <c r="F63" s="1265">
        <v>20033.646889036601</v>
      </c>
    </row>
    <row r="64" spans="1:6">
      <c r="A64" s="1264" t="s">
        <v>55</v>
      </c>
      <c r="B64" s="1264" t="s">
        <v>56</v>
      </c>
      <c r="C64" s="1265">
        <v>0</v>
      </c>
      <c r="D64" s="1265">
        <v>0</v>
      </c>
      <c r="E64" s="1265">
        <v>0</v>
      </c>
      <c r="F64" s="1265">
        <v>0</v>
      </c>
    </row>
    <row r="65" spans="1:6">
      <c r="A65" s="1264" t="s">
        <v>55</v>
      </c>
      <c r="B65" s="1264" t="s">
        <v>28</v>
      </c>
      <c r="C65" s="1265">
        <v>0</v>
      </c>
      <c r="D65" s="1265">
        <v>0</v>
      </c>
      <c r="E65" s="1265">
        <v>0</v>
      </c>
      <c r="F65" s="1265">
        <v>0</v>
      </c>
    </row>
    <row r="66" spans="1:6">
      <c r="A66" s="1264" t="s">
        <v>55</v>
      </c>
      <c r="B66" s="1264" t="s">
        <v>57</v>
      </c>
      <c r="C66" s="1265">
        <v>0</v>
      </c>
      <c r="D66" s="1265">
        <v>0</v>
      </c>
      <c r="E66" s="1265">
        <v>10</v>
      </c>
      <c r="F66" s="1265">
        <v>339661.72</v>
      </c>
    </row>
    <row r="67" spans="1:6">
      <c r="A67" s="1264" t="s">
        <v>55</v>
      </c>
      <c r="B67" s="1264" t="s">
        <v>58</v>
      </c>
      <c r="C67" s="1265">
        <v>0</v>
      </c>
      <c r="D67" s="1265">
        <v>0</v>
      </c>
      <c r="E67" s="1265">
        <v>0</v>
      </c>
      <c r="F67" s="1265">
        <v>0</v>
      </c>
    </row>
    <row r="68" spans="1:6">
      <c r="A68" s="1259" t="s">
        <v>55</v>
      </c>
      <c r="B68" s="1259" t="s">
        <v>59</v>
      </c>
      <c r="C68" s="1267">
        <v>3</v>
      </c>
      <c r="D68" s="1267">
        <v>41721.249000000003</v>
      </c>
      <c r="E68" s="1267">
        <v>5</v>
      </c>
      <c r="F68" s="1267">
        <v>388944.99699999997</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52257783</v>
      </c>
      <c r="E73" s="443"/>
      <c r="F73" s="324"/>
    </row>
    <row r="74" spans="1:6">
      <c r="A74" s="1264" t="s">
        <v>63</v>
      </c>
      <c r="B74" s="1264" t="s">
        <v>608</v>
      </c>
      <c r="C74" s="1277" t="s">
        <v>610</v>
      </c>
      <c r="D74" s="1265">
        <v>5337091.151340967</v>
      </c>
      <c r="E74" s="443"/>
      <c r="F74" s="324"/>
    </row>
    <row r="75" spans="1:6">
      <c r="A75" s="1264" t="s">
        <v>64</v>
      </c>
      <c r="B75" s="1264" t="s">
        <v>607</v>
      </c>
      <c r="C75" s="1277" t="s">
        <v>611</v>
      </c>
      <c r="D75" s="1265">
        <v>18372339</v>
      </c>
      <c r="E75" s="443"/>
      <c r="F75" s="324"/>
    </row>
    <row r="76" spans="1:6">
      <c r="A76" s="1264" t="s">
        <v>64</v>
      </c>
      <c r="B76" s="1264" t="s">
        <v>608</v>
      </c>
      <c r="C76" s="1277" t="s">
        <v>612</v>
      </c>
      <c r="D76" s="1265">
        <v>635484.15134096751</v>
      </c>
      <c r="E76" s="443"/>
      <c r="F76" s="324"/>
    </row>
    <row r="77" spans="1:6">
      <c r="A77" s="1264" t="s">
        <v>65</v>
      </c>
      <c r="B77" s="1264" t="s">
        <v>607</v>
      </c>
      <c r="C77" s="1277" t="s">
        <v>613</v>
      </c>
      <c r="D77" s="1265">
        <v>38429289</v>
      </c>
      <c r="E77" s="443"/>
      <c r="F77" s="324"/>
    </row>
    <row r="78" spans="1:6">
      <c r="A78" s="1259" t="s">
        <v>65</v>
      </c>
      <c r="B78" s="1259" t="s">
        <v>608</v>
      </c>
      <c r="C78" s="1259" t="s">
        <v>614</v>
      </c>
      <c r="D78" s="1267">
        <v>3926830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592015.69731806498</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4012.8910994691673</v>
      </c>
      <c r="C91" s="324"/>
      <c r="D91" s="324"/>
      <c r="E91" s="324"/>
      <c r="F91" s="324"/>
    </row>
    <row r="92" spans="1:6">
      <c r="A92" s="1259" t="s">
        <v>68</v>
      </c>
      <c r="B92" s="1260">
        <v>497.15631173108017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197</v>
      </c>
      <c r="C97" s="324"/>
      <c r="D97" s="324"/>
      <c r="E97" s="324"/>
      <c r="F97" s="324"/>
    </row>
    <row r="98" spans="1:6">
      <c r="A98" s="1264" t="s">
        <v>71</v>
      </c>
      <c r="B98" s="1265">
        <v>3</v>
      </c>
      <c r="C98" s="324"/>
      <c r="D98" s="324"/>
      <c r="E98" s="324"/>
      <c r="F98" s="324"/>
    </row>
    <row r="99" spans="1:6">
      <c r="A99" s="1264" t="s">
        <v>72</v>
      </c>
      <c r="B99" s="1265">
        <v>146</v>
      </c>
      <c r="C99" s="324"/>
      <c r="D99" s="324"/>
      <c r="E99" s="324"/>
      <c r="F99" s="324"/>
    </row>
    <row r="100" spans="1:6">
      <c r="A100" s="1264" t="s">
        <v>73</v>
      </c>
      <c r="B100" s="1265">
        <v>179</v>
      </c>
      <c r="C100" s="324"/>
      <c r="D100" s="324"/>
      <c r="E100" s="324"/>
      <c r="F100" s="324"/>
    </row>
    <row r="101" spans="1:6">
      <c r="A101" s="1264" t="s">
        <v>74</v>
      </c>
      <c r="B101" s="1265">
        <v>67</v>
      </c>
      <c r="C101" s="324"/>
      <c r="D101" s="324"/>
      <c r="E101" s="324"/>
      <c r="F101" s="324"/>
    </row>
    <row r="102" spans="1:6">
      <c r="A102" s="1264" t="s">
        <v>75</v>
      </c>
      <c r="B102" s="1265">
        <v>53</v>
      </c>
      <c r="C102" s="324"/>
      <c r="D102" s="324"/>
      <c r="E102" s="324"/>
      <c r="F102" s="324"/>
    </row>
    <row r="103" spans="1:6">
      <c r="A103" s="1264" t="s">
        <v>76</v>
      </c>
      <c r="B103" s="1265">
        <v>165</v>
      </c>
      <c r="C103" s="324"/>
      <c r="D103" s="324"/>
      <c r="E103" s="324"/>
      <c r="F103" s="324"/>
    </row>
    <row r="104" spans="1:6">
      <c r="A104" s="1264" t="s">
        <v>77</v>
      </c>
      <c r="B104" s="1265">
        <v>2944</v>
      </c>
      <c r="C104" s="324"/>
      <c r="D104" s="324"/>
      <c r="E104" s="324"/>
      <c r="F104" s="324"/>
    </row>
    <row r="105" spans="1:6">
      <c r="A105" s="1259" t="s">
        <v>78</v>
      </c>
      <c r="B105" s="1267">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28</v>
      </c>
      <c r="C123" s="1265">
        <v>17</v>
      </c>
      <c r="D123" s="324"/>
      <c r="E123" s="324"/>
      <c r="F123" s="324"/>
    </row>
    <row r="124" spans="1:6">
      <c r="A124" s="1264" t="s">
        <v>88</v>
      </c>
      <c r="B124" s="1265">
        <v>0</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114</v>
      </c>
      <c r="C129" s="324"/>
      <c r="D129" s="324"/>
      <c r="E129" s="324"/>
      <c r="F129" s="324"/>
    </row>
    <row r="130" spans="1:6">
      <c r="A130" s="1264" t="s">
        <v>284</v>
      </c>
      <c r="B130" s="1265">
        <v>1</v>
      </c>
      <c r="C130" s="324"/>
      <c r="D130" s="324"/>
      <c r="E130" s="324"/>
      <c r="F130" s="324"/>
    </row>
    <row r="131" spans="1:6">
      <c r="A131" s="1264" t="s">
        <v>285</v>
      </c>
      <c r="B131" s="1265">
        <v>0</v>
      </c>
      <c r="C131" s="324"/>
      <c r="D131" s="324"/>
      <c r="E131" s="324"/>
      <c r="F131" s="324"/>
    </row>
    <row r="132" spans="1:6">
      <c r="A132" s="1259" t="s">
        <v>286</v>
      </c>
      <c r="B132" s="1260">
        <v>37</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33155.787804899788</v>
      </c>
      <c r="C3" s="43" t="s">
        <v>163</v>
      </c>
      <c r="D3" s="43"/>
      <c r="E3" s="153"/>
      <c r="F3" s="43"/>
      <c r="G3" s="43"/>
      <c r="H3" s="43"/>
      <c r="I3" s="43"/>
      <c r="J3" s="43"/>
      <c r="K3" s="96"/>
    </row>
    <row r="4" spans="1:11">
      <c r="A4" s="350" t="s">
        <v>164</v>
      </c>
      <c r="B4" s="49">
        <f>IF(ISERROR('SEAP template'!B78+'SEAP template'!C78),0,'SEAP template'!B78+'SEAP template'!C78)</f>
        <v>4510.0474112002476</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0.19093826586958795</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598.05100000000004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598.05100000000004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0.19093826586958795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114.19082084157296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15228.091254000001</v>
      </c>
      <c r="C5" s="17">
        <f>IF(ISERROR('Eigen informatie GS &amp; warmtenet'!B59),0,'Eigen informatie GS &amp; warmtenet'!B59)</f>
        <v>0</v>
      </c>
      <c r="D5" s="30">
        <f>(SUM(HH_hh_gas_kWh,HH_rest_gas_kWh)/1000)*0.903</f>
        <v>21122.344479726002</v>
      </c>
      <c r="E5" s="17">
        <f>B32*B41</f>
        <v>2342.4087037813993</v>
      </c>
      <c r="F5" s="17">
        <f>B36*B45</f>
        <v>38386.64876729354</v>
      </c>
      <c r="G5" s="18"/>
      <c r="H5" s="17"/>
      <c r="I5" s="17"/>
      <c r="J5" s="17">
        <f>B35*B44+C35*C44</f>
        <v>211.8750625384624</v>
      </c>
      <c r="K5" s="17"/>
      <c r="L5" s="17"/>
      <c r="M5" s="17"/>
      <c r="N5" s="17">
        <f>B34*B43+C34*C43</f>
        <v>7315.4381296543452</v>
      </c>
      <c r="O5" s="17">
        <f>B52*B53*B54</f>
        <v>259.8985267397012</v>
      </c>
      <c r="P5" s="17">
        <f>B60*B61*B62/1000-B60*B61*B62/1000/B63</f>
        <v>684.70735499952639</v>
      </c>
    </row>
    <row r="6" spans="1:16">
      <c r="A6" s="16" t="s">
        <v>573</v>
      </c>
      <c r="B6" s="739">
        <f>kWh_PV_kleiner_dan_10kW</f>
        <v>4012.8910994691673</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19240.982353469168</v>
      </c>
      <c r="C8" s="21">
        <f>C5</f>
        <v>0</v>
      </c>
      <c r="D8" s="21">
        <f>D5</f>
        <v>21122.344479726002</v>
      </c>
      <c r="E8" s="21">
        <f>E5</f>
        <v>2342.4087037813993</v>
      </c>
      <c r="F8" s="21">
        <f>F5</f>
        <v>38386.64876729354</v>
      </c>
      <c r="G8" s="21"/>
      <c r="H8" s="21"/>
      <c r="I8" s="21"/>
      <c r="J8" s="21">
        <f>J5</f>
        <v>211.8750625384624</v>
      </c>
      <c r="K8" s="21"/>
      <c r="L8" s="21">
        <f>L5</f>
        <v>0</v>
      </c>
      <c r="M8" s="21">
        <f>M5</f>
        <v>0</v>
      </c>
      <c r="N8" s="21">
        <f>N5</f>
        <v>7315.4381296543452</v>
      </c>
      <c r="O8" s="21">
        <f>O5</f>
        <v>259.8985267397012</v>
      </c>
      <c r="P8" s="21">
        <f>P5</f>
        <v>684.70735499952639</v>
      </c>
    </row>
    <row r="9" spans="1:16">
      <c r="B9" s="19"/>
      <c r="C9" s="19"/>
      <c r="D9" s="253"/>
      <c r="E9" s="19"/>
      <c r="F9" s="19"/>
      <c r="G9" s="19"/>
      <c r="H9" s="19"/>
      <c r="I9" s="19"/>
      <c r="J9" s="19"/>
      <c r="K9" s="19"/>
      <c r="L9" s="19"/>
      <c r="M9" s="19"/>
      <c r="N9" s="19"/>
      <c r="O9" s="19"/>
      <c r="P9" s="19"/>
    </row>
    <row r="10" spans="1:16">
      <c r="A10" s="24" t="s">
        <v>207</v>
      </c>
      <c r="B10" s="25">
        <f ca="1">'EF ele_warmte'!B12</f>
        <v>0.19093826586958795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3673.8398041987462</v>
      </c>
      <c r="C12" s="23">
        <f ca="1">C10*C8</f>
        <v>0</v>
      </c>
      <c r="D12" s="23">
        <f>D8*D10</f>
        <v>4266.7135849046526</v>
      </c>
      <c r="E12" s="23">
        <f>E10*E8</f>
        <v>531.7267757583777</v>
      </c>
      <c r="F12" s="23">
        <f>F10*F8</f>
        <v>10249.235220867376</v>
      </c>
      <c r="G12" s="23"/>
      <c r="H12" s="23"/>
      <c r="I12" s="23"/>
      <c r="J12" s="23">
        <f>J10*J8</f>
        <v>75.003772138615687</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4464</v>
      </c>
      <c r="C26" s="36"/>
      <c r="D26" s="224"/>
    </row>
    <row r="27" spans="1:5" s="15" customFormat="1">
      <c r="A27" s="226" t="s">
        <v>784</v>
      </c>
      <c r="B27" s="37">
        <f>SUM(HH_hh_gas_aantal,HH_rest_gas_aantal)</f>
        <v>1477</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1403.15</v>
      </c>
      <c r="C31" s="34" t="s">
        <v>104</v>
      </c>
      <c r="D31" s="170"/>
    </row>
    <row r="32" spans="1:5">
      <c r="A32" s="167" t="s">
        <v>72</v>
      </c>
      <c r="B32" s="33">
        <f>IF((B21*($B$26-($B$27-0.05*$B$27)-$B$60))&lt;0,0,B21*($B$26-($B$27-0.05*$B$27)-$B$60))</f>
        <v>46.210872964046935</v>
      </c>
      <c r="C32" s="34" t="s">
        <v>104</v>
      </c>
      <c r="D32" s="170"/>
    </row>
    <row r="33" spans="1:6">
      <c r="A33" s="167" t="s">
        <v>73</v>
      </c>
      <c r="B33" s="33">
        <f>IF((B22*($B$26-($B$27-0.05*$B$27)-$B$60))&lt;0,0,B22*($B$26-($B$27-0.05*$B$27)-$B$60))</f>
        <v>750.37305529768571</v>
      </c>
      <c r="C33" s="34" t="s">
        <v>104</v>
      </c>
      <c r="D33" s="170"/>
    </row>
    <row r="34" spans="1:6">
      <c r="A34" s="167" t="s">
        <v>74</v>
      </c>
      <c r="B34" s="33">
        <f>IF((B24*($B$26-($B$27-0.05*$B$27)-$B$60))&lt;0,0,B24*($B$26-($B$27-0.05*$B$27)-$B$60))</f>
        <v>328.10757552603451</v>
      </c>
      <c r="C34" s="33">
        <f>B26*C24</f>
        <v>749.95169561139426</v>
      </c>
      <c r="D34" s="229"/>
    </row>
    <row r="35" spans="1:6">
      <c r="A35" s="167" t="s">
        <v>76</v>
      </c>
      <c r="B35" s="33">
        <f>IF((B19*($B$26-($B$27-0.05*$B$27)-$B$60))&lt;0,0,B19*($B$26-($B$27-0.05*$B$27)-$B$60))</f>
        <v>20.087756307734558</v>
      </c>
      <c r="C35" s="33">
        <f>B35/2</f>
        <v>10.043878153867279</v>
      </c>
      <c r="D35" s="229"/>
    </row>
    <row r="36" spans="1:6">
      <c r="A36" s="167" t="s">
        <v>77</v>
      </c>
      <c r="B36" s="33">
        <f>IF((B18*($B$26-($B$27-0.05*$B$27)-$B$60))&lt;0,0,B18*($B$26-($B$27-0.05*$B$27)-$B$60))</f>
        <v>1851.0707399044973</v>
      </c>
      <c r="C36" s="34" t="s">
        <v>104</v>
      </c>
      <c r="D36" s="170"/>
    </row>
    <row r="37" spans="1:6">
      <c r="A37" s="167" t="s">
        <v>78</v>
      </c>
      <c r="B37" s="33">
        <f>B60</f>
        <v>65</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131</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65</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10924.181503889038</v>
      </c>
      <c r="C5" s="17">
        <f>IF(ISERROR('Eigen informatie GS &amp; warmtenet'!B60),0,'Eigen informatie GS &amp; warmtenet'!B60)</f>
        <v>0</v>
      </c>
      <c r="D5" s="30">
        <f>SUM(D6:D12)</f>
        <v>6298.0673894250003</v>
      </c>
      <c r="E5" s="17">
        <f>SUM(E6:E12)</f>
        <v>39.781257793094419</v>
      </c>
      <c r="F5" s="17">
        <f>SUM(F6:F12)</f>
        <v>2035.2549539514202</v>
      </c>
      <c r="G5" s="18"/>
      <c r="H5" s="17"/>
      <c r="I5" s="17"/>
      <c r="J5" s="17">
        <f>SUM(J6:J12)</f>
        <v>1.2275081156111957E-2</v>
      </c>
      <c r="K5" s="17"/>
      <c r="L5" s="17"/>
      <c r="M5" s="17"/>
      <c r="N5" s="17">
        <f>SUM(N6:N12)</f>
        <v>431.21620896882081</v>
      </c>
      <c r="O5" s="17">
        <f>B38*B39*B40</f>
        <v>4.8972607658411542</v>
      </c>
      <c r="P5" s="17">
        <f>B46*B47*B48/1000-B46*B47*B48/1000/B49</f>
        <v>0</v>
      </c>
      <c r="R5" s="32"/>
    </row>
    <row r="6" spans="1:18">
      <c r="A6" s="32" t="s">
        <v>53</v>
      </c>
      <c r="B6" s="37">
        <f>B26</f>
        <v>2121.9140440000001</v>
      </c>
      <c r="C6" s="33"/>
      <c r="D6" s="37">
        <f>IF(ISERROR(TER_kantoor_gas_kWh/1000),0,TER_kantoor_gas_kWh/1000)*0.903</f>
        <v>752.18728357500004</v>
      </c>
      <c r="E6" s="33">
        <f>$C$26*'E Balans VL '!I12/100/3.6*1000000</f>
        <v>0.51606451344229876</v>
      </c>
      <c r="F6" s="33">
        <f>$C$26*('E Balans VL '!L12+'E Balans VL '!N12)/100/3.6*1000000</f>
        <v>203.18670596427461</v>
      </c>
      <c r="G6" s="34"/>
      <c r="H6" s="33"/>
      <c r="I6" s="33"/>
      <c r="J6" s="33">
        <f>$C$26*('E Balans VL '!D12+'E Balans VL '!E12)/100/3.6*1000000</f>
        <v>0</v>
      </c>
      <c r="K6" s="33"/>
      <c r="L6" s="33"/>
      <c r="M6" s="33"/>
      <c r="N6" s="33">
        <f>$C$26*'E Balans VL '!Y12/100/3.6*1000000</f>
        <v>1.0772406220071693</v>
      </c>
      <c r="O6" s="33"/>
      <c r="P6" s="33"/>
      <c r="R6" s="32"/>
    </row>
    <row r="7" spans="1:18">
      <c r="A7" s="32" t="s">
        <v>52</v>
      </c>
      <c r="B7" s="37">
        <f t="shared" ref="B7:B12" si="0">B27</f>
        <v>801.28705500000001</v>
      </c>
      <c r="C7" s="33"/>
      <c r="D7" s="37">
        <f>IF(ISERROR(TER_horeca_gas_kWh/1000),0,TER_horeca_gas_kWh/1000)*0.903</f>
        <v>1383.5310824790001</v>
      </c>
      <c r="E7" s="33">
        <f>$C$27*'E Balans VL '!I9/100/3.6*1000000</f>
        <v>0</v>
      </c>
      <c r="F7" s="33">
        <f>$C$27*('E Balans VL '!L9+'E Balans VL '!N9)/100/3.6*1000000</f>
        <v>65.7208343160098</v>
      </c>
      <c r="G7" s="34"/>
      <c r="H7" s="33"/>
      <c r="I7" s="33"/>
      <c r="J7" s="33">
        <f>$C$27*('E Balans VL '!D9+'E Balans VL '!E9)/100/3.6*1000000</f>
        <v>0</v>
      </c>
      <c r="K7" s="33"/>
      <c r="L7" s="33"/>
      <c r="M7" s="33"/>
      <c r="N7" s="33">
        <f>$C$27*'E Balans VL '!Y9/100/3.6*1000000</f>
        <v>5.2626946051449641</v>
      </c>
      <c r="O7" s="33"/>
      <c r="P7" s="33"/>
      <c r="R7" s="32"/>
    </row>
    <row r="8" spans="1:18">
      <c r="A8" s="6" t="s">
        <v>51</v>
      </c>
      <c r="B8" s="37">
        <f t="shared" si="0"/>
        <v>6055.4054100000003</v>
      </c>
      <c r="C8" s="33"/>
      <c r="D8" s="37">
        <f>IF(ISERROR(TER_handel_gas_kWh/1000),0,TER_handel_gas_kWh/1000)*0.903</f>
        <v>2903.8296401519997</v>
      </c>
      <c r="E8" s="33">
        <f>$C$28*'E Balans VL '!I13/100/3.6*1000000</f>
        <v>21.406171826357625</v>
      </c>
      <c r="F8" s="33">
        <f>$C$28*('E Balans VL '!L13+'E Balans VL '!N13)/100/3.6*1000000</f>
        <v>557.57330378529889</v>
      </c>
      <c r="G8" s="34"/>
      <c r="H8" s="33"/>
      <c r="I8" s="33"/>
      <c r="J8" s="33">
        <f>$C$28*('E Balans VL '!D13+'E Balans VL '!E13)/100/3.6*1000000</f>
        <v>0</v>
      </c>
      <c r="K8" s="33"/>
      <c r="L8" s="33"/>
      <c r="M8" s="33"/>
      <c r="N8" s="33">
        <f>$C$28*'E Balans VL '!Y13/100/3.6*1000000</f>
        <v>2.1930071445426851</v>
      </c>
      <c r="O8" s="33"/>
      <c r="P8" s="33"/>
      <c r="R8" s="32"/>
    </row>
    <row r="9" spans="1:18">
      <c r="A9" s="32" t="s">
        <v>50</v>
      </c>
      <c r="B9" s="37">
        <f t="shared" si="0"/>
        <v>555.82087000000001</v>
      </c>
      <c r="C9" s="33"/>
      <c r="D9" s="37">
        <f>IF(ISERROR(TER_gezond_gas_kWh/1000),0,TER_gezond_gas_kWh/1000)*0.903</f>
        <v>515.54270777099998</v>
      </c>
      <c r="E9" s="33">
        <f>$C$29*'E Balans VL '!I10/100/3.6*1000000</f>
        <v>0</v>
      </c>
      <c r="F9" s="33">
        <f>$C$29*('E Balans VL '!L10+'E Balans VL '!N10)/100/3.6*1000000</f>
        <v>68.280324662729129</v>
      </c>
      <c r="G9" s="34"/>
      <c r="H9" s="33"/>
      <c r="I9" s="33"/>
      <c r="J9" s="33">
        <f>$C$29*('E Balans VL '!D10+'E Balans VL '!E10)/100/3.6*1000000</f>
        <v>0</v>
      </c>
      <c r="K9" s="33"/>
      <c r="L9" s="33"/>
      <c r="M9" s="33"/>
      <c r="N9" s="33">
        <f>$C$29*'E Balans VL '!Y10/100/3.6*1000000</f>
        <v>4.0987915897891645</v>
      </c>
      <c r="O9" s="33"/>
      <c r="P9" s="33"/>
      <c r="R9" s="32"/>
    </row>
    <row r="10" spans="1:18">
      <c r="A10" s="32" t="s">
        <v>49</v>
      </c>
      <c r="B10" s="37">
        <f t="shared" si="0"/>
        <v>1238.8435160000001</v>
      </c>
      <c r="C10" s="33"/>
      <c r="D10" s="37">
        <f>IF(ISERROR(TER_ander_gas_kWh/1000),0,TER_ander_gas_kWh/1000)*0.903</f>
        <v>532.73052084000005</v>
      </c>
      <c r="E10" s="33">
        <f>$C$30*'E Balans VL '!I14/100/3.6*1000000</f>
        <v>17.77919179625734</v>
      </c>
      <c r="F10" s="33">
        <f>$C$30*('E Balans VL '!L14+'E Balans VL '!N14)/100/3.6*1000000</f>
        <v>1119.9537609524648</v>
      </c>
      <c r="G10" s="34"/>
      <c r="H10" s="33"/>
      <c r="I10" s="33"/>
      <c r="J10" s="33">
        <f>$C$30*('E Balans VL '!D14+'E Balans VL '!E14)/100/3.6*1000000</f>
        <v>1.2234595704874779E-2</v>
      </c>
      <c r="K10" s="33"/>
      <c r="L10" s="33"/>
      <c r="M10" s="33"/>
      <c r="N10" s="33">
        <f>$C$30*'E Balans VL '!Y14/100/3.6*1000000</f>
        <v>416.80295440424067</v>
      </c>
      <c r="O10" s="33"/>
      <c r="P10" s="33"/>
      <c r="R10" s="32"/>
    </row>
    <row r="11" spans="1:18">
      <c r="A11" s="32" t="s">
        <v>54</v>
      </c>
      <c r="B11" s="37">
        <f t="shared" si="0"/>
        <v>130.87696199999999</v>
      </c>
      <c r="C11" s="33"/>
      <c r="D11" s="37">
        <f>IF(ISERROR(TER_onderwijs_gas_kWh/1000),0,TER_onderwijs_gas_kWh/1000)*0.903</f>
        <v>210.24615460800001</v>
      </c>
      <c r="E11" s="33">
        <f>$C$31*'E Balans VL '!I11/100/3.6*1000000</f>
        <v>0</v>
      </c>
      <c r="F11" s="33">
        <f>$C$31*('E Balans VL '!L11+'E Balans VL '!N11)/100/3.6*1000000</f>
        <v>15.301075394687981</v>
      </c>
      <c r="G11" s="34"/>
      <c r="H11" s="33"/>
      <c r="I11" s="33"/>
      <c r="J11" s="33">
        <f>$C$31*('E Balans VL '!D11+'E Balans VL '!E11)/100/3.6*1000000</f>
        <v>0</v>
      </c>
      <c r="K11" s="33"/>
      <c r="L11" s="33"/>
      <c r="M11" s="33"/>
      <c r="N11" s="33">
        <f>$C$31*'E Balans VL '!Y11/100/3.6*1000000</f>
        <v>0.36853449623113832</v>
      </c>
      <c r="O11" s="33"/>
      <c r="P11" s="33"/>
      <c r="R11" s="32"/>
    </row>
    <row r="12" spans="1:18">
      <c r="A12" s="32" t="s">
        <v>249</v>
      </c>
      <c r="B12" s="37">
        <f t="shared" si="0"/>
        <v>20.0336468890366</v>
      </c>
      <c r="C12" s="33"/>
      <c r="D12" s="37">
        <f>IF(ISERROR(TER_rest_gas_kWh/1000),0,TER_rest_gas_kWh/1000)*0.903</f>
        <v>0</v>
      </c>
      <c r="E12" s="33">
        <f>$C$32*'E Balans VL '!I8/100/3.6*1000000</f>
        <v>7.9829657037158538E-2</v>
      </c>
      <c r="F12" s="33">
        <f>$C$32*('E Balans VL '!L8+'E Balans VL '!N8)/100/3.6*1000000</f>
        <v>5.2389488759550131</v>
      </c>
      <c r="G12" s="34"/>
      <c r="H12" s="33"/>
      <c r="I12" s="33"/>
      <c r="J12" s="33">
        <f>$C$32*('E Balans VL '!D8+'E Balans VL '!E8)/100/3.6*1000000</f>
        <v>4.0485451237177306E-5</v>
      </c>
      <c r="K12" s="33"/>
      <c r="L12" s="33"/>
      <c r="M12" s="33"/>
      <c r="N12" s="33">
        <f>$C$32*'E Balans VL '!Y8/100/3.6*1000000</f>
        <v>1.4129861068650407</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10924.181503889038</v>
      </c>
      <c r="C16" s="21">
        <f t="shared" ca="1" si="1"/>
        <v>0</v>
      </c>
      <c r="D16" s="21">
        <f t="shared" ca="1" si="1"/>
        <v>6298.0673894250003</v>
      </c>
      <c r="E16" s="21">
        <f t="shared" si="1"/>
        <v>39.781257793094419</v>
      </c>
      <c r="F16" s="21">
        <f t="shared" ca="1" si="1"/>
        <v>2035.2549539514202</v>
      </c>
      <c r="G16" s="21">
        <f t="shared" si="1"/>
        <v>0</v>
      </c>
      <c r="H16" s="21">
        <f t="shared" si="1"/>
        <v>0</v>
      </c>
      <c r="I16" s="21">
        <f t="shared" si="1"/>
        <v>0</v>
      </c>
      <c r="J16" s="21">
        <f t="shared" si="1"/>
        <v>1.2275081156111957E-2</v>
      </c>
      <c r="K16" s="21">
        <f t="shared" si="1"/>
        <v>0</v>
      </c>
      <c r="L16" s="21">
        <f t="shared" ca="1" si="1"/>
        <v>0</v>
      </c>
      <c r="M16" s="21">
        <f t="shared" si="1"/>
        <v>0</v>
      </c>
      <c r="N16" s="21">
        <f t="shared" ca="1" si="1"/>
        <v>431.21620896882081</v>
      </c>
      <c r="O16" s="21">
        <f>O5</f>
        <v>4.8972607658411542</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0.19093826586958795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2085.8442723972003</v>
      </c>
      <c r="C20" s="23">
        <f t="shared" ref="C20:P20" ca="1" si="2">C16*C18</f>
        <v>0</v>
      </c>
      <c r="D20" s="23">
        <f t="shared" ca="1" si="2"/>
        <v>1272.2096126638501</v>
      </c>
      <c r="E20" s="23">
        <f t="shared" si="2"/>
        <v>9.0303455190324335</v>
      </c>
      <c r="F20" s="23">
        <f t="shared" ca="1" si="2"/>
        <v>543.41307270502921</v>
      </c>
      <c r="G20" s="23">
        <f t="shared" si="2"/>
        <v>0</v>
      </c>
      <c r="H20" s="23">
        <f t="shared" si="2"/>
        <v>0</v>
      </c>
      <c r="I20" s="23">
        <f t="shared" si="2"/>
        <v>0</v>
      </c>
      <c r="J20" s="23">
        <f t="shared" si="2"/>
        <v>4.3453787292636326E-3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2121.9140440000001</v>
      </c>
      <c r="C26" s="39">
        <f>IF(ISERROR(B26*3.6/1000000/'E Balans VL '!Z12*100),0,B26*3.6/1000000/'E Balans VL '!Z12*100)</f>
        <v>5.9811283226026246E-2</v>
      </c>
      <c r="D26" s="232" t="s">
        <v>660</v>
      </c>
      <c r="F26" s="6"/>
    </row>
    <row r="27" spans="1:18">
      <c r="A27" s="227" t="s">
        <v>52</v>
      </c>
      <c r="B27" s="33">
        <f>IF(ISERROR(TER_horeca_ele_kWh/1000),0,TER_horeca_ele_kWh/1000)</f>
        <v>801.28705500000001</v>
      </c>
      <c r="C27" s="39">
        <f>IF(ISERROR(B27*3.6/1000000/'E Balans VL '!Z9*100),0,B27*3.6/1000000/'E Balans VL '!Z9*100)</f>
        <v>5.9405591575410484E-2</v>
      </c>
      <c r="D27" s="232" t="s">
        <v>660</v>
      </c>
      <c r="F27" s="6"/>
    </row>
    <row r="28" spans="1:18">
      <c r="A28" s="167" t="s">
        <v>51</v>
      </c>
      <c r="B28" s="33">
        <f>IF(ISERROR(TER_handel_ele_kWh/1000),0,TER_handel_ele_kWh/1000)</f>
        <v>6055.4054100000003</v>
      </c>
      <c r="C28" s="39">
        <f>IF(ISERROR(B28*3.6/1000000/'E Balans VL '!Z13*100),0,B28*3.6/1000000/'E Balans VL '!Z13*100)</f>
        <v>0.18140554881970436</v>
      </c>
      <c r="D28" s="232" t="s">
        <v>660</v>
      </c>
      <c r="F28" s="6"/>
    </row>
    <row r="29" spans="1:18">
      <c r="A29" s="227" t="s">
        <v>50</v>
      </c>
      <c r="B29" s="33">
        <f>IF(ISERROR(TER_gezond_ele_kWh/1000),0,TER_gezond_ele_kWh/1000)</f>
        <v>555.82087000000001</v>
      </c>
      <c r="C29" s="39">
        <f>IF(ISERROR(B29*3.6/1000000/'E Balans VL '!Z10*100),0,B29*3.6/1000000/'E Balans VL '!Z10*100)</f>
        <v>5.4959785478540552E-2</v>
      </c>
      <c r="D29" s="232" t="s">
        <v>660</v>
      </c>
      <c r="F29" s="6"/>
    </row>
    <row r="30" spans="1:18">
      <c r="A30" s="227" t="s">
        <v>49</v>
      </c>
      <c r="B30" s="33">
        <f>IF(ISERROR(TER_ander_ele_kWh/1000),0,TER_ander_ele_kWh/1000)</f>
        <v>1238.8435160000001</v>
      </c>
      <c r="C30" s="39">
        <f>IF(ISERROR(B30*3.6/1000000/'E Balans VL '!Z14*100),0,B30*3.6/1000000/'E Balans VL '!Z14*100)</f>
        <v>5.0107559200852331E-2</v>
      </c>
      <c r="D30" s="232" t="s">
        <v>660</v>
      </c>
      <c r="F30" s="6"/>
    </row>
    <row r="31" spans="1:18">
      <c r="A31" s="227" t="s">
        <v>54</v>
      </c>
      <c r="B31" s="33">
        <f>IF(ISERROR(TER_onderwijs_ele_kWh/1000),0,TER_onderwijs_ele_kWh/1000)</f>
        <v>130.87696199999999</v>
      </c>
      <c r="C31" s="39">
        <f>IF(ISERROR(B31*3.6/1000000/'E Balans VL '!Z11*100),0,B31*3.6/1000000/'E Balans VL '!Z11*100)</f>
        <v>3.5957625317698888E-2</v>
      </c>
      <c r="D31" s="232" t="s">
        <v>660</v>
      </c>
    </row>
    <row r="32" spans="1:18">
      <c r="A32" s="227" t="s">
        <v>249</v>
      </c>
      <c r="B32" s="33">
        <f>IF(ISERROR(TER_rest_ele_kWh/1000),0,TER_rest_ele_kWh/1000)</f>
        <v>20.0336468890366</v>
      </c>
      <c r="C32" s="39">
        <f>IF(ISERROR(B32*3.6/1000000/'E Balans VL '!Z8*100),0,B32*3.6/1000000/'E Balans VL '!Z8*100)</f>
        <v>1.6581072179048726E-4</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0</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853.4407920000001</v>
      </c>
      <c r="C5" s="17">
        <f>IF(ISERROR('Eigen informatie GS &amp; warmtenet'!B61),0,'Eigen informatie GS &amp; warmtenet'!B61)</f>
        <v>0</v>
      </c>
      <c r="D5" s="30">
        <f>SUM(D6:D15)</f>
        <v>713.303153619</v>
      </c>
      <c r="E5" s="17">
        <f>SUM(E6:E15)</f>
        <v>2.993870580938407</v>
      </c>
      <c r="F5" s="17">
        <f>SUM(F6:F15)</f>
        <v>319.62227450072464</v>
      </c>
      <c r="G5" s="18"/>
      <c r="H5" s="17"/>
      <c r="I5" s="17"/>
      <c r="J5" s="17">
        <f>SUM(J6:J15)</f>
        <v>0.13421776899758958</v>
      </c>
      <c r="K5" s="17"/>
      <c r="L5" s="17"/>
      <c r="M5" s="17"/>
      <c r="N5" s="17">
        <f>SUM(N6:N15)</f>
        <v>21.006817085889821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114.416275</v>
      </c>
      <c r="C8" s="33"/>
      <c r="D8" s="37">
        <f>IF( ISERROR(IND_metaal_Gas_kWH/1000),0,IND_metaal_Gas_kWH/1000)*0.903</f>
        <v>86.233791902999997</v>
      </c>
      <c r="E8" s="33">
        <f>C30*'E Balans VL '!I18/100/3.6*1000000</f>
        <v>0.62533464041808784</v>
      </c>
      <c r="F8" s="33">
        <f>C30*'E Balans VL '!L18/100/3.6*1000000+C30*'E Balans VL '!N18/100/3.6*1000000</f>
        <v>7.8316236356807467</v>
      </c>
      <c r="G8" s="34"/>
      <c r="H8" s="33"/>
      <c r="I8" s="33"/>
      <c r="J8" s="40">
        <f>C30*'E Balans VL '!D18/100/3.6*1000000+C30*'E Balans VL '!E18/100/3.6*1000000</f>
        <v>0.11402353129090659</v>
      </c>
      <c r="K8" s="33"/>
      <c r="L8" s="33"/>
      <c r="M8" s="33"/>
      <c r="N8" s="33">
        <f>C30*'E Balans VL '!Y18/100/3.6*1000000</f>
        <v>1.6922718022673309</v>
      </c>
      <c r="O8" s="33"/>
      <c r="P8" s="33"/>
      <c r="R8" s="32"/>
    </row>
    <row r="9" spans="1:18">
      <c r="A9" s="6" t="s">
        <v>32</v>
      </c>
      <c r="B9" s="37">
        <f t="shared" si="0"/>
        <v>477.17453600000005</v>
      </c>
      <c r="C9" s="33"/>
      <c r="D9" s="37">
        <f>IF( ISERROR(IND_andere_gas_kWh/1000),0,IND_andere_gas_kWh/1000)*0.903</f>
        <v>360.96322075800003</v>
      </c>
      <c r="E9" s="33">
        <f>C31*'E Balans VL '!I19/100/3.6*1000000</f>
        <v>1.7957339646272188</v>
      </c>
      <c r="F9" s="33">
        <f>C31*'E Balans VL '!L19/100/3.6*1000000+C31*'E Balans VL '!N19/100/3.6*1000000</f>
        <v>307.12243534729703</v>
      </c>
      <c r="G9" s="34"/>
      <c r="H9" s="33"/>
      <c r="I9" s="33"/>
      <c r="J9" s="40">
        <f>C31*'E Balans VL '!D19/100/3.6*1000000+C31*'E Balans VL '!E19/100/3.6*1000000</f>
        <v>0</v>
      </c>
      <c r="K9" s="33"/>
      <c r="L9" s="33"/>
      <c r="M9" s="33"/>
      <c r="N9" s="33">
        <f>C31*'E Balans VL '!Y19/100/3.6*1000000</f>
        <v>17.238249409434427</v>
      </c>
      <c r="O9" s="33"/>
      <c r="P9" s="33"/>
      <c r="R9" s="32"/>
    </row>
    <row r="10" spans="1:18">
      <c r="A10" s="6" t="s">
        <v>40</v>
      </c>
      <c r="B10" s="37">
        <f t="shared" si="0"/>
        <v>194.50823300000002</v>
      </c>
      <c r="C10" s="33"/>
      <c r="D10" s="37">
        <f>IF( ISERROR(IND_voed_gas_kWh/1000),0,IND_voed_gas_kWh/1000)*0.903</f>
        <v>0</v>
      </c>
      <c r="E10" s="33">
        <f>C32*'E Balans VL '!I20/100/3.6*1000000</f>
        <v>0.38504361597277997</v>
      </c>
      <c r="F10" s="33">
        <f>C32*'E Balans VL '!L20/100/3.6*1000000+C32*'E Balans VL '!N20/100/3.6*1000000</f>
        <v>4.1311163256981187</v>
      </c>
      <c r="G10" s="34"/>
      <c r="H10" s="33"/>
      <c r="I10" s="33"/>
      <c r="J10" s="40">
        <f>C32*'E Balans VL '!D20/100/3.6*1000000+C32*'E Balans VL '!E20/100/3.6*1000000</f>
        <v>0</v>
      </c>
      <c r="K10" s="33"/>
      <c r="L10" s="33"/>
      <c r="M10" s="33"/>
      <c r="N10" s="33">
        <f>C32*'E Balans VL '!Y20/100/3.6*1000000</f>
        <v>7.8394209134326864</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63.873690000000003</v>
      </c>
      <c r="C13" s="33"/>
      <c r="D13" s="37">
        <f>IF( ISERROR(IND_papier_gas_kWh/1000),0,IND_papier_gas_kWh/1000)*0.903</f>
        <v>0</v>
      </c>
      <c r="E13" s="33">
        <f>C35*'E Balans VL '!I23/100/3.6*1000000</f>
        <v>0</v>
      </c>
      <c r="F13" s="33">
        <f>C35*'E Balans VL '!L23/100/3.6*1000000+C35*'E Balans VL '!N23/100/3.6*1000000</f>
        <v>7.8249302087121057E-3</v>
      </c>
      <c r="G13" s="34"/>
      <c r="H13" s="33"/>
      <c r="I13" s="33"/>
      <c r="J13" s="40">
        <f>C35*'E Balans VL '!D23/100/3.6*1000000+C35*'E Balans VL '!E23/100/3.6*1000000</f>
        <v>4.9767083401845392E-3</v>
      </c>
      <c r="K13" s="33"/>
      <c r="L13" s="33"/>
      <c r="M13" s="33"/>
      <c r="N13" s="33">
        <f>C35*'E Balans VL '!Y23/100/3.6*1000000</f>
        <v>-5.8614326565487529</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3.4680580000000001</v>
      </c>
      <c r="C15" s="33"/>
      <c r="D15" s="37">
        <f>IF( ISERROR(IND_rest_gas_kWh/1000),0,IND_rest_gas_kWh/1000)*0.903</f>
        <v>266.10614095799997</v>
      </c>
      <c r="E15" s="33">
        <f>C37*'E Balans VL '!I15/100/3.6*1000000</f>
        <v>0.18775835992032022</v>
      </c>
      <c r="F15" s="33">
        <f>C37*'E Balans VL '!L15/100/3.6*1000000+C37*'E Balans VL '!N15/100/3.6*1000000</f>
        <v>0.52927426184005721</v>
      </c>
      <c r="G15" s="34"/>
      <c r="H15" s="33"/>
      <c r="I15" s="33"/>
      <c r="J15" s="40">
        <f>C37*'E Balans VL '!D15/100/3.6*1000000+C37*'E Balans VL '!E15/100/3.6*1000000</f>
        <v>1.5217529366498436E-2</v>
      </c>
      <c r="K15" s="33"/>
      <c r="L15" s="33"/>
      <c r="M15" s="33"/>
      <c r="N15" s="33">
        <f>C37*'E Balans VL '!Y15/100/3.6*1000000</f>
        <v>9.8307617304130776E-2</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853.4407920000001</v>
      </c>
      <c r="C18" s="21">
        <f>C5+C16</f>
        <v>0</v>
      </c>
      <c r="D18" s="21">
        <f>MAX((D5+D16),0)</f>
        <v>713.303153619</v>
      </c>
      <c r="E18" s="21">
        <f>MAX((E5+E16),0)</f>
        <v>2.993870580938407</v>
      </c>
      <c r="F18" s="21">
        <f>MAX((F5+F16),0)</f>
        <v>319.62227450072464</v>
      </c>
      <c r="G18" s="21"/>
      <c r="H18" s="21"/>
      <c r="I18" s="21"/>
      <c r="J18" s="21">
        <f>MAX((J5+J16),0)</f>
        <v>0.13421776899758958</v>
      </c>
      <c r="K18" s="21"/>
      <c r="L18" s="21">
        <f>MAX((L5+L16),0)</f>
        <v>0</v>
      </c>
      <c r="M18" s="21"/>
      <c r="N18" s="21">
        <f>MAX((N5+N16),0)</f>
        <v>21.006817085889821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0.19093826586958795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162.95450484684773</v>
      </c>
      <c r="C22" s="23">
        <f ca="1">C18*C20</f>
        <v>0</v>
      </c>
      <c r="D22" s="23">
        <f>D18*D20</f>
        <v>144.087237031038</v>
      </c>
      <c r="E22" s="23">
        <f>E18*E20</f>
        <v>0.6796086218730184</v>
      </c>
      <c r="F22" s="23">
        <f>F18*F20</f>
        <v>85.339147291693479</v>
      </c>
      <c r="G22" s="23"/>
      <c r="H22" s="23"/>
      <c r="I22" s="23"/>
      <c r="J22" s="23">
        <f>J18*J20</f>
        <v>4.7513090225146708E-2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114.416275</v>
      </c>
      <c r="C30" s="39">
        <f>IF(ISERROR(B30*3.6/1000000/'E Balans VL '!Z18*100),0,B30*3.6/1000000/'E Balans VL '!Z18*100)</f>
        <v>6.3838991080445179E-3</v>
      </c>
      <c r="D30" s="232" t="s">
        <v>660</v>
      </c>
    </row>
    <row r="31" spans="1:18">
      <c r="A31" s="6" t="s">
        <v>32</v>
      </c>
      <c r="B31" s="37">
        <f>IF( ISERROR(IND_ander_ele_kWh/1000),0,IND_ander_ele_kWh/1000)</f>
        <v>477.17453600000005</v>
      </c>
      <c r="C31" s="39">
        <f>IF(ISERROR(B31*3.6/1000000/'E Balans VL '!Z19*100),0,B31*3.6/1000000/'E Balans VL '!Z19*100)</f>
        <v>1.9422476056416567E-2</v>
      </c>
      <c r="D31" s="232" t="s">
        <v>660</v>
      </c>
    </row>
    <row r="32" spans="1:18">
      <c r="A32" s="167" t="s">
        <v>40</v>
      </c>
      <c r="B32" s="37">
        <f>IF( ISERROR(IND_voed_ele_kWh/1000),0,IND_voed_ele_kWh/1000)</f>
        <v>194.50823300000002</v>
      </c>
      <c r="C32" s="39">
        <f>IF(ISERROR(B32*3.6/1000000/'E Balans VL '!Z20*100),0,B32*3.6/1000000/'E Balans VL '!Z20*100)</f>
        <v>5.6572410544826913E-3</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63.873690000000003</v>
      </c>
      <c r="C35" s="39">
        <f>IF(ISERROR(B35*3.6/1000000/'E Balans VL '!Z22*100),0,B35*3.6/1000000/'E Balans VL '!Z22*100)</f>
        <v>2.56234911852979E-2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3.4680580000000001</v>
      </c>
      <c r="C37" s="39">
        <f>IF(ISERROR(B37*3.6/1000000/'E Balans VL '!Z15*100),0,B37*3.6/1000000/'E Balans VL '!Z15*100)</f>
        <v>2.7933615734741692E-5</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896.63399199999992</v>
      </c>
      <c r="C5" s="17">
        <f>'Eigen informatie GS &amp; warmtenet'!B62</f>
        <v>0</v>
      </c>
      <c r="D5" s="30">
        <f>IF(ISERROR(SUM(LB_lb_gas_kWh,LB_rest_gas_kWh)/1000),0,SUM(LB_lb_gas_kWh,LB_rest_gas_kWh)/1000)*0.903</f>
        <v>317.79476486100003</v>
      </c>
      <c r="E5" s="17">
        <f>B17*'E Balans VL '!I25/3.6*1000000/100</f>
        <v>26.435304984873699</v>
      </c>
      <c r="F5" s="17">
        <f>B17*('E Balans VL '!L25/3.6*1000000+'E Balans VL '!N25/3.6*1000000)/100</f>
        <v>2849.8214805732905</v>
      </c>
      <c r="G5" s="18"/>
      <c r="H5" s="17"/>
      <c r="I5" s="17"/>
      <c r="J5" s="17">
        <f>('E Balans VL '!D25+'E Balans VL '!E25)/3.6*1000000*landbouw!B17/100</f>
        <v>226.1255867804131</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896.63399199999992</v>
      </c>
      <c r="C8" s="21">
        <f>C5+C6</f>
        <v>0</v>
      </c>
      <c r="D8" s="21">
        <f>MAX((D5+D6),0)</f>
        <v>317.79476486100003</v>
      </c>
      <c r="E8" s="21">
        <f>MAX((E5+E6),0)</f>
        <v>26.435304984873699</v>
      </c>
      <c r="F8" s="21">
        <f>MAX((F5+F6),0)</f>
        <v>2849.8214805732905</v>
      </c>
      <c r="G8" s="21"/>
      <c r="H8" s="21"/>
      <c r="I8" s="21"/>
      <c r="J8" s="21">
        <f>MAX((J5+J6),0)</f>
        <v>226.1255867804131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0.19093826586958795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171.20173955220599</v>
      </c>
      <c r="C12" s="23">
        <f ca="1">C8*C10</f>
        <v>0</v>
      </c>
      <c r="D12" s="23">
        <f>D8*D10</f>
        <v>64.194542501922015</v>
      </c>
      <c r="E12" s="23">
        <f>E8*E10</f>
        <v>6.0008142315663298</v>
      </c>
      <c r="F12" s="23">
        <f>F8*F10</f>
        <v>760.90233531306865</v>
      </c>
      <c r="G12" s="23"/>
      <c r="H12" s="23"/>
      <c r="I12" s="23"/>
      <c r="J12" s="23">
        <f>J8*J10</f>
        <v>80.048457720266228</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0.12315033901834098</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106.40768115945724</v>
      </c>
      <c r="C26" s="242">
        <f>B26*'GWP N2O_CH4'!B5</f>
        <v>2234.5613043486019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27.031430404246887</v>
      </c>
      <c r="C27" s="242">
        <f>B27*'GWP N2O_CH4'!B5</f>
        <v>567.66003848918467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1.7035001541293526</v>
      </c>
      <c r="C28" s="242">
        <f>B28*'GWP N2O_CH4'!B4</f>
        <v>528.08504778009933</v>
      </c>
      <c r="D28" s="50"/>
    </row>
    <row r="29" spans="1:4">
      <c r="A29" s="41" t="s">
        <v>266</v>
      </c>
      <c r="B29" s="242">
        <f>B34*'ha_N2O bodem landbouw'!B4</f>
        <v>13.094712184850872</v>
      </c>
      <c r="C29" s="242">
        <f>B29*'GWP N2O_CH4'!B4</f>
        <v>4059.3607773037702</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2.9843223029620862E-3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6.2172368845409953E-4</v>
      </c>
      <c r="C5" s="430" t="s">
        <v>204</v>
      </c>
      <c r="D5" s="415">
        <f>SUM(D6:D11)</f>
        <v>1.0632743976563995E-3</v>
      </c>
      <c r="E5" s="415">
        <f>SUM(E6:E11)</f>
        <v>6.207227425302005E-4</v>
      </c>
      <c r="F5" s="428" t="s">
        <v>204</v>
      </c>
      <c r="G5" s="415">
        <f>SUM(G6:G11)</f>
        <v>0.27508451699888004</v>
      </c>
      <c r="H5" s="415">
        <f>SUM(H6:H11)</f>
        <v>7.1072334316958752E-2</v>
      </c>
      <c r="I5" s="430" t="s">
        <v>204</v>
      </c>
      <c r="J5" s="430" t="s">
        <v>204</v>
      </c>
      <c r="K5" s="430" t="s">
        <v>204</v>
      </c>
      <c r="L5" s="430" t="s">
        <v>204</v>
      </c>
      <c r="M5" s="415">
        <f>SUM(M6:M11)</f>
        <v>2.0428345324805617E-2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2.6083135030343274E-4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4.5518887447528492E-4</v>
      </c>
      <c r="E6" s="844">
        <f>vkm_GW_PW*SUMIFS(TableVerdeelsleutelVkm[LPG],TableVerdeelsleutelVkm[Voertuigtype],"Lichte voertuigen")*SUMIFS(TableECFTransport[EnergieConsumptieFactor (PJ per km)],TableECFTransport[Index],CONCATENATE($A6,"_LPG_LPG"))</f>
        <v>2.5027678424087034E-4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7.702876720506123E-2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3.0053454044914569E-2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6.4260614263548406E-3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1.2354404710679172E-6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5.1131724907334426E-2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5.6037830725730176E-7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2.8787977373457602E-3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1.2146736995493964E-4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2.7174448584473291E-4</v>
      </c>
      <c r="E8" s="418">
        <f>vkm_NGW_PW*SUMIFS(TableVerdeelsleutelVkm[LPG],TableVerdeelsleutelVkm[Voertuigtype],"Lichte voertuigen")*SUMIFS(TableECFTransport[EnergieConsumptieFactor (PJ per km)],TableECFTransport[Index],CONCATENATE($A8,"_LPG_LPG"))</f>
        <v>1.4270646738916132E-4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4.0587845753618637E-2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1.766174062348369E-2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3.5129511262492362E-3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1.4710313483996239E-7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7.8402128238620646E-3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8.0537448208495862E-8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4.4141612332591532E-4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2.3713343417398487E-4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3.3634103733638153E-4</v>
      </c>
      <c r="E10" s="418">
        <f>vkm_SW_PW*SUMIFS(TableVerdeelsleutelVkm[LPG],TableVerdeelsleutelVkm[Voertuigtype],"Lichte voertuigen")*SUMIFS(TableECFTransport[EnergieConsumptieFactor (PJ per km)],TableECFTransport[Index],CONCATENATE($A10,"_LPG_LPG"))</f>
        <v>2.2773949090016887E-4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6.2954813605058585E-2</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2.3356074358349434E-2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5.1680928540323388E-3</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9.0899041583442006E-7</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3.5541152703945117E-2</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4.2437445559204463E-7</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2.0010260574975258E-3</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172.70102457058323</v>
      </c>
      <c r="C14" s="21"/>
      <c r="D14" s="21">
        <f t="shared" ref="D14:M14" si="0">((D5)*10^9/3600)+D12</f>
        <v>295.35399934899988</v>
      </c>
      <c r="E14" s="21">
        <f t="shared" si="0"/>
        <v>172.42298403616681</v>
      </c>
      <c r="F14" s="21"/>
      <c r="G14" s="21">
        <f t="shared" si="0"/>
        <v>76412.365833022224</v>
      </c>
      <c r="H14" s="21">
        <f t="shared" si="0"/>
        <v>19742.315088044099</v>
      </c>
      <c r="I14" s="21"/>
      <c r="J14" s="21"/>
      <c r="K14" s="21"/>
      <c r="L14" s="21"/>
      <c r="M14" s="21">
        <f t="shared" si="0"/>
        <v>5674.5403680015606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0.19093826586958795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32.975234145408265</v>
      </c>
      <c r="C18" s="23"/>
      <c r="D18" s="23">
        <f t="shared" ref="D18:M18" si="1">D14*D16</f>
        <v>59.661507868497978</v>
      </c>
      <c r="E18" s="23">
        <f t="shared" si="1"/>
        <v>39.140017376209869</v>
      </c>
      <c r="F18" s="23"/>
      <c r="G18" s="23">
        <f t="shared" si="1"/>
        <v>20402.101677416937</v>
      </c>
      <c r="H18" s="23">
        <f t="shared" si="1"/>
        <v>4915.8364569229807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1.0083095629559375E-4</v>
      </c>
      <c r="C50" s="313">
        <f t="shared" ref="C50:P50" si="2">SUM(C51:C52)</f>
        <v>0</v>
      </c>
      <c r="D50" s="313">
        <f t="shared" si="2"/>
        <v>0</v>
      </c>
      <c r="E50" s="313">
        <f t="shared" si="2"/>
        <v>0</v>
      </c>
      <c r="F50" s="313">
        <f t="shared" si="2"/>
        <v>0</v>
      </c>
      <c r="G50" s="313">
        <f t="shared" si="2"/>
        <v>7.1971319972866715E-3</v>
      </c>
      <c r="H50" s="313">
        <f t="shared" si="2"/>
        <v>0</v>
      </c>
      <c r="I50" s="313">
        <f t="shared" si="2"/>
        <v>0</v>
      </c>
      <c r="J50" s="313">
        <f t="shared" si="2"/>
        <v>0</v>
      </c>
      <c r="K50" s="313">
        <f t="shared" si="2"/>
        <v>0</v>
      </c>
      <c r="L50" s="313">
        <f t="shared" si="2"/>
        <v>0</v>
      </c>
      <c r="M50" s="313">
        <f t="shared" si="2"/>
        <v>3.9741550886753413E-4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1.0083095629559375E-4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7.1971319972866715E-3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3.9741550886753413E-4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28.008598970998261</v>
      </c>
      <c r="C54" s="21">
        <f t="shared" ref="C54:P54" si="3">(C50)*10^9/3600</f>
        <v>0</v>
      </c>
      <c r="D54" s="21">
        <f t="shared" si="3"/>
        <v>0</v>
      </c>
      <c r="E54" s="21">
        <f t="shared" si="3"/>
        <v>0</v>
      </c>
      <c r="F54" s="21">
        <f t="shared" si="3"/>
        <v>0</v>
      </c>
      <c r="G54" s="21">
        <f t="shared" si="3"/>
        <v>1999.203332579631</v>
      </c>
      <c r="H54" s="21">
        <f t="shared" si="3"/>
        <v>0</v>
      </c>
      <c r="I54" s="21">
        <f t="shared" si="3"/>
        <v>0</v>
      </c>
      <c r="J54" s="21">
        <f t="shared" si="3"/>
        <v>0</v>
      </c>
      <c r="K54" s="21">
        <f t="shared" si="3"/>
        <v>0</v>
      </c>
      <c r="L54" s="21">
        <f t="shared" si="3"/>
        <v>0</v>
      </c>
      <c r="M54" s="21">
        <f t="shared" si="3"/>
        <v>110.39319690764836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0.19093826586958795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5.3479133169591337</v>
      </c>
      <c r="C58" s="23">
        <f t="shared" ref="C58:P58" ca="1" si="4">C54*C56</f>
        <v>0</v>
      </c>
      <c r="D58" s="23">
        <f t="shared" si="4"/>
        <v>0</v>
      </c>
      <c r="E58" s="23">
        <f t="shared" si="4"/>
        <v>0</v>
      </c>
      <c r="F58" s="23">
        <f t="shared" si="4"/>
        <v>0</v>
      </c>
      <c r="G58" s="23">
        <f t="shared" si="4"/>
        <v>533.78728979876155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4510.0474112002476</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4510.0474112002476</v>
      </c>
      <c r="C10" s="555">
        <f t="shared" ref="C10:L10" si="0">SUM(C8:C9)</f>
        <v>0</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11522.232503889038</v>
      </c>
      <c r="D10" s="642">
        <f ca="1">tertiair!C16</f>
        <v>0</v>
      </c>
      <c r="E10" s="642">
        <f ca="1">tertiair!D16</f>
        <v>6298.0673894250003</v>
      </c>
      <c r="F10" s="642">
        <f>tertiair!E16</f>
        <v>39.781257793094419</v>
      </c>
      <c r="G10" s="642">
        <f ca="1">tertiair!F16</f>
        <v>2035.2549539514202</v>
      </c>
      <c r="H10" s="642">
        <f>tertiair!G16</f>
        <v>0</v>
      </c>
      <c r="I10" s="642">
        <f>tertiair!H16</f>
        <v>0</v>
      </c>
      <c r="J10" s="642">
        <f>tertiair!I16</f>
        <v>0</v>
      </c>
      <c r="K10" s="642">
        <f>tertiair!J16</f>
        <v>1.2275081156111957E-2</v>
      </c>
      <c r="L10" s="642">
        <f>tertiair!K16</f>
        <v>0</v>
      </c>
      <c r="M10" s="642">
        <f ca="1">tertiair!L16</f>
        <v>0</v>
      </c>
      <c r="N10" s="642">
        <f>tertiair!M16</f>
        <v>0</v>
      </c>
      <c r="O10" s="642">
        <f ca="1">tertiair!N16</f>
        <v>431.21620896882081</v>
      </c>
      <c r="P10" s="642">
        <f>tertiair!O16</f>
        <v>4.8972607658411542</v>
      </c>
      <c r="Q10" s="643">
        <f>tertiair!P16</f>
        <v>0</v>
      </c>
      <c r="R10" s="645">
        <f ca="1">SUM(C10:Q10)</f>
        <v>20331.461849874369</v>
      </c>
      <c r="S10" s="67"/>
    </row>
    <row r="11" spans="1:19" s="441" customFormat="1">
      <c r="A11" s="762" t="s">
        <v>214</v>
      </c>
      <c r="B11" s="767"/>
      <c r="C11" s="642">
        <f>huishoudens!B8</f>
        <v>19240.982353469168</v>
      </c>
      <c r="D11" s="642">
        <f>huishoudens!C8</f>
        <v>0</v>
      </c>
      <c r="E11" s="642">
        <f>huishoudens!D8</f>
        <v>21122.344479726002</v>
      </c>
      <c r="F11" s="642">
        <f>huishoudens!E8</f>
        <v>2342.4087037813993</v>
      </c>
      <c r="G11" s="642">
        <f>huishoudens!F8</f>
        <v>38386.64876729354</v>
      </c>
      <c r="H11" s="642">
        <f>huishoudens!G8</f>
        <v>0</v>
      </c>
      <c r="I11" s="642">
        <f>huishoudens!H8</f>
        <v>0</v>
      </c>
      <c r="J11" s="642">
        <f>huishoudens!I8</f>
        <v>0</v>
      </c>
      <c r="K11" s="642">
        <f>huishoudens!J8</f>
        <v>211.8750625384624</v>
      </c>
      <c r="L11" s="642">
        <f>huishoudens!K8</f>
        <v>0</v>
      </c>
      <c r="M11" s="642">
        <f>huishoudens!L8</f>
        <v>0</v>
      </c>
      <c r="N11" s="642">
        <f>huishoudens!M8</f>
        <v>0</v>
      </c>
      <c r="O11" s="642">
        <f>huishoudens!N8</f>
        <v>7315.4381296543452</v>
      </c>
      <c r="P11" s="642">
        <f>huishoudens!O8</f>
        <v>259.8985267397012</v>
      </c>
      <c r="Q11" s="643">
        <f>huishoudens!P8</f>
        <v>684.70735499952639</v>
      </c>
      <c r="R11" s="645">
        <f>SUM(C11:Q11)</f>
        <v>89564.303378202152</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853.4407920000001</v>
      </c>
      <c r="D13" s="642">
        <f>industrie!C18</f>
        <v>0</v>
      </c>
      <c r="E13" s="642">
        <f>industrie!D18</f>
        <v>713.303153619</v>
      </c>
      <c r="F13" s="642">
        <f>industrie!E18</f>
        <v>2.993870580938407</v>
      </c>
      <c r="G13" s="642">
        <f>industrie!F18</f>
        <v>319.62227450072464</v>
      </c>
      <c r="H13" s="642">
        <f>industrie!G18</f>
        <v>0</v>
      </c>
      <c r="I13" s="642">
        <f>industrie!H18</f>
        <v>0</v>
      </c>
      <c r="J13" s="642">
        <f>industrie!I18</f>
        <v>0</v>
      </c>
      <c r="K13" s="642">
        <f>industrie!J18</f>
        <v>0.13421776899758958</v>
      </c>
      <c r="L13" s="642">
        <f>industrie!K18</f>
        <v>0</v>
      </c>
      <c r="M13" s="642">
        <f>industrie!L18</f>
        <v>0</v>
      </c>
      <c r="N13" s="642">
        <f>industrie!M18</f>
        <v>0</v>
      </c>
      <c r="O13" s="642">
        <f>industrie!N18</f>
        <v>21.006817085889821</v>
      </c>
      <c r="P13" s="642">
        <f>industrie!O18</f>
        <v>0</v>
      </c>
      <c r="Q13" s="643">
        <f>industrie!P18</f>
        <v>0</v>
      </c>
      <c r="R13" s="645">
        <f>SUM(C13:Q13)</f>
        <v>1910.5011255555505</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31616.655649358207</v>
      </c>
      <c r="D16" s="678">
        <f t="shared" ref="D16:R16" ca="1" si="0">SUM(D9:D15)</f>
        <v>0</v>
      </c>
      <c r="E16" s="678">
        <f t="shared" ca="1" si="0"/>
        <v>28133.71502277</v>
      </c>
      <c r="F16" s="678">
        <f t="shared" si="0"/>
        <v>2385.1838321554324</v>
      </c>
      <c r="G16" s="678">
        <f t="shared" ca="1" si="0"/>
        <v>40741.525995745687</v>
      </c>
      <c r="H16" s="678">
        <f t="shared" si="0"/>
        <v>0</v>
      </c>
      <c r="I16" s="678">
        <f t="shared" si="0"/>
        <v>0</v>
      </c>
      <c r="J16" s="678">
        <f t="shared" si="0"/>
        <v>0</v>
      </c>
      <c r="K16" s="678">
        <f t="shared" si="0"/>
        <v>212.02155538861609</v>
      </c>
      <c r="L16" s="678">
        <f t="shared" si="0"/>
        <v>0</v>
      </c>
      <c r="M16" s="678">
        <f t="shared" ca="1" si="0"/>
        <v>0</v>
      </c>
      <c r="N16" s="678">
        <f t="shared" si="0"/>
        <v>0</v>
      </c>
      <c r="O16" s="678">
        <f t="shared" ca="1" si="0"/>
        <v>7767.6611557090555</v>
      </c>
      <c r="P16" s="678">
        <f t="shared" si="0"/>
        <v>264.79578750554236</v>
      </c>
      <c r="Q16" s="678">
        <f t="shared" si="0"/>
        <v>684.70735499952639</v>
      </c>
      <c r="R16" s="678">
        <f t="shared" ca="1" si="0"/>
        <v>111806.26635363206</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28.008598970998261</v>
      </c>
      <c r="D19" s="642">
        <f>transport!C54</f>
        <v>0</v>
      </c>
      <c r="E19" s="642">
        <f>transport!D54</f>
        <v>0</v>
      </c>
      <c r="F19" s="642">
        <f>transport!E54</f>
        <v>0</v>
      </c>
      <c r="G19" s="642">
        <f>transport!F54</f>
        <v>0</v>
      </c>
      <c r="H19" s="642">
        <f>transport!G54</f>
        <v>1999.203332579631</v>
      </c>
      <c r="I19" s="642">
        <f>transport!H54</f>
        <v>0</v>
      </c>
      <c r="J19" s="642">
        <f>transport!I54</f>
        <v>0</v>
      </c>
      <c r="K19" s="642">
        <f>transport!J54</f>
        <v>0</v>
      </c>
      <c r="L19" s="642">
        <f>transport!K54</f>
        <v>0</v>
      </c>
      <c r="M19" s="642">
        <f>transport!L54</f>
        <v>0</v>
      </c>
      <c r="N19" s="642">
        <f>transport!M54</f>
        <v>110.39319690764836</v>
      </c>
      <c r="O19" s="642">
        <f>transport!N54</f>
        <v>0</v>
      </c>
      <c r="P19" s="642">
        <f>transport!O54</f>
        <v>0</v>
      </c>
      <c r="Q19" s="643">
        <f>transport!P54</f>
        <v>0</v>
      </c>
      <c r="R19" s="645">
        <f>SUM(C19:Q19)</f>
        <v>2137.6051284582777</v>
      </c>
      <c r="S19" s="67"/>
    </row>
    <row r="20" spans="1:19" s="441" customFormat="1">
      <c r="A20" s="762" t="s">
        <v>296</v>
      </c>
      <c r="B20" s="767"/>
      <c r="C20" s="642">
        <f>transport!B14</f>
        <v>172.70102457058323</v>
      </c>
      <c r="D20" s="642">
        <f>transport!C14</f>
        <v>0</v>
      </c>
      <c r="E20" s="642">
        <f>transport!D14</f>
        <v>295.35399934899988</v>
      </c>
      <c r="F20" s="642">
        <f>transport!E14</f>
        <v>172.42298403616681</v>
      </c>
      <c r="G20" s="642">
        <f>transport!F14</f>
        <v>0</v>
      </c>
      <c r="H20" s="642">
        <f>transport!G14</f>
        <v>76412.365833022224</v>
      </c>
      <c r="I20" s="642">
        <f>transport!H14</f>
        <v>19742.315088044099</v>
      </c>
      <c r="J20" s="642">
        <f>transport!I14</f>
        <v>0</v>
      </c>
      <c r="K20" s="642">
        <f>transport!J14</f>
        <v>0</v>
      </c>
      <c r="L20" s="642">
        <f>transport!K14</f>
        <v>0</v>
      </c>
      <c r="M20" s="642">
        <f>transport!L14</f>
        <v>0</v>
      </c>
      <c r="N20" s="642">
        <f>transport!M14</f>
        <v>5674.5403680015606</v>
      </c>
      <c r="O20" s="642">
        <f>transport!N14</f>
        <v>0</v>
      </c>
      <c r="P20" s="642">
        <f>transport!O14</f>
        <v>0</v>
      </c>
      <c r="Q20" s="643">
        <f>transport!P14</f>
        <v>0</v>
      </c>
      <c r="R20" s="645">
        <f>SUM(C20:Q20)</f>
        <v>102469.69929702363</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200.70962354158149</v>
      </c>
      <c r="D22" s="765">
        <f t="shared" ref="D22:R22" si="1">SUM(D18:D21)</f>
        <v>0</v>
      </c>
      <c r="E22" s="765">
        <f t="shared" si="1"/>
        <v>295.35399934899988</v>
      </c>
      <c r="F22" s="765">
        <f t="shared" si="1"/>
        <v>172.42298403616681</v>
      </c>
      <c r="G22" s="765">
        <f t="shared" si="1"/>
        <v>0</v>
      </c>
      <c r="H22" s="765">
        <f t="shared" si="1"/>
        <v>78411.569165601861</v>
      </c>
      <c r="I22" s="765">
        <f t="shared" si="1"/>
        <v>19742.315088044099</v>
      </c>
      <c r="J22" s="765">
        <f t="shared" si="1"/>
        <v>0</v>
      </c>
      <c r="K22" s="765">
        <f t="shared" si="1"/>
        <v>0</v>
      </c>
      <c r="L22" s="765">
        <f t="shared" si="1"/>
        <v>0</v>
      </c>
      <c r="M22" s="765">
        <f t="shared" si="1"/>
        <v>0</v>
      </c>
      <c r="N22" s="765">
        <f t="shared" si="1"/>
        <v>5784.9335649092091</v>
      </c>
      <c r="O22" s="765">
        <f t="shared" si="1"/>
        <v>0</v>
      </c>
      <c r="P22" s="765">
        <f t="shared" si="1"/>
        <v>0</v>
      </c>
      <c r="Q22" s="765">
        <f t="shared" si="1"/>
        <v>0</v>
      </c>
      <c r="R22" s="765">
        <f t="shared" si="1"/>
        <v>104607.30442548191</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896.63399199999992</v>
      </c>
      <c r="D24" s="642">
        <f>+landbouw!C8</f>
        <v>0</v>
      </c>
      <c r="E24" s="642">
        <f>+landbouw!D8</f>
        <v>317.79476486100003</v>
      </c>
      <c r="F24" s="642">
        <f>+landbouw!E8</f>
        <v>26.435304984873699</v>
      </c>
      <c r="G24" s="642">
        <f>+landbouw!F8</f>
        <v>2849.8214805732905</v>
      </c>
      <c r="H24" s="642">
        <f>+landbouw!G8</f>
        <v>0</v>
      </c>
      <c r="I24" s="642">
        <f>+landbouw!H8</f>
        <v>0</v>
      </c>
      <c r="J24" s="642">
        <f>+landbouw!I8</f>
        <v>0</v>
      </c>
      <c r="K24" s="642">
        <f>+landbouw!J8</f>
        <v>226.1255867804131</v>
      </c>
      <c r="L24" s="642">
        <f>+landbouw!K8</f>
        <v>0</v>
      </c>
      <c r="M24" s="642">
        <f>+landbouw!L8</f>
        <v>0</v>
      </c>
      <c r="N24" s="642">
        <f>+landbouw!M8</f>
        <v>0</v>
      </c>
      <c r="O24" s="642">
        <f>+landbouw!N8</f>
        <v>0</v>
      </c>
      <c r="P24" s="642">
        <f>+landbouw!O8</f>
        <v>0</v>
      </c>
      <c r="Q24" s="643">
        <f>+landbouw!P8</f>
        <v>0</v>
      </c>
      <c r="R24" s="645">
        <f>SUM(C24:Q24)</f>
        <v>4316.8111291995774</v>
      </c>
      <c r="S24" s="67"/>
    </row>
    <row r="25" spans="1:19" s="441" customFormat="1" ht="15" thickBot="1">
      <c r="A25" s="784" t="s">
        <v>672</v>
      </c>
      <c r="B25" s="895"/>
      <c r="C25" s="896">
        <f>IF(Onbekend_ele_kWh="---",0,Onbekend_ele_kWh)/1000+IF(REST_rest_ele_kWh="---",0,REST_rest_ele_kWh)/1000</f>
        <v>441.78853999999995</v>
      </c>
      <c r="D25" s="896"/>
      <c r="E25" s="896">
        <f>IF(onbekend_gas_kWh="---",0,onbekend_gas_kWh)/1000+IF(REST_rest_gas_kWh="---",0,REST_rest_gas_kWh)/1000</f>
        <v>2033.8347900000001</v>
      </c>
      <c r="F25" s="896"/>
      <c r="G25" s="896"/>
      <c r="H25" s="896"/>
      <c r="I25" s="896"/>
      <c r="J25" s="896"/>
      <c r="K25" s="896"/>
      <c r="L25" s="896"/>
      <c r="M25" s="896"/>
      <c r="N25" s="896"/>
      <c r="O25" s="896"/>
      <c r="P25" s="896"/>
      <c r="Q25" s="897"/>
      <c r="R25" s="645">
        <f>SUM(C25:Q25)</f>
        <v>2475.6233299999999</v>
      </c>
      <c r="S25" s="67"/>
    </row>
    <row r="26" spans="1:19" s="441" customFormat="1" ht="15.75" thickBot="1">
      <c r="A26" s="650" t="s">
        <v>673</v>
      </c>
      <c r="B26" s="770"/>
      <c r="C26" s="765">
        <f>SUM(C24:C25)</f>
        <v>1338.4225319999998</v>
      </c>
      <c r="D26" s="765">
        <f t="shared" ref="D26:R26" si="2">SUM(D24:D25)</f>
        <v>0</v>
      </c>
      <c r="E26" s="765">
        <f t="shared" si="2"/>
        <v>2351.6295548610001</v>
      </c>
      <c r="F26" s="765">
        <f t="shared" si="2"/>
        <v>26.435304984873699</v>
      </c>
      <c r="G26" s="765">
        <f t="shared" si="2"/>
        <v>2849.8214805732905</v>
      </c>
      <c r="H26" s="765">
        <f t="shared" si="2"/>
        <v>0</v>
      </c>
      <c r="I26" s="765">
        <f t="shared" si="2"/>
        <v>0</v>
      </c>
      <c r="J26" s="765">
        <f t="shared" si="2"/>
        <v>0</v>
      </c>
      <c r="K26" s="765">
        <f t="shared" si="2"/>
        <v>226.1255867804131</v>
      </c>
      <c r="L26" s="765">
        <f t="shared" si="2"/>
        <v>0</v>
      </c>
      <c r="M26" s="765">
        <f t="shared" si="2"/>
        <v>0</v>
      </c>
      <c r="N26" s="765">
        <f t="shared" si="2"/>
        <v>0</v>
      </c>
      <c r="O26" s="765">
        <f t="shared" si="2"/>
        <v>0</v>
      </c>
      <c r="P26" s="765">
        <f t="shared" si="2"/>
        <v>0</v>
      </c>
      <c r="Q26" s="765">
        <f t="shared" si="2"/>
        <v>0</v>
      </c>
      <c r="R26" s="765">
        <f t="shared" si="2"/>
        <v>6792.4344591995778</v>
      </c>
      <c r="S26" s="67"/>
    </row>
    <row r="27" spans="1:19" s="441" customFormat="1" ht="17.25" thickTop="1" thickBot="1">
      <c r="A27" s="651" t="s">
        <v>109</v>
      </c>
      <c r="B27" s="757"/>
      <c r="C27" s="652">
        <f ca="1">C22+C16+C26</f>
        <v>33155.787804899788</v>
      </c>
      <c r="D27" s="652">
        <f t="shared" ref="D27:R27" ca="1" si="3">D22+D16+D26</f>
        <v>0</v>
      </c>
      <c r="E27" s="652">
        <f t="shared" ca="1" si="3"/>
        <v>30780.698576980001</v>
      </c>
      <c r="F27" s="652">
        <f t="shared" si="3"/>
        <v>2584.0421211764728</v>
      </c>
      <c r="G27" s="652">
        <f t="shared" ca="1" si="3"/>
        <v>43591.347476318981</v>
      </c>
      <c r="H27" s="652">
        <f t="shared" si="3"/>
        <v>78411.569165601861</v>
      </c>
      <c r="I27" s="652">
        <f t="shared" si="3"/>
        <v>19742.315088044099</v>
      </c>
      <c r="J27" s="652">
        <f t="shared" si="3"/>
        <v>0</v>
      </c>
      <c r="K27" s="652">
        <f t="shared" si="3"/>
        <v>438.14714216902917</v>
      </c>
      <c r="L27" s="652">
        <f t="shared" si="3"/>
        <v>0</v>
      </c>
      <c r="M27" s="652">
        <f t="shared" ca="1" si="3"/>
        <v>0</v>
      </c>
      <c r="N27" s="652">
        <f t="shared" si="3"/>
        <v>5784.9335649092091</v>
      </c>
      <c r="O27" s="652">
        <f t="shared" ca="1" si="3"/>
        <v>7767.6611557090555</v>
      </c>
      <c r="P27" s="652">
        <f t="shared" si="3"/>
        <v>264.79578750554236</v>
      </c>
      <c r="Q27" s="652">
        <f t="shared" si="3"/>
        <v>684.70735499952639</v>
      </c>
      <c r="R27" s="652">
        <f t="shared" ca="1" si="3"/>
        <v>223206.00523831355</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2200.0350932387732</v>
      </c>
      <c r="D40" s="642">
        <f ca="1">tertiair!C20</f>
        <v>0</v>
      </c>
      <c r="E40" s="642">
        <f ca="1">tertiair!D20</f>
        <v>1272.2096126638501</v>
      </c>
      <c r="F40" s="642">
        <f>tertiair!E20</f>
        <v>9.0303455190324335</v>
      </c>
      <c r="G40" s="642">
        <f ca="1">tertiair!F20</f>
        <v>543.41307270502921</v>
      </c>
      <c r="H40" s="642">
        <f>tertiair!G20</f>
        <v>0</v>
      </c>
      <c r="I40" s="642">
        <f>tertiair!H20</f>
        <v>0</v>
      </c>
      <c r="J40" s="642">
        <f>tertiair!I20</f>
        <v>0</v>
      </c>
      <c r="K40" s="642">
        <f>tertiair!J20</f>
        <v>4.3453787292636326E-3</v>
      </c>
      <c r="L40" s="642">
        <f>tertiair!K20</f>
        <v>0</v>
      </c>
      <c r="M40" s="642">
        <f ca="1">tertiair!L20</f>
        <v>0</v>
      </c>
      <c r="N40" s="642">
        <f>tertiair!M20</f>
        <v>0</v>
      </c>
      <c r="O40" s="642">
        <f ca="1">tertiair!N20</f>
        <v>0</v>
      </c>
      <c r="P40" s="642">
        <f>tertiair!O20</f>
        <v>0</v>
      </c>
      <c r="Q40" s="725">
        <f>tertiair!P20</f>
        <v>0</v>
      </c>
      <c r="R40" s="803">
        <f t="shared" ca="1" si="4"/>
        <v>4024.6924695054145</v>
      </c>
    </row>
    <row r="41" spans="1:18">
      <c r="A41" s="775" t="s">
        <v>214</v>
      </c>
      <c r="B41" s="782"/>
      <c r="C41" s="642">
        <f ca="1">huishoudens!B12</f>
        <v>3673.8398041987462</v>
      </c>
      <c r="D41" s="642">
        <f ca="1">huishoudens!C12</f>
        <v>0</v>
      </c>
      <c r="E41" s="642">
        <f>huishoudens!D12</f>
        <v>4266.7135849046526</v>
      </c>
      <c r="F41" s="642">
        <f>huishoudens!E12</f>
        <v>531.7267757583777</v>
      </c>
      <c r="G41" s="642">
        <f>huishoudens!F12</f>
        <v>10249.235220867376</v>
      </c>
      <c r="H41" s="642">
        <f>huishoudens!G12</f>
        <v>0</v>
      </c>
      <c r="I41" s="642">
        <f>huishoudens!H12</f>
        <v>0</v>
      </c>
      <c r="J41" s="642">
        <f>huishoudens!I12</f>
        <v>0</v>
      </c>
      <c r="K41" s="642">
        <f>huishoudens!J12</f>
        <v>75.003772138615687</v>
      </c>
      <c r="L41" s="642">
        <f>huishoudens!K12</f>
        <v>0</v>
      </c>
      <c r="M41" s="642">
        <f>huishoudens!L12</f>
        <v>0</v>
      </c>
      <c r="N41" s="642">
        <f>huishoudens!M12</f>
        <v>0</v>
      </c>
      <c r="O41" s="642">
        <f>huishoudens!N12</f>
        <v>0</v>
      </c>
      <c r="P41" s="642">
        <f>huishoudens!O12</f>
        <v>0</v>
      </c>
      <c r="Q41" s="725">
        <f>huishoudens!P12</f>
        <v>0</v>
      </c>
      <c r="R41" s="803">
        <f t="shared" ca="1" si="4"/>
        <v>18796.519157867766</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162.95450484684773</v>
      </c>
      <c r="D43" s="642">
        <f ca="1">industrie!C22</f>
        <v>0</v>
      </c>
      <c r="E43" s="642">
        <f>industrie!D22</f>
        <v>144.087237031038</v>
      </c>
      <c r="F43" s="642">
        <f>industrie!E22</f>
        <v>0.6796086218730184</v>
      </c>
      <c r="G43" s="642">
        <f>industrie!F22</f>
        <v>85.339147291693479</v>
      </c>
      <c r="H43" s="642">
        <f>industrie!G22</f>
        <v>0</v>
      </c>
      <c r="I43" s="642">
        <f>industrie!H22</f>
        <v>0</v>
      </c>
      <c r="J43" s="642">
        <f>industrie!I22</f>
        <v>0</v>
      </c>
      <c r="K43" s="642">
        <f>industrie!J22</f>
        <v>4.7513090225146708E-2</v>
      </c>
      <c r="L43" s="642">
        <f>industrie!K22</f>
        <v>0</v>
      </c>
      <c r="M43" s="642">
        <f>industrie!L22</f>
        <v>0</v>
      </c>
      <c r="N43" s="642">
        <f>industrie!M22</f>
        <v>0</v>
      </c>
      <c r="O43" s="642">
        <f>industrie!N22</f>
        <v>0</v>
      </c>
      <c r="P43" s="642">
        <f>industrie!O22</f>
        <v>0</v>
      </c>
      <c r="Q43" s="725">
        <f>industrie!P22</f>
        <v>0</v>
      </c>
      <c r="R43" s="802">
        <f t="shared" ca="1" si="4"/>
        <v>393.10801088167739</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6036.8294022843675</v>
      </c>
      <c r="D46" s="678">
        <f t="shared" ref="D46:Q46" ca="1" si="5">SUM(D39:D45)</f>
        <v>0</v>
      </c>
      <c r="E46" s="678">
        <f t="shared" ca="1" si="5"/>
        <v>5683.0104345995405</v>
      </c>
      <c r="F46" s="678">
        <f t="shared" si="5"/>
        <v>541.43672989928314</v>
      </c>
      <c r="G46" s="678">
        <f t="shared" ca="1" si="5"/>
        <v>10877.987440864099</v>
      </c>
      <c r="H46" s="678">
        <f t="shared" si="5"/>
        <v>0</v>
      </c>
      <c r="I46" s="678">
        <f t="shared" si="5"/>
        <v>0</v>
      </c>
      <c r="J46" s="678">
        <f t="shared" si="5"/>
        <v>0</v>
      </c>
      <c r="K46" s="678">
        <f t="shared" si="5"/>
        <v>75.055630607570109</v>
      </c>
      <c r="L46" s="678">
        <f t="shared" si="5"/>
        <v>0</v>
      </c>
      <c r="M46" s="678">
        <f t="shared" ca="1" si="5"/>
        <v>0</v>
      </c>
      <c r="N46" s="678">
        <f t="shared" si="5"/>
        <v>0</v>
      </c>
      <c r="O46" s="678">
        <f t="shared" ca="1" si="5"/>
        <v>0</v>
      </c>
      <c r="P46" s="678">
        <f t="shared" si="5"/>
        <v>0</v>
      </c>
      <c r="Q46" s="678">
        <f t="shared" si="5"/>
        <v>0</v>
      </c>
      <c r="R46" s="678">
        <f ca="1">SUM(R39:R45)</f>
        <v>23214.319638254859</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5.3479133169591337</v>
      </c>
      <c r="D49" s="642">
        <f ca="1">transport!C58</f>
        <v>0</v>
      </c>
      <c r="E49" s="642">
        <f>transport!D58</f>
        <v>0</v>
      </c>
      <c r="F49" s="642">
        <f>transport!E58</f>
        <v>0</v>
      </c>
      <c r="G49" s="642">
        <f>transport!F58</f>
        <v>0</v>
      </c>
      <c r="H49" s="642">
        <f>transport!G58</f>
        <v>533.78728979876155</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539.13520311572063</v>
      </c>
    </row>
    <row r="50" spans="1:18">
      <c r="A50" s="778" t="s">
        <v>296</v>
      </c>
      <c r="B50" s="788"/>
      <c r="C50" s="648">
        <f ca="1">transport!B18</f>
        <v>32.975234145408265</v>
      </c>
      <c r="D50" s="648">
        <f>transport!C18</f>
        <v>0</v>
      </c>
      <c r="E50" s="648">
        <f>transport!D18</f>
        <v>59.661507868497978</v>
      </c>
      <c r="F50" s="648">
        <f>transport!E18</f>
        <v>39.140017376209869</v>
      </c>
      <c r="G50" s="648">
        <f>transport!F18</f>
        <v>0</v>
      </c>
      <c r="H50" s="648">
        <f>transport!G18</f>
        <v>20402.101677416937</v>
      </c>
      <c r="I50" s="648">
        <f>transport!H18</f>
        <v>4915.8364569229807</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25449.714893730034</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38.323147462367402</v>
      </c>
      <c r="D52" s="678">
        <f t="shared" ref="D52:Q52" ca="1" si="6">SUM(D48:D51)</f>
        <v>0</v>
      </c>
      <c r="E52" s="678">
        <f t="shared" si="6"/>
        <v>59.661507868497978</v>
      </c>
      <c r="F52" s="678">
        <f t="shared" si="6"/>
        <v>39.140017376209869</v>
      </c>
      <c r="G52" s="678">
        <f t="shared" si="6"/>
        <v>0</v>
      </c>
      <c r="H52" s="678">
        <f t="shared" si="6"/>
        <v>20935.888967215698</v>
      </c>
      <c r="I52" s="678">
        <f t="shared" si="6"/>
        <v>4915.8364569229807</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25988.850096845756</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171.20173955220599</v>
      </c>
      <c r="D54" s="648">
        <f ca="1">+landbouw!C12</f>
        <v>0</v>
      </c>
      <c r="E54" s="648">
        <f>+landbouw!D12</f>
        <v>64.194542501922015</v>
      </c>
      <c r="F54" s="648">
        <f>+landbouw!E12</f>
        <v>6.0008142315663298</v>
      </c>
      <c r="G54" s="648">
        <f>+landbouw!F12</f>
        <v>760.90233531306865</v>
      </c>
      <c r="H54" s="648">
        <f>+landbouw!G12</f>
        <v>0</v>
      </c>
      <c r="I54" s="648">
        <f>+landbouw!H12</f>
        <v>0</v>
      </c>
      <c r="J54" s="648">
        <f>+landbouw!I12</f>
        <v>0</v>
      </c>
      <c r="K54" s="648">
        <f>+landbouw!J12</f>
        <v>80.048457720266228</v>
      </c>
      <c r="L54" s="648">
        <f>+landbouw!K12</f>
        <v>0</v>
      </c>
      <c r="M54" s="648">
        <f>+landbouw!L12</f>
        <v>0</v>
      </c>
      <c r="N54" s="648">
        <f>+landbouw!M12</f>
        <v>0</v>
      </c>
      <c r="O54" s="648">
        <f>+landbouw!N12</f>
        <v>0</v>
      </c>
      <c r="P54" s="648">
        <f>+landbouw!O12</f>
        <v>0</v>
      </c>
      <c r="Q54" s="649">
        <f>+landbouw!P12</f>
        <v>0</v>
      </c>
      <c r="R54" s="677">
        <f ca="1">SUM(C54:Q54)</f>
        <v>1082.3478893190293</v>
      </c>
    </row>
    <row r="55" spans="1:18" ht="15" thickBot="1">
      <c r="A55" s="778" t="s">
        <v>672</v>
      </c>
      <c r="B55" s="788"/>
      <c r="C55" s="648">
        <f ca="1">C25*'EF ele_warmte'!B12</f>
        <v>84.354337708657084</v>
      </c>
      <c r="D55" s="648"/>
      <c r="E55" s="648">
        <f>E25*EF_CO2_aardgas</f>
        <v>410.83462758000007</v>
      </c>
      <c r="F55" s="648"/>
      <c r="G55" s="648"/>
      <c r="H55" s="648"/>
      <c r="I55" s="648"/>
      <c r="J55" s="648"/>
      <c r="K55" s="648"/>
      <c r="L55" s="648"/>
      <c r="M55" s="648"/>
      <c r="N55" s="648"/>
      <c r="O55" s="648"/>
      <c r="P55" s="648"/>
      <c r="Q55" s="649"/>
      <c r="R55" s="677">
        <f ca="1">SUM(C55:Q55)</f>
        <v>495.18896528865719</v>
      </c>
    </row>
    <row r="56" spans="1:18" ht="15.75" thickBot="1">
      <c r="A56" s="776" t="s">
        <v>673</v>
      </c>
      <c r="B56" s="789"/>
      <c r="C56" s="678">
        <f ca="1">SUM(C54:C55)</f>
        <v>255.55607726086308</v>
      </c>
      <c r="D56" s="678">
        <f t="shared" ref="D56:Q56" ca="1" si="7">SUM(D54:D55)</f>
        <v>0</v>
      </c>
      <c r="E56" s="678">
        <f t="shared" si="7"/>
        <v>475.02917008192208</v>
      </c>
      <c r="F56" s="678">
        <f t="shared" si="7"/>
        <v>6.0008142315663298</v>
      </c>
      <c r="G56" s="678">
        <f t="shared" si="7"/>
        <v>760.90233531306865</v>
      </c>
      <c r="H56" s="678">
        <f t="shared" si="7"/>
        <v>0</v>
      </c>
      <c r="I56" s="678">
        <f t="shared" si="7"/>
        <v>0</v>
      </c>
      <c r="J56" s="678">
        <f t="shared" si="7"/>
        <v>0</v>
      </c>
      <c r="K56" s="678">
        <f t="shared" si="7"/>
        <v>80.048457720266228</v>
      </c>
      <c r="L56" s="678">
        <f t="shared" si="7"/>
        <v>0</v>
      </c>
      <c r="M56" s="678">
        <f t="shared" si="7"/>
        <v>0</v>
      </c>
      <c r="N56" s="678">
        <f t="shared" si="7"/>
        <v>0</v>
      </c>
      <c r="O56" s="678">
        <f t="shared" si="7"/>
        <v>0</v>
      </c>
      <c r="P56" s="678">
        <f t="shared" si="7"/>
        <v>0</v>
      </c>
      <c r="Q56" s="679">
        <f t="shared" si="7"/>
        <v>0</v>
      </c>
      <c r="R56" s="680">
        <f ca="1">SUM(R54:R55)</f>
        <v>1577.5368546076866</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6330.7086270075979</v>
      </c>
      <c r="D61" s="686">
        <f t="shared" ref="D61:Q61" ca="1" si="8">D46+D52+D56</f>
        <v>0</v>
      </c>
      <c r="E61" s="686">
        <f t="shared" ca="1" si="8"/>
        <v>6217.7011125499612</v>
      </c>
      <c r="F61" s="686">
        <f t="shared" si="8"/>
        <v>586.57756150705939</v>
      </c>
      <c r="G61" s="686">
        <f t="shared" ca="1" si="8"/>
        <v>11638.889776177168</v>
      </c>
      <c r="H61" s="686">
        <f t="shared" si="8"/>
        <v>20935.888967215698</v>
      </c>
      <c r="I61" s="686">
        <f t="shared" si="8"/>
        <v>4915.8364569229807</v>
      </c>
      <c r="J61" s="686">
        <f t="shared" si="8"/>
        <v>0</v>
      </c>
      <c r="K61" s="686">
        <f t="shared" si="8"/>
        <v>155.10408832783634</v>
      </c>
      <c r="L61" s="686">
        <f t="shared" si="8"/>
        <v>0</v>
      </c>
      <c r="M61" s="686">
        <f t="shared" ca="1" si="8"/>
        <v>0</v>
      </c>
      <c r="N61" s="686">
        <f t="shared" si="8"/>
        <v>0</v>
      </c>
      <c r="O61" s="686">
        <f t="shared" ca="1" si="8"/>
        <v>0</v>
      </c>
      <c r="P61" s="686">
        <f t="shared" si="8"/>
        <v>0</v>
      </c>
      <c r="Q61" s="686">
        <f t="shared" si="8"/>
        <v>0</v>
      </c>
      <c r="R61" s="686">
        <f ca="1">R46+R52+R56</f>
        <v>50780.706589708301</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0.19093826586958795</v>
      </c>
      <c r="D63" s="732">
        <f t="shared" ca="1" si="9"/>
        <v>0</v>
      </c>
      <c r="E63" s="921">
        <f t="shared" ca="1" si="9"/>
        <v>0.20200000000000004</v>
      </c>
      <c r="F63" s="732">
        <f t="shared" si="9"/>
        <v>0.22700000000000001</v>
      </c>
      <c r="G63" s="732">
        <f t="shared" ca="1" si="9"/>
        <v>0.26700000000000002</v>
      </c>
      <c r="H63" s="732">
        <f t="shared" si="9"/>
        <v>0.26700000000000002</v>
      </c>
      <c r="I63" s="732">
        <f t="shared" si="9"/>
        <v>0.249</v>
      </c>
      <c r="J63" s="732">
        <f t="shared" si="9"/>
        <v>0</v>
      </c>
      <c r="K63" s="732">
        <f t="shared" si="9"/>
        <v>0.35400000000000004</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4510.0474112002476</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4510.0474112002476</v>
      </c>
      <c r="C78" s="704">
        <f>SUM(C72:C77)</f>
        <v>0</v>
      </c>
      <c r="D78" s="705">
        <f t="shared" ref="D78:H78" si="10">SUM(D76:D77)</f>
        <v>0</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19240.982353469168</v>
      </c>
      <c r="C4" s="445">
        <f>huishoudens!C8</f>
        <v>0</v>
      </c>
      <c r="D4" s="445">
        <f>huishoudens!D8</f>
        <v>21122.344479726002</v>
      </c>
      <c r="E4" s="445">
        <f>huishoudens!E8</f>
        <v>2342.4087037813993</v>
      </c>
      <c r="F4" s="445">
        <f>huishoudens!F8</f>
        <v>38386.64876729354</v>
      </c>
      <c r="G4" s="445">
        <f>huishoudens!G8</f>
        <v>0</v>
      </c>
      <c r="H4" s="445">
        <f>huishoudens!H8</f>
        <v>0</v>
      </c>
      <c r="I4" s="445">
        <f>huishoudens!I8</f>
        <v>0</v>
      </c>
      <c r="J4" s="445">
        <f>huishoudens!J8</f>
        <v>211.8750625384624</v>
      </c>
      <c r="K4" s="445">
        <f>huishoudens!K8</f>
        <v>0</v>
      </c>
      <c r="L4" s="445">
        <f>huishoudens!L8</f>
        <v>0</v>
      </c>
      <c r="M4" s="445">
        <f>huishoudens!M8</f>
        <v>0</v>
      </c>
      <c r="N4" s="445">
        <f>huishoudens!N8</f>
        <v>7315.4381296543452</v>
      </c>
      <c r="O4" s="445">
        <f>huishoudens!O8</f>
        <v>259.8985267397012</v>
      </c>
      <c r="P4" s="446">
        <f>huishoudens!P8</f>
        <v>684.70735499952639</v>
      </c>
      <c r="Q4" s="447">
        <f>SUM(B4:P4)</f>
        <v>89564.303378202152</v>
      </c>
    </row>
    <row r="5" spans="1:17">
      <c r="A5" s="444" t="s">
        <v>149</v>
      </c>
      <c r="B5" s="445">
        <f ca="1">tertiair!B16</f>
        <v>10924.181503889038</v>
      </c>
      <c r="C5" s="445">
        <f ca="1">tertiair!C16</f>
        <v>0</v>
      </c>
      <c r="D5" s="445">
        <f ca="1">tertiair!D16</f>
        <v>6298.0673894250003</v>
      </c>
      <c r="E5" s="445">
        <f>tertiair!E16</f>
        <v>39.781257793094419</v>
      </c>
      <c r="F5" s="445">
        <f ca="1">tertiair!F16</f>
        <v>2035.2549539514202</v>
      </c>
      <c r="G5" s="445">
        <f>tertiair!G16</f>
        <v>0</v>
      </c>
      <c r="H5" s="445">
        <f>tertiair!H16</f>
        <v>0</v>
      </c>
      <c r="I5" s="445">
        <f>tertiair!I16</f>
        <v>0</v>
      </c>
      <c r="J5" s="445">
        <f>tertiair!J16</f>
        <v>1.2275081156111957E-2</v>
      </c>
      <c r="K5" s="445">
        <f>tertiair!K16</f>
        <v>0</v>
      </c>
      <c r="L5" s="445">
        <f ca="1">tertiair!L16</f>
        <v>0</v>
      </c>
      <c r="M5" s="445">
        <f>tertiair!M16</f>
        <v>0</v>
      </c>
      <c r="N5" s="445">
        <f ca="1">tertiair!N16</f>
        <v>431.21620896882081</v>
      </c>
      <c r="O5" s="445">
        <f>tertiair!O16</f>
        <v>4.8972607658411542</v>
      </c>
      <c r="P5" s="446">
        <f>tertiair!P16</f>
        <v>0</v>
      </c>
      <c r="Q5" s="444">
        <f t="shared" ref="Q5:Q14" ca="1" si="0">SUM(B5:P5)</f>
        <v>19733.41084987437</v>
      </c>
    </row>
    <row r="6" spans="1:17">
      <c r="A6" s="444" t="s">
        <v>187</v>
      </c>
      <c r="B6" s="445">
        <f>'openbare verlichting'!B8</f>
        <v>598.05100000000004</v>
      </c>
      <c r="C6" s="445"/>
      <c r="D6" s="445"/>
      <c r="E6" s="445"/>
      <c r="F6" s="445"/>
      <c r="G6" s="445"/>
      <c r="H6" s="445"/>
      <c r="I6" s="445"/>
      <c r="J6" s="445"/>
      <c r="K6" s="445"/>
      <c r="L6" s="445"/>
      <c r="M6" s="445"/>
      <c r="N6" s="445"/>
      <c r="O6" s="445"/>
      <c r="P6" s="446"/>
      <c r="Q6" s="444">
        <f t="shared" si="0"/>
        <v>598.05100000000004</v>
      </c>
    </row>
    <row r="7" spans="1:17">
      <c r="A7" s="444" t="s">
        <v>105</v>
      </c>
      <c r="B7" s="445">
        <f>landbouw!B8</f>
        <v>896.63399199999992</v>
      </c>
      <c r="C7" s="445">
        <f>landbouw!C8</f>
        <v>0</v>
      </c>
      <c r="D7" s="445">
        <f>landbouw!D8</f>
        <v>317.79476486100003</v>
      </c>
      <c r="E7" s="445">
        <f>landbouw!E8</f>
        <v>26.435304984873699</v>
      </c>
      <c r="F7" s="445">
        <f>landbouw!F8</f>
        <v>2849.8214805732905</v>
      </c>
      <c r="G7" s="445">
        <f>landbouw!G8</f>
        <v>0</v>
      </c>
      <c r="H7" s="445">
        <f>landbouw!H8</f>
        <v>0</v>
      </c>
      <c r="I7" s="445">
        <f>landbouw!I8</f>
        <v>0</v>
      </c>
      <c r="J7" s="445">
        <f>landbouw!J8</f>
        <v>226.1255867804131</v>
      </c>
      <c r="K7" s="445">
        <f>landbouw!K8</f>
        <v>0</v>
      </c>
      <c r="L7" s="445">
        <f>landbouw!L8</f>
        <v>0</v>
      </c>
      <c r="M7" s="445">
        <f>landbouw!M8</f>
        <v>0</v>
      </c>
      <c r="N7" s="445">
        <f>landbouw!N8</f>
        <v>0</v>
      </c>
      <c r="O7" s="445">
        <f>landbouw!O8</f>
        <v>0</v>
      </c>
      <c r="P7" s="446">
        <f>landbouw!P8</f>
        <v>0</v>
      </c>
      <c r="Q7" s="444">
        <f t="shared" si="0"/>
        <v>4316.8111291995774</v>
      </c>
    </row>
    <row r="8" spans="1:17">
      <c r="A8" s="444" t="s">
        <v>587</v>
      </c>
      <c r="B8" s="445">
        <f>industrie!B18</f>
        <v>853.4407920000001</v>
      </c>
      <c r="C8" s="445">
        <f>industrie!C18</f>
        <v>0</v>
      </c>
      <c r="D8" s="445">
        <f>industrie!D18</f>
        <v>713.303153619</v>
      </c>
      <c r="E8" s="445">
        <f>industrie!E18</f>
        <v>2.993870580938407</v>
      </c>
      <c r="F8" s="445">
        <f>industrie!F18</f>
        <v>319.62227450072464</v>
      </c>
      <c r="G8" s="445">
        <f>industrie!G18</f>
        <v>0</v>
      </c>
      <c r="H8" s="445">
        <f>industrie!H18</f>
        <v>0</v>
      </c>
      <c r="I8" s="445">
        <f>industrie!I18</f>
        <v>0</v>
      </c>
      <c r="J8" s="445">
        <f>industrie!J18</f>
        <v>0.13421776899758958</v>
      </c>
      <c r="K8" s="445">
        <f>industrie!K18</f>
        <v>0</v>
      </c>
      <c r="L8" s="445">
        <f>industrie!L18</f>
        <v>0</v>
      </c>
      <c r="M8" s="445">
        <f>industrie!M18</f>
        <v>0</v>
      </c>
      <c r="N8" s="445">
        <f>industrie!N18</f>
        <v>21.006817085889821</v>
      </c>
      <c r="O8" s="445">
        <f>industrie!O18</f>
        <v>0</v>
      </c>
      <c r="P8" s="446">
        <f>industrie!P18</f>
        <v>0</v>
      </c>
      <c r="Q8" s="444">
        <f t="shared" si="0"/>
        <v>1910.5011255555505</v>
      </c>
    </row>
    <row r="9" spans="1:17" s="450" customFormat="1">
      <c r="A9" s="448" t="s">
        <v>536</v>
      </c>
      <c r="B9" s="449">
        <f>transport!B14</f>
        <v>172.70102457058323</v>
      </c>
      <c r="C9" s="449">
        <f>transport!C14</f>
        <v>0</v>
      </c>
      <c r="D9" s="449">
        <f>transport!D14</f>
        <v>295.35399934899988</v>
      </c>
      <c r="E9" s="449">
        <f>transport!E14</f>
        <v>172.42298403616681</v>
      </c>
      <c r="F9" s="449">
        <f>transport!F14</f>
        <v>0</v>
      </c>
      <c r="G9" s="449">
        <f>transport!G14</f>
        <v>76412.365833022224</v>
      </c>
      <c r="H9" s="449">
        <f>transport!H14</f>
        <v>19742.315088044099</v>
      </c>
      <c r="I9" s="449">
        <f>transport!I14</f>
        <v>0</v>
      </c>
      <c r="J9" s="449">
        <f>transport!J14</f>
        <v>0</v>
      </c>
      <c r="K9" s="449">
        <f>transport!K14</f>
        <v>0</v>
      </c>
      <c r="L9" s="449">
        <f>transport!L14</f>
        <v>0</v>
      </c>
      <c r="M9" s="449">
        <f>transport!M14</f>
        <v>5674.5403680015606</v>
      </c>
      <c r="N9" s="449">
        <f>transport!N14</f>
        <v>0</v>
      </c>
      <c r="O9" s="449">
        <f>transport!O14</f>
        <v>0</v>
      </c>
      <c r="P9" s="449">
        <f>transport!P14</f>
        <v>0</v>
      </c>
      <c r="Q9" s="448">
        <f>SUM(B9:P9)</f>
        <v>102469.69929702363</v>
      </c>
    </row>
    <row r="10" spans="1:17">
      <c r="A10" s="444" t="s">
        <v>526</v>
      </c>
      <c r="B10" s="445">
        <f>transport!B54</f>
        <v>28.008598970998261</v>
      </c>
      <c r="C10" s="445">
        <f>transport!C54</f>
        <v>0</v>
      </c>
      <c r="D10" s="445">
        <f>transport!D54</f>
        <v>0</v>
      </c>
      <c r="E10" s="445">
        <f>transport!E54</f>
        <v>0</v>
      </c>
      <c r="F10" s="445">
        <f>transport!F54</f>
        <v>0</v>
      </c>
      <c r="G10" s="445">
        <f>transport!G54</f>
        <v>1999.203332579631</v>
      </c>
      <c r="H10" s="445">
        <f>transport!H54</f>
        <v>0</v>
      </c>
      <c r="I10" s="445">
        <f>transport!I54</f>
        <v>0</v>
      </c>
      <c r="J10" s="445">
        <f>transport!J54</f>
        <v>0</v>
      </c>
      <c r="K10" s="445">
        <f>transport!K54</f>
        <v>0</v>
      </c>
      <c r="L10" s="445">
        <f>transport!L54</f>
        <v>0</v>
      </c>
      <c r="M10" s="445">
        <f>transport!M54</f>
        <v>110.39319690764836</v>
      </c>
      <c r="N10" s="445">
        <f>transport!N54</f>
        <v>0</v>
      </c>
      <c r="O10" s="445">
        <f>transport!O54</f>
        <v>0</v>
      </c>
      <c r="P10" s="446">
        <f>transport!P54</f>
        <v>0</v>
      </c>
      <c r="Q10" s="444">
        <f t="shared" si="0"/>
        <v>2137.6051284582777</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441.78853999999995</v>
      </c>
      <c r="C14" s="452"/>
      <c r="D14" s="452">
        <f>'SEAP template'!E25</f>
        <v>2033.8347900000001</v>
      </c>
      <c r="E14" s="452"/>
      <c r="F14" s="452"/>
      <c r="G14" s="452"/>
      <c r="H14" s="452"/>
      <c r="I14" s="452"/>
      <c r="J14" s="452"/>
      <c r="K14" s="452"/>
      <c r="L14" s="452"/>
      <c r="M14" s="452"/>
      <c r="N14" s="452"/>
      <c r="O14" s="452"/>
      <c r="P14" s="453"/>
      <c r="Q14" s="444">
        <f t="shared" si="0"/>
        <v>2475.6233299999999</v>
      </c>
    </row>
    <row r="15" spans="1:17" s="456" customFormat="1">
      <c r="A15" s="454" t="s">
        <v>530</v>
      </c>
      <c r="B15" s="455">
        <f ca="1">SUM(B4:B14)</f>
        <v>33155.787804899788</v>
      </c>
      <c r="C15" s="455">
        <f t="shared" ref="C15:Q15" ca="1" si="1">SUM(C4:C14)</f>
        <v>0</v>
      </c>
      <c r="D15" s="455">
        <f t="shared" ca="1" si="1"/>
        <v>30780.698576980001</v>
      </c>
      <c r="E15" s="455">
        <f t="shared" si="1"/>
        <v>2584.0421211764728</v>
      </c>
      <c r="F15" s="455">
        <f t="shared" ca="1" si="1"/>
        <v>43591.347476318981</v>
      </c>
      <c r="G15" s="455">
        <f t="shared" si="1"/>
        <v>78411.569165601861</v>
      </c>
      <c r="H15" s="455">
        <f t="shared" si="1"/>
        <v>19742.315088044099</v>
      </c>
      <c r="I15" s="455">
        <f t="shared" si="1"/>
        <v>0</v>
      </c>
      <c r="J15" s="455">
        <f t="shared" si="1"/>
        <v>438.14714216902917</v>
      </c>
      <c r="K15" s="455">
        <f t="shared" si="1"/>
        <v>0</v>
      </c>
      <c r="L15" s="455">
        <f t="shared" ca="1" si="1"/>
        <v>0</v>
      </c>
      <c r="M15" s="455">
        <f t="shared" si="1"/>
        <v>5784.9335649092091</v>
      </c>
      <c r="N15" s="455">
        <f t="shared" ca="1" si="1"/>
        <v>7767.6611557090555</v>
      </c>
      <c r="O15" s="455">
        <f t="shared" si="1"/>
        <v>264.79578750554236</v>
      </c>
      <c r="P15" s="455">
        <f t="shared" si="1"/>
        <v>684.70735499952639</v>
      </c>
      <c r="Q15" s="455">
        <f t="shared" ca="1" si="1"/>
        <v>223206.00523831355</v>
      </c>
    </row>
    <row r="17" spans="1:17">
      <c r="A17" s="457" t="s">
        <v>531</v>
      </c>
      <c r="B17" s="737">
        <f ca="1">huishoudens!B10</f>
        <v>0.19093826586958795</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3673.8398041987462</v>
      </c>
      <c r="C22" s="445">
        <f t="shared" ref="C22:C32" ca="1" si="3">C4*$C$17</f>
        <v>0</v>
      </c>
      <c r="D22" s="445">
        <f t="shared" ref="D22:D32" si="4">D4*$D$17</f>
        <v>4266.7135849046526</v>
      </c>
      <c r="E22" s="445">
        <f t="shared" ref="E22:E32" si="5">E4*$E$17</f>
        <v>531.7267757583777</v>
      </c>
      <c r="F22" s="445">
        <f t="shared" ref="F22:F32" si="6">F4*$F$17</f>
        <v>10249.235220867376</v>
      </c>
      <c r="G22" s="445">
        <f t="shared" ref="G22:G32" si="7">G4*$G$17</f>
        <v>0</v>
      </c>
      <c r="H22" s="445">
        <f t="shared" ref="H22:H32" si="8">H4*$H$17</f>
        <v>0</v>
      </c>
      <c r="I22" s="445">
        <f t="shared" ref="I22:I32" si="9">I4*$I$17</f>
        <v>0</v>
      </c>
      <c r="J22" s="445">
        <f t="shared" ref="J22:J32" si="10">J4*$J$17</f>
        <v>75.003772138615687</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18796.519157867766</v>
      </c>
    </row>
    <row r="23" spans="1:17">
      <c r="A23" s="444" t="s">
        <v>149</v>
      </c>
      <c r="B23" s="445">
        <f t="shared" ca="1" si="2"/>
        <v>2085.8442723972003</v>
      </c>
      <c r="C23" s="445">
        <f t="shared" ca="1" si="3"/>
        <v>0</v>
      </c>
      <c r="D23" s="445">
        <f t="shared" ca="1" si="4"/>
        <v>1272.2096126638501</v>
      </c>
      <c r="E23" s="445">
        <f t="shared" si="5"/>
        <v>9.0303455190324335</v>
      </c>
      <c r="F23" s="445">
        <f t="shared" ca="1" si="6"/>
        <v>543.41307270502921</v>
      </c>
      <c r="G23" s="445">
        <f t="shared" si="7"/>
        <v>0</v>
      </c>
      <c r="H23" s="445">
        <f t="shared" si="8"/>
        <v>0</v>
      </c>
      <c r="I23" s="445">
        <f t="shared" si="9"/>
        <v>0</v>
      </c>
      <c r="J23" s="445">
        <f t="shared" si="10"/>
        <v>4.3453787292636326E-3</v>
      </c>
      <c r="K23" s="445">
        <f t="shared" si="11"/>
        <v>0</v>
      </c>
      <c r="L23" s="445">
        <f t="shared" ca="1" si="12"/>
        <v>0</v>
      </c>
      <c r="M23" s="445">
        <f t="shared" si="13"/>
        <v>0</v>
      </c>
      <c r="N23" s="445">
        <f t="shared" ca="1" si="14"/>
        <v>0</v>
      </c>
      <c r="O23" s="445">
        <f t="shared" si="15"/>
        <v>0</v>
      </c>
      <c r="P23" s="446">
        <f t="shared" si="16"/>
        <v>0</v>
      </c>
      <c r="Q23" s="444">
        <f t="shared" ref="Q23:Q31" ca="1" si="17">SUM(B23:P23)</f>
        <v>3910.501648663841</v>
      </c>
    </row>
    <row r="24" spans="1:17">
      <c r="A24" s="444" t="s">
        <v>187</v>
      </c>
      <c r="B24" s="445">
        <f t="shared" ca="1" si="2"/>
        <v>114.19082084157296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114.19082084157296</v>
      </c>
    </row>
    <row r="25" spans="1:17">
      <c r="A25" s="444" t="s">
        <v>105</v>
      </c>
      <c r="B25" s="445">
        <f t="shared" ca="1" si="2"/>
        <v>171.20173955220599</v>
      </c>
      <c r="C25" s="445">
        <f t="shared" ca="1" si="3"/>
        <v>0</v>
      </c>
      <c r="D25" s="445">
        <f t="shared" si="4"/>
        <v>64.194542501922015</v>
      </c>
      <c r="E25" s="445">
        <f t="shared" si="5"/>
        <v>6.0008142315663298</v>
      </c>
      <c r="F25" s="445">
        <f t="shared" si="6"/>
        <v>760.90233531306865</v>
      </c>
      <c r="G25" s="445">
        <f t="shared" si="7"/>
        <v>0</v>
      </c>
      <c r="H25" s="445">
        <f t="shared" si="8"/>
        <v>0</v>
      </c>
      <c r="I25" s="445">
        <f t="shared" si="9"/>
        <v>0</v>
      </c>
      <c r="J25" s="445">
        <f t="shared" si="10"/>
        <v>80.048457720266228</v>
      </c>
      <c r="K25" s="445">
        <f t="shared" si="11"/>
        <v>0</v>
      </c>
      <c r="L25" s="445">
        <f t="shared" si="12"/>
        <v>0</v>
      </c>
      <c r="M25" s="445">
        <f t="shared" si="13"/>
        <v>0</v>
      </c>
      <c r="N25" s="445">
        <f t="shared" si="14"/>
        <v>0</v>
      </c>
      <c r="O25" s="445">
        <f t="shared" si="15"/>
        <v>0</v>
      </c>
      <c r="P25" s="446">
        <f t="shared" si="16"/>
        <v>0</v>
      </c>
      <c r="Q25" s="444">
        <f t="shared" ca="1" si="17"/>
        <v>1082.3478893190293</v>
      </c>
    </row>
    <row r="26" spans="1:17">
      <c r="A26" s="444" t="s">
        <v>587</v>
      </c>
      <c r="B26" s="445">
        <f t="shared" ca="1" si="2"/>
        <v>162.95450484684773</v>
      </c>
      <c r="C26" s="445">
        <f t="shared" ca="1" si="3"/>
        <v>0</v>
      </c>
      <c r="D26" s="445">
        <f t="shared" si="4"/>
        <v>144.087237031038</v>
      </c>
      <c r="E26" s="445">
        <f t="shared" si="5"/>
        <v>0.6796086218730184</v>
      </c>
      <c r="F26" s="445">
        <f t="shared" si="6"/>
        <v>85.339147291693479</v>
      </c>
      <c r="G26" s="445">
        <f t="shared" si="7"/>
        <v>0</v>
      </c>
      <c r="H26" s="445">
        <f t="shared" si="8"/>
        <v>0</v>
      </c>
      <c r="I26" s="445">
        <f t="shared" si="9"/>
        <v>0</v>
      </c>
      <c r="J26" s="445">
        <f t="shared" si="10"/>
        <v>4.7513090225146708E-2</v>
      </c>
      <c r="K26" s="445">
        <f t="shared" si="11"/>
        <v>0</v>
      </c>
      <c r="L26" s="445">
        <f t="shared" si="12"/>
        <v>0</v>
      </c>
      <c r="M26" s="445">
        <f t="shared" si="13"/>
        <v>0</v>
      </c>
      <c r="N26" s="445">
        <f t="shared" si="14"/>
        <v>0</v>
      </c>
      <c r="O26" s="445">
        <f t="shared" si="15"/>
        <v>0</v>
      </c>
      <c r="P26" s="446">
        <f t="shared" si="16"/>
        <v>0</v>
      </c>
      <c r="Q26" s="444">
        <f t="shared" ca="1" si="17"/>
        <v>393.10801088167739</v>
      </c>
    </row>
    <row r="27" spans="1:17" s="450" customFormat="1">
      <c r="A27" s="448" t="s">
        <v>536</v>
      </c>
      <c r="B27" s="731">
        <f t="shared" ca="1" si="2"/>
        <v>32.975234145408265</v>
      </c>
      <c r="C27" s="449">
        <f t="shared" ca="1" si="3"/>
        <v>0</v>
      </c>
      <c r="D27" s="449">
        <f t="shared" si="4"/>
        <v>59.661507868497978</v>
      </c>
      <c r="E27" s="449">
        <f t="shared" si="5"/>
        <v>39.140017376209869</v>
      </c>
      <c r="F27" s="449">
        <f t="shared" si="6"/>
        <v>0</v>
      </c>
      <c r="G27" s="449">
        <f t="shared" si="7"/>
        <v>20402.101677416937</v>
      </c>
      <c r="H27" s="449">
        <f t="shared" si="8"/>
        <v>4915.8364569229807</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25449.714893730034</v>
      </c>
    </row>
    <row r="28" spans="1:17" ht="16.5" customHeight="1">
      <c r="A28" s="444" t="s">
        <v>526</v>
      </c>
      <c r="B28" s="445">
        <f t="shared" ca="1" si="2"/>
        <v>5.3479133169591337</v>
      </c>
      <c r="C28" s="445">
        <f t="shared" ca="1" si="3"/>
        <v>0</v>
      </c>
      <c r="D28" s="445">
        <f t="shared" si="4"/>
        <v>0</v>
      </c>
      <c r="E28" s="445">
        <f t="shared" si="5"/>
        <v>0</v>
      </c>
      <c r="F28" s="445">
        <f t="shared" si="6"/>
        <v>0</v>
      </c>
      <c r="G28" s="445">
        <f t="shared" si="7"/>
        <v>533.78728979876155</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539.13520311572063</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84.354337708657084</v>
      </c>
      <c r="C32" s="445">
        <f t="shared" ca="1" si="3"/>
        <v>0</v>
      </c>
      <c r="D32" s="445">
        <f t="shared" si="4"/>
        <v>410.83462758000007</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495.18896528865719</v>
      </c>
    </row>
    <row r="33" spans="1:17" s="456" customFormat="1">
      <c r="A33" s="454" t="s">
        <v>530</v>
      </c>
      <c r="B33" s="455">
        <f ca="1">SUM(B22:B32)</f>
        <v>6330.7086270075979</v>
      </c>
      <c r="C33" s="455">
        <f t="shared" ref="C33:Q33" ca="1" si="19">SUM(C22:C32)</f>
        <v>0</v>
      </c>
      <c r="D33" s="455">
        <f t="shared" ca="1" si="19"/>
        <v>6217.7011125499612</v>
      </c>
      <c r="E33" s="455">
        <f t="shared" si="19"/>
        <v>586.57756150705927</v>
      </c>
      <c r="F33" s="455">
        <f t="shared" ca="1" si="19"/>
        <v>11638.889776177168</v>
      </c>
      <c r="G33" s="455">
        <f t="shared" si="19"/>
        <v>20935.888967215698</v>
      </c>
      <c r="H33" s="455">
        <f t="shared" si="19"/>
        <v>4915.8364569229807</v>
      </c>
      <c r="I33" s="455">
        <f t="shared" si="19"/>
        <v>0</v>
      </c>
      <c r="J33" s="455">
        <f t="shared" si="19"/>
        <v>155.10408832783634</v>
      </c>
      <c r="K33" s="455">
        <f t="shared" si="19"/>
        <v>0</v>
      </c>
      <c r="L33" s="455">
        <f t="shared" ca="1" si="19"/>
        <v>0</v>
      </c>
      <c r="M33" s="455">
        <f t="shared" si="19"/>
        <v>0</v>
      </c>
      <c r="N33" s="455">
        <f t="shared" ca="1" si="19"/>
        <v>0</v>
      </c>
      <c r="O33" s="455">
        <f t="shared" si="19"/>
        <v>0</v>
      </c>
      <c r="P33" s="455">
        <f t="shared" si="19"/>
        <v>0</v>
      </c>
      <c r="Q33" s="455">
        <f t="shared" ca="1" si="19"/>
        <v>50780.706589708301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4510.0474112002476</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4510.0474112002476</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0.19093826586958795</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0.19093826586958795</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2022-07-26T09:48:21Z</dcterms:modified>
</cp:coreProperties>
</file>