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E873D9FC-5E56-4602-AAFF-091D901203D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<sst xmlns="http://schemas.openxmlformats.org/spreadsheetml/2006/main" count="2372" uniqueCount="861">
  <si>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</si>
  <si>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</si>
  <si>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</si>
  <si>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</si>
  <si>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</si>
  <si>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</si>
  <si>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</si>
  <si>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</si>
  <si>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</si>
  <si>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</si>
  <si>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</si>
  <si>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</si>
  <si>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</si>
  <si>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</si>
  <si>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</si>
  <si>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</si>
  <si>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</si>
  <si>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</si>
  <si>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</si>
  <si>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</si>
  <si>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</si>
  <si>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</si>
  <si>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</si>
  <si>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</si>
  <si>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</si>
  <si>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</si>
  <si>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</si>
  <si>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</si>
  <si>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</si>
  <si>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</si>
  <si>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</si>
  <si>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</si>
  <si>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</si>
  <si>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</si>
  <si>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</si>
  <si>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</si>
  <si>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</si>
  <si>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</si>
  <si>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</si>
  <si>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</si>
  <si>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</si>
  <si>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</si>
  <si>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</si>
  <si>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</si>
  <si>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</si>
  <si>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</si>
  <si>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</si>
  <si>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</si>
  <si>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</si>
  <si>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</si>
  <si>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</si>
  <si>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</si>
  <si>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</si>
  <si>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</si>
  <si>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</si>
  <si>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</si>
  <si>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</si>
  <si>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</si>
  <si>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</si>
  <si>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</si>
  <si>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</si>
  <si>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</si>
  <si>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</si>
  <si>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</si>
  <si>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</si>
  <si>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</si>
  <si>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</si>
  <si>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</si>
  <si>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</si>
  <si>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</si>
  <si>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</si>
  <si>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</si>
  <si>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</si>
  <si>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</si>
  <si>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</si>
  <si>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</si>
  <si>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</si>
  <si>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</si>
  <si>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</si>
  <si>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</si>
  <si>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</si>
  <si>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</si>
  <si>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</si>
  <si>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</si>
  <si>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</si>
  <si>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</si>
  <si>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</si>
  <si>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</si>
  <si>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</si>
  <si>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</si>
  <si>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</si>
  <si>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</si>
  <si>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</si>
  <si>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</si>
  <si>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</si>
  <si>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</si>
  <si>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</si>
  <si>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</si>
  <si>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</si>
  <si>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</si>
  <si>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</si>
  <si>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</si>
  <si>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</si>
  <si>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</si>
  <si>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</si>
  <si>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</si>
  <si>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</si>
  <si>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</si>
  <si>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</si>
  <si>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</si>
  <si>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</si>
  <si>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</si>
  <si>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</si>
  <si>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</si>
  <si>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</si>
  <si>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</si>
  <si>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</si>
  <si>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</si>
  <si>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</si>
  <si>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</si>
  <si>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</si>
  <si>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</si>
  <si>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</si>
  <si>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</si>
  <si>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</si>
  <si>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</si>
  <si>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</si>
  <si>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</si>
  <si>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</si>
  <si>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</si>
  <si>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</si>
  <si>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</si>
  <si>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</si>
  <si>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</si>
  <si>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</si>
  <si>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</si>
  <si>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</si>
  <si>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</si>
  <si>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</si>
  <si>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</si>
  <si>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</si>
  <si>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</si>
  <si>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</si>
  <si>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</si>
  <si>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</si>
  <si>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</si>
  <si>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</si>
  <si>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</si>
  <si>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</si>
  <si>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</si>
  <si>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</si>
  <si>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</si>
  <si>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</si>
  <si>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</si>
  <si>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</si>
  <si>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</si>
  <si>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</si>
  <si>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</si>
  <si>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</si>
  <si>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</si>
  <si>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</si>
  <si>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</si>
  <si>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</si>
  <si>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</si>
  <si>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</si>
  <si>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</si>
  <si>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</si>
  <si>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</si>
  <si>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</si>
  <si>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</si>
  <si>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</si>
  <si>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</si>
  <si>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</si>
  <si>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</si>
  <si>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</si>
  <si>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</si>
  <si>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</si>
  <si>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</si>
  <si>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</si>
  <si>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</si>
  <si>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</si>
  <si>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</si>
  <si>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</si>
  <si>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</si>
  <si>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</si>
  <si>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</si>
  <si>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</si>
  <si>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</si>
  <si>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</si>
  <si>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</si>
  <si>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</si>
  <si>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</si>
  <si>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</si>
  <si>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</si>
  <si>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</si>
  <si>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</si>
  <si>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</si>
  <si>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</si>
  <si>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</si>
  <si>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</si>
  <si>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</si>
  <si>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</si>
  <si>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</si>
  <si>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</si>
  <si>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</si>
  <si>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</si>
  <si>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</si>
  <si>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</si>
  <si>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</si>
  <si>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</si>
  <si>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</si>
  <si>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</si>
  <si>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</si>
  <si>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</si>
  <si>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</si>
  <si>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</si>
  <si>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</si>
  <si>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</si>
  <si>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</si>
  <si>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</si>
  <si>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</si>
  <si>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</si>
  <si>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</si>
  <si>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</si>
  <si>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</si>
  <si>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</si>
  <si>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</si>
  <si>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</si>
  <si>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</si>
  <si>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</si>
  <si>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</si>
  <si>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</si>
  <si>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</si>
  <si>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</si>
  <si>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</si>
  <si>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</si>
  <si>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</si>
  <si>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</si>
  <si>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</si>
  <si>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</si>
  <si>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</si>
  <si>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</si>
  <si>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</si>
  <si>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</si>
  <si>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</si>
  <si>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</si>
  <si>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</si>
  <si>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</si>
  <si>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</si>
  <si>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</si>
  <si>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</si>
  <si>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</si>
  <si>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</si>
  <si>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</si>
  <si>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</si>
  <si>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</si>
  <si>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</si>
  <si>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</si>
  <si>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</si>
  <si>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</si>
  <si>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</si>
  <si>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</si>
  <si>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</si>
  <si>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</si>
  <si>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</si>
  <si>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</si>
  <si>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</si>
  <si>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</si>
  <si>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</si>
  <si>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</si>
  <si>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</si>
  <si>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</si>
  <si>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</si>
  <si>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</si>
  <si>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</si>
  <si>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</si>
  <si>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</si>
  <si>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</si>
  <si>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</si>
  <si>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</si>
  <si>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</si>
  <si>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</si>
  <si>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</si>
  <si>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</si>
  <si>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</si>
  <si>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</si>
  <si>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</si>
  <si>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</si>
  <si>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</si>
  <si>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</si>
  <si>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</si>
  <si>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</si>
  <si>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</si>
  <si>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</si>
  <si>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</si>
  <si>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</si>
  <si>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</si>
  <si>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</si>
  <si>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</si>
  <si>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</si>
  <si>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</si>
  <si>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</si>
  <si>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</si>
  <si>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</si>
  <si>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</si>
  <si>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</si>
  <si>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</si>
  <si>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</si>
  <si>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</si>
  <si>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</si>
  <si>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</si>
  <si>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</si>
  <si>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</si>
  <si>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</si>
  <si>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</si>
  <si>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</si>
  <si>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</si>
  <si>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</si>
  <si>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</si>
  <si>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</si>
  <si>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</si>
  <si>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</si>
  <si>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</si>
  <si>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</si>
  <si>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</si>
  <si>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</si>
  <si>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</si>
  <si>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</si>
  <si>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</si>
  <si>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</si>
  <si>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</si>
  <si>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</si>
  <si>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</si>
  <si>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</si>
  <si>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</si>
  <si>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</si>
  <si>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</si>
  <si>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</si>
  <si>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</si>
  <si>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</si>
  <si>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</si>
  <si>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</si>
  <si>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</si>
  <si>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</si>
  <si>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</si>
  <si>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</si>
  <si>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</si>
  <si>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</si>
  <si>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</si>
  <si>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</si>
  <si>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</si>
  <si>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</si>
  <si>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</si>
  <si>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</si>
  <si>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</si>
  <si>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</si>
  <si>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</si>
  <si>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</si>
  <si>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</si>
  <si>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</si>
  <si>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</si>
  <si>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</si>
  <si>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</si>
  <si>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</si>
  <si>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</si>
  <si>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</si>
  <si>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</si>
  <si>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</si>
  <si>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</si>
  <si>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</si>
  <si>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</si>
  <si>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</si>
  <si>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</si>
  <si>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</si>
  <si>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</si>
  <si>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</si>
  <si>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</si>
  <si>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</si>
  <si>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</si>
  <si>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</si>
  <si>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</si>
  <si>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</si>
  <si>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</si>
  <si>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</si>
  <si>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</si>
  <si>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</si>
  <si>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</si>
  <si>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</si>
  <si>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</si>
  <si>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</si>
  <si>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</si>
  <si>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</si>
  <si>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</si>
  <si>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</si>
  <si>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</si>
  <si>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</si>
  <si>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</si>
  <si>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</si>
  <si>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</si>
  <si>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</si>
  <si>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</si>
  <si>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</si>
  <si>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</si>
  <si>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</si>
  <si>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</si>
  <si>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</si>
  <si>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</si>
  <si>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</si>
  <si>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</si>
  <si>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</si>
  <si>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</si>
  <si>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</si>
  <si>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</si>
  <si>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</si>
  <si>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</si>
  <si>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</si>
  <si>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</si>
  <si>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</si>
  <si>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</si>
  <si>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</si>
  <si>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</si>
  <si>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</si>
  <si>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</si>
  <si>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</si>
  <si>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</si>
  <si>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</si>
  <si>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</si>
  <si>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</si>
  <si>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</si>
  <si>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</si>
  <si>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</si>
  <si>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</si>
  <si>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</si>
  <si>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</si>
  <si>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</si>
  <si>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</si>
  <si>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</si>
  <si>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</si>
  <si>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</si>
  <si>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</si>
  <si>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</si>
  <si>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</si>
  <si>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</si>
  <si>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</si>
  <si>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</si>
  <si>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</si>
  <si>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</si>
  <si>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</si>
  <si>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</si>
  <si>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</si>
  <si>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</si>
  <si>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</si>
  <si>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</si>
  <si>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</si>
  <si>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</si>
  <si>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</si>
  <si>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</si>
  <si>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</si>
  <si>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</si>
  <si>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</si>
  <si>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</si>
  <si>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</si>
  <si>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</si>
  <si>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</si>
  <si>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</si>
  <si>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</si>
  <si>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</si>
  <si>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</si>
  <si>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</si>
  <si>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</si>
  <si>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</si>
  <si>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</si>
  <si>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</si>
  <si>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</si>
  <si>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</si>
  <si>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</si>
  <si>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</si>
  <si>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</si>
  <si>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</si>
  <si>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</si>
  <si>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</si>
  <si>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</si>
  <si>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</si>
  <si>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</si>
  <si>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</si>
  <si>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</si>
  <si>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</si>
  <si>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</si>
  <si>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</si>
  <si>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</si>
  <si>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</si>
  <si>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</si>
  <si>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</si>
  <si>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</si>
  <si>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</si>
  <si>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</si>
  <si>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</si>
  <si>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</si>
  <si>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</si>
  <si>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</si>
  <si>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</si>
  <si>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</si>
  <si>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</si>
  <si>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</si>
  <si>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</si>
  <si>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</si>
  <si>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</si>
  <si>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</si>
  <si>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</si>
  <si>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</si>
  <si>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</si>
  <si>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</si>
  <si>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</si>
  <si>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</si>
  <si>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</si>
  <si>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</si>
  <si>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</si>
  <si>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</si>
  <si>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</si>
  <si>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</si>
  <si>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</si>
  <si>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</si>
  <si>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</si>
  <si>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</si>
  <si>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</si>
  <si>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</si>
  <si>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</si>
  <si>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</si>
  <si>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</si>
  <si>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</si>
  <si>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</si>
  <si>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</si>
  <si>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</si>
  <si>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</si>
  <si>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</si>
  <si>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</si>
  <si>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</si>
  <si>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</si>
  <si>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</si>
  <si>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</si>
  <si>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</si>
  <si>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</si>
  <si>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</si>
  <si>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</si>
  <si>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</si>
  <si>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</si>
  <si>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</si>
  <si>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</si>
  <si>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</si>
  <si>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</si>
  <si>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</si>
  <si>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</si>
  <si>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</si>
  <si>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</si>
  <si>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</si>
  <si>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</si>
  <si>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</si>
  <si>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</si>
  <si>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</si>
  <si>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</si>
  <si>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</si>
  <si>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</si>
  <si>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</si>
  <si>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</si>
  <si>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</si>
  <si>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</si>
  <si>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</si>
  <si>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</si>
  <si>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</si>
  <si>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</si>
  <si>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</si>
  <si>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</si>
  <si>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</si>
  <si>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</si>
  <si>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</si>
  <si>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</si>
  <si>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</si>
  <si>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</si>
  <si>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</si>
  <si>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</si>
  <si>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</si>
  <si>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</si>
  <si>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</si>
  <si>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</si>
  <si>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</si>
  <si>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</si>
  <si>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</si>
  <si>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</si>
  <si>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</si>
  <si>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</si>
  <si>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</si>
  <si>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</si>
  <si>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</si>
  <si>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</si>
  <si>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</si>
  <si>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</si>
  <si>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</si>
  <si>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</si>
  <si>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</si>
  <si>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</si>
  <si>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</si>
  <si>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</si>
  <si>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</si>
  <si>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</si>
  <si>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</si>
  <si>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</si>
  <si>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</si>
  <si>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</si>
  <si>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</si>
  <si>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</si>
  <si>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</si>
  <si>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</si>
  <si>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</si>
  <si>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</si>
  <si>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</si>
  <si>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</si>
  <si>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</si>
  <si>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</si>
  <si>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</si>
  <si>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</si>
  <si>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</si>
  <si>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</si>
  <si>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</si>
  <si>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</si>
  <si>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</si>
  <si>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</si>
  <si>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</si>
  <si>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</si>
  <si>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</si>
  <si>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</si>
  <si>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</si>
  <si>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</si>
  <si>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</si>
  <si>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</si>
  <si>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</si>
  <si>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</si>
  <si>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</si>
  <si>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</si>
  <si>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</si>
  <si>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</si>
  <si>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</si>
  <si>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</si>
  <si>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</si>
  <si>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</si>
  <si>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</si>
  <si>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</si>
  <si>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</si>
  <si>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</si>
  <si>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</si>
  <si>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</si>
  <si>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</si>
  <si>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</si>
  <si>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</si>
  <si>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</si>
  <si>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</si>
  <si>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</si>
  <si>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</si>
  <si>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</si>
  <si>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</si>
  <si>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</si>
  <si>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</si>
  <si>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</si>
  <si>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</si>
  <si>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</si>
  <si>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</si>
  <si>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</si>
  <si>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</si>
  <si>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</si>
  <si>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</si>
  <si>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</si>
  <si>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</si>
  <si>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</si>
  <si>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</si>
  <si>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</si>
  <si>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</si>
  <si>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</si>
  <si>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</si>
  <si>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</si>
  <si>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</si>
  <si>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</si>
  <si>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</si>
  <si>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</si>
  <si>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</si>
  <si>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</si>
  <si>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</si>
  <si>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</si>
  <si>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</si>
  <si>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</si>
  <si>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</si>
  <si>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</si>
  <si>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</si>
  <si>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</si>
  <si>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</si>
  <si>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</si>
  <si>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</si>
  <si>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</si>
  <si>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</si>
  <si>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</si>
  <si>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</si>
  <si>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</si>
  <si>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</si>
  <si>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</si>
  <si>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</si>
  <si>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</si>
  <si>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</si>
  <si>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</si>
  <si>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</si>
  <si>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</si>
  <si>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</si>
  <si>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</si>
  <si>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</si>
  <si>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</si>
  <si>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</si>
  <si>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</si>
  <si>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</si>
  <si>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</si>
  <si>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</si>
  <si>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</si>
  <si>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</si>
  <si>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</si>
  <si>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</si>
  <si>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</si>
  <si>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</si>
  <si>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</si>
  <si>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</si>
  <si>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</si>
  <si>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</si>
  <si>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</si>
  <si>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</si>
  <si>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</si>
  <si>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</si>
  <si>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</si>
  <si>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</si>
  <si>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</si>
  <si>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</si>
  <si>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</si>
  <si>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</si>
  <si>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</si>
  <si>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</si>
  <si>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</si>
  <si>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</si>
  <si>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</si>
  <si>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</si>
  <si>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</si>
  <si>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</si>
  <si>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</si>
  <si>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</si>
  <si>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</si>
  <si>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</si>
  <si>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</si>
  <si>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</si>
  <si>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</si>
  <si>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</si>
  <si>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</si>
  <si>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</si>
  <si>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</si>
  <si>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</si>
  <si>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</si>
  <si>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</si>
  <si>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</si>
  <si>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</si>
  <si>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</si>
  <si>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</si>
  <si>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</si>
  <si>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</si>
  <si>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</si>
  <si>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</si>
  <si>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</si>
  <si>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</si>
  <si>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</si>
  <si>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</si>
  <si>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</si>
  <si>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</si>
  <si>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</si>
  <si>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</si>
  <si>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</si>
  <si>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</si>
  <si>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</si>
  <si>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</si>
  <si>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</si>
  <si>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</si>
  <si>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</si>
  <si>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</si>
  <si>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</si>
  <si>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</si>
  <si>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</si>
  <si>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</si>
  <si>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</si>
  <si>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</si>
  <si>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</si>
  <si>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</si>
  <si>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</si>
  <si>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</si>
  <si>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</si>
  <si>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</si>
  <si>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</si>
  <si>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</si>
  <si>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</si>
  <si>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</si>
  <si>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</si>
  <si>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</si>
  <si>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</si>
  <si>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</si>
  <si>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</si>
  <si>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</si>
  <si>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</si>
  <si>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</si>
  <si>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</si>
  <si>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</si>
  <si>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</si>
  <si>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</si>
  <si>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</si>
  <si>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</si>
  <si>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</si>
  <si>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</si>
  <si>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</si>
  <si>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</si>
  <si>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</si>
  <si>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</si>
  <si>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</si>
  <si>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</si>
  <si>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</si>
  <si>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</si>
  <si>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</si>
  <si>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</si>
  <si>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</si>
  <si>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</si>
  <si>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</si>
  <si>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</si>
  <si>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</si>
  <si>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</si>
  <si>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</si>
  <si>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</si>
  <si>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</si>
  <si>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</si>
  <si>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</si>
  <si>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</si>
  <si>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</si>
  <si>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</si>
  <si>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</si>
  <si>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</si>
  <si>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</si>
  <si>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</si>
  <si>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</si>
  <si>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</si>
  <si>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</si>
  <si>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</si>
  <si>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</si>
  <si>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</si>
  <si>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</si>
  <si>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</si>
  <si>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</si>
  <si>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</si>
  <si>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</si>
  <si>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</si>
  <si>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</si>
  <si>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</si>
  <si>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23100</t>
  </si>
  <si>
    <t>LINKEBEEK</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</si>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</sst>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D9ABD967-AA3B-4B80-B4A9-593A231A5A8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45377.76087174804</c:v>
                </c:pt>
                <c:pt idx="1">
                  <c:v>13583.548610436173</c:v>
                </c:pt>
                <c:pt idx="2">
                  <c:v>296.28199999999998</c:v>
                </c:pt>
                <c:pt idx="3">
                  <c:v>396.1910031826248</c:v>
                </c:pt>
                <c:pt idx="4">
                  <c:v>1206.389229339643</c:v>
                </c:pt>
                <c:pt idx="5">
                  <c:v>16776.653837723101</c:v>
                </c:pt>
                <c:pt idx="6">
                  <c:v>259.99818198738433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45377.76087174804</c:v>
                </c:pt>
                <c:pt idx="1">
                  <c:v>13583.548610436173</c:v>
                </c:pt>
                <c:pt idx="2">
                  <c:v>296.28199999999998</c:v>
                </c:pt>
                <c:pt idx="3">
                  <c:v>396.1910031826248</c:v>
                </c:pt>
                <c:pt idx="4">
                  <c:v>1206.389229339643</c:v>
                </c:pt>
                <c:pt idx="5">
                  <c:v>16776.653837723101</c:v>
                </c:pt>
                <c:pt idx="6">
                  <c:v>259.99818198738433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9196.5530697908835</c:v>
                </c:pt>
                <c:pt idx="1">
                  <c:v>2890.5534540830627</c:v>
                </c:pt>
                <c:pt idx="2">
                  <c:v>64.496629951708968</c:v>
                </c:pt>
                <c:pt idx="3">
                  <c:v>101.77791384886753</c:v>
                </c:pt>
                <c:pt idx="4">
                  <c:v>254.56801979959275</c:v>
                </c:pt>
                <c:pt idx="5">
                  <c:v>4142.8519871545468</c:v>
                </c:pt>
                <c:pt idx="6">
                  <c:v>65.66645883932398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9196.5530697908835</c:v>
                </c:pt>
                <c:pt idx="1">
                  <c:v>2890.5534540830627</c:v>
                </c:pt>
                <c:pt idx="2">
                  <c:v>64.496629951708968</c:v>
                </c:pt>
                <c:pt idx="3">
                  <c:v>101.77791384886753</c:v>
                </c:pt>
                <c:pt idx="4">
                  <c:v>254.56801979959275</c:v>
                </c:pt>
                <c:pt idx="5">
                  <c:v>4142.8519871545468</c:v>
                </c:pt>
                <c:pt idx="6">
                  <c:v>65.66645883932398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23100</v>
      </c>
      <c r="B6" s="382"/>
      <c r="C6" s="383"/>
    </row>
    <row r="7" spans="1:7" s="380" customFormat="1" ht="15.75" customHeight="1">
      <c r="A7" s="384" t="str">
        <f>txtMunicipality</f>
        <v>LINKEBEEK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0.21768662946688955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0.21768662946688955</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1962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145.88999999999999</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19</v>
      </c>
      <c r="C17" s="324"/>
      <c r="D17" s="324"/>
      <c r="E17" s="324"/>
      <c r="F17" s="324"/>
    </row>
    <row r="18" spans="1:6">
      <c r="A18" s="1264" t="s">
        <v>8</v>
      </c>
      <c r="B18" s="1265">
        <v>11</v>
      </c>
      <c r="C18" s="324"/>
      <c r="D18" s="324"/>
      <c r="E18" s="324"/>
      <c r="F18" s="324"/>
    </row>
    <row r="19" spans="1:6">
      <c r="A19" s="1264" t="s">
        <v>9</v>
      </c>
      <c r="B19" s="1265">
        <v>5</v>
      </c>
      <c r="C19" s="324"/>
      <c r="D19" s="324"/>
      <c r="E19" s="324"/>
      <c r="F19" s="324"/>
    </row>
    <row r="20" spans="1:6">
      <c r="A20" s="1264" t="s">
        <v>10</v>
      </c>
      <c r="B20" s="1265">
        <v>14</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0</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1566</v>
      </c>
      <c r="D39" s="1265">
        <v>32826371.598895501</v>
      </c>
      <c r="E39" s="1265">
        <v>1907</v>
      </c>
      <c r="F39" s="1265">
        <v>6698785.9634373495</v>
      </c>
    </row>
    <row r="40" spans="1:6">
      <c r="A40" s="1264" t="s">
        <v>29</v>
      </c>
      <c r="B40" s="1264" t="s">
        <v>28</v>
      </c>
      <c r="C40" s="1265">
        <v>0</v>
      </c>
      <c r="D40" s="1265">
        <v>0</v>
      </c>
      <c r="E40" s="1265">
        <v>0</v>
      </c>
      <c r="F40" s="1265">
        <v>0</v>
      </c>
    </row>
    <row r="41" spans="1:6">
      <c r="A41" s="1264" t="s">
        <v>31</v>
      </c>
      <c r="B41" s="1264" t="s">
        <v>32</v>
      </c>
      <c r="C41" s="1265">
        <v>6</v>
      </c>
      <c r="D41" s="1265">
        <v>252063.549208015</v>
      </c>
      <c r="E41" s="1265">
        <v>17</v>
      </c>
      <c r="F41" s="1265">
        <v>118909.547180729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4</v>
      </c>
      <c r="F44" s="1265">
        <v>58777.501467292699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5</v>
      </c>
      <c r="D48" s="1265">
        <v>548800.30115034303</v>
      </c>
      <c r="E48" s="1265">
        <v>5</v>
      </c>
      <c r="F48" s="1265">
        <v>176664.21463652799</v>
      </c>
    </row>
    <row r="49" spans="1:6">
      <c r="A49" s="1264" t="s">
        <v>31</v>
      </c>
      <c r="B49" s="1264" t="s">
        <v>39</v>
      </c>
      <c r="C49" s="1265">
        <v>0</v>
      </c>
      <c r="D49" s="1265">
        <v>0</v>
      </c>
      <c r="E49" s="1265">
        <v>0</v>
      </c>
      <c r="F49" s="1265">
        <v>0</v>
      </c>
    </row>
    <row r="50" spans="1:6">
      <c r="A50" s="1264" t="s">
        <v>31</v>
      </c>
      <c r="B50" s="1264" t="s">
        <v>40</v>
      </c>
      <c r="C50" s="1265">
        <v>0</v>
      </c>
      <c r="D50" s="1265">
        <v>0</v>
      </c>
      <c r="E50" s="1265">
        <v>0</v>
      </c>
      <c r="F50" s="1265">
        <v>0</v>
      </c>
    </row>
    <row r="51" spans="1:6">
      <c r="A51" s="1264" t="s">
        <v>41</v>
      </c>
      <c r="B51" s="1264" t="s">
        <v>42</v>
      </c>
      <c r="C51" s="1265">
        <v>0</v>
      </c>
      <c r="D51" s="1265">
        <v>0</v>
      </c>
      <c r="E51" s="1265">
        <v>4</v>
      </c>
      <c r="F51" s="1265">
        <v>83211.436711804607</v>
      </c>
    </row>
    <row r="52" spans="1:6">
      <c r="A52" s="1264" t="s">
        <v>41</v>
      </c>
      <c r="B52" s="1264" t="s">
        <v>28</v>
      </c>
      <c r="C52" s="1265">
        <v>1</v>
      </c>
      <c r="D52" s="1265">
        <v>27757.8365407452</v>
      </c>
      <c r="E52" s="1265">
        <v>0</v>
      </c>
      <c r="F52" s="1265">
        <v>0</v>
      </c>
    </row>
    <row r="53" spans="1:6">
      <c r="A53" s="1264" t="s">
        <v>43</v>
      </c>
      <c r="B53" s="1264" t="s">
        <v>44</v>
      </c>
      <c r="C53" s="1265">
        <v>48</v>
      </c>
      <c r="D53" s="1265">
        <v>1917724.01479841</v>
      </c>
      <c r="E53" s="1265">
        <v>71</v>
      </c>
      <c r="F53" s="1265">
        <v>301103.53161851002</v>
      </c>
    </row>
    <row r="54" spans="1:6">
      <c r="A54" s="1264" t="s">
        <v>45</v>
      </c>
      <c r="B54" s="1264" t="s">
        <v>46</v>
      </c>
      <c r="C54" s="1265">
        <v>0</v>
      </c>
      <c r="D54" s="1265">
        <v>0</v>
      </c>
      <c r="E54" s="1265">
        <v>1</v>
      </c>
      <c r="F54" s="1265">
        <v>296282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25</v>
      </c>
      <c r="D57" s="1265">
        <v>1442588.17515614</v>
      </c>
      <c r="E57" s="1265">
        <v>37</v>
      </c>
      <c r="F57" s="1265">
        <v>496132.838976292</v>
      </c>
    </row>
    <row r="58" spans="1:6">
      <c r="A58" s="1264" t="s">
        <v>48</v>
      </c>
      <c r="B58" s="1264" t="s">
        <v>50</v>
      </c>
      <c r="C58" s="1265">
        <v>14</v>
      </c>
      <c r="D58" s="1265">
        <v>775464.05324966402</v>
      </c>
      <c r="E58" s="1265">
        <v>16</v>
      </c>
      <c r="F58" s="1265">
        <v>195590.701335491</v>
      </c>
    </row>
    <row r="59" spans="1:6">
      <c r="A59" s="1264" t="s">
        <v>48</v>
      </c>
      <c r="B59" s="1264" t="s">
        <v>51</v>
      </c>
      <c r="C59" s="1265">
        <v>28</v>
      </c>
      <c r="D59" s="1265">
        <v>812402.98288463498</v>
      </c>
      <c r="E59" s="1265">
        <v>43</v>
      </c>
      <c r="F59" s="1265">
        <v>835304.47784212697</v>
      </c>
    </row>
    <row r="60" spans="1:6">
      <c r="A60" s="1264" t="s">
        <v>48</v>
      </c>
      <c r="B60" s="1264" t="s">
        <v>52</v>
      </c>
      <c r="C60" s="1265">
        <v>16</v>
      </c>
      <c r="D60" s="1265">
        <v>628115.11289557396</v>
      </c>
      <c r="E60" s="1265">
        <v>18</v>
      </c>
      <c r="F60" s="1265">
        <v>226343.92986086101</v>
      </c>
    </row>
    <row r="61" spans="1:6">
      <c r="A61" s="1264" t="s">
        <v>48</v>
      </c>
      <c r="B61" s="1264" t="s">
        <v>53</v>
      </c>
      <c r="C61" s="1265">
        <v>73</v>
      </c>
      <c r="D61" s="1265">
        <v>2075609.8990084999</v>
      </c>
      <c r="E61" s="1265">
        <v>104</v>
      </c>
      <c r="F61" s="1265">
        <v>5379862.6781024104</v>
      </c>
    </row>
    <row r="62" spans="1:6">
      <c r="A62" s="1264" t="s">
        <v>48</v>
      </c>
      <c r="B62" s="1264" t="s">
        <v>54</v>
      </c>
      <c r="C62" s="1265">
        <v>0</v>
      </c>
      <c r="D62" s="1265">
        <v>0</v>
      </c>
      <c r="E62" s="1265">
        <v>0</v>
      </c>
      <c r="F62" s="1265">
        <v>0</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3</v>
      </c>
      <c r="D65" s="1265">
        <v>111450.09835016</v>
      </c>
      <c r="E65" s="1265">
        <v>0</v>
      </c>
      <c r="F65" s="1265">
        <v>0</v>
      </c>
    </row>
    <row r="66" spans="1:6">
      <c r="A66" s="1264" t="s">
        <v>55</v>
      </c>
      <c r="B66" s="1264" t="s">
        <v>57</v>
      </c>
      <c r="C66" s="1265">
        <v>0</v>
      </c>
      <c r="D66" s="1265">
        <v>0</v>
      </c>
      <c r="E66" s="1265">
        <v>3</v>
      </c>
      <c r="F66" s="1265">
        <v>82838</v>
      </c>
    </row>
    <row r="67" spans="1:6">
      <c r="A67" s="1264" t="s">
        <v>55</v>
      </c>
      <c r="B67" s="1264" t="s">
        <v>58</v>
      </c>
      <c r="C67" s="1265">
        <v>0</v>
      </c>
      <c r="D67" s="1265">
        <v>0</v>
      </c>
      <c r="E67" s="1265">
        <v>0</v>
      </c>
      <c r="F67" s="1265">
        <v>0</v>
      </c>
    </row>
    <row r="68" spans="1:6">
      <c r="A68" s="1259" t="s">
        <v>55</v>
      </c>
      <c r="B68" s="1259" t="s">
        <v>59</v>
      </c>
      <c r="C68" s="1267">
        <v>0</v>
      </c>
      <c r="D68" s="1267">
        <v>0</v>
      </c>
      <c r="E68" s="1267">
        <v>3</v>
      </c>
      <c r="F68" s="1267">
        <v>31216.909636174802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0</v>
      </c>
      <c r="E73" s="443"/>
      <c r="F73" s="324"/>
    </row>
    <row r="74" spans="1:6">
      <c r="A74" s="1264" t="s">
        <v>63</v>
      </c>
      <c r="B74" s="1264" t="s">
        <v>608</v>
      </c>
      <c r="C74" s="1277" t="s">
        <v>610</v>
      </c>
      <c r="D74" s="1265">
        <v>0</v>
      </c>
      <c r="E74" s="443"/>
      <c r="F74" s="324"/>
    </row>
    <row r="75" spans="1:6">
      <c r="A75" s="1264" t="s">
        <v>64</v>
      </c>
      <c r="B75" s="1264" t="s">
        <v>607</v>
      </c>
      <c r="C75" s="1277" t="s">
        <v>611</v>
      </c>
      <c r="D75" s="1265">
        <v>16219757</v>
      </c>
      <c r="E75" s="443"/>
      <c r="F75" s="324"/>
    </row>
    <row r="76" spans="1:6">
      <c r="A76" s="1264" t="s">
        <v>64</v>
      </c>
      <c r="B76" s="1264" t="s">
        <v>608</v>
      </c>
      <c r="C76" s="1277" t="s">
        <v>612</v>
      </c>
      <c r="D76" s="1265">
        <v>414096.38947308622</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72007.221053827496</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196.40649105612914</v>
      </c>
      <c r="C91" s="324"/>
      <c r="D91" s="324"/>
      <c r="E91" s="324"/>
      <c r="F91" s="324"/>
    </row>
    <row r="92" spans="1:6">
      <c r="A92" s="1259" t="s">
        <v>68</v>
      </c>
      <c r="B92" s="1260">
        <v>29.931144595489471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1194</v>
      </c>
      <c r="C97" s="324"/>
      <c r="D97" s="324"/>
      <c r="E97" s="324"/>
      <c r="F97" s="324"/>
    </row>
    <row r="98" spans="1:6">
      <c r="A98" s="1264" t="s">
        <v>71</v>
      </c>
      <c r="B98" s="1265">
        <v>0</v>
      </c>
      <c r="C98" s="324"/>
      <c r="D98" s="324"/>
      <c r="E98" s="324"/>
      <c r="F98" s="324"/>
    </row>
    <row r="99" spans="1:6">
      <c r="A99" s="1264" t="s">
        <v>72</v>
      </c>
      <c r="B99" s="1265">
        <v>9</v>
      </c>
      <c r="C99" s="324"/>
      <c r="D99" s="324"/>
      <c r="E99" s="324"/>
      <c r="F99" s="324"/>
    </row>
    <row r="100" spans="1:6">
      <c r="A100" s="1264" t="s">
        <v>73</v>
      </c>
      <c r="B100" s="1265">
        <v>91</v>
      </c>
      <c r="C100" s="324"/>
      <c r="D100" s="324"/>
      <c r="E100" s="324"/>
      <c r="F100" s="324"/>
    </row>
    <row r="101" spans="1:6">
      <c r="A101" s="1264" t="s">
        <v>74</v>
      </c>
      <c r="B101" s="1265">
        <v>14</v>
      </c>
      <c r="C101" s="324"/>
      <c r="D101" s="324"/>
      <c r="E101" s="324"/>
      <c r="F101" s="324"/>
    </row>
    <row r="102" spans="1:6">
      <c r="A102" s="1264" t="s">
        <v>75</v>
      </c>
      <c r="B102" s="1265">
        <v>42</v>
      </c>
      <c r="C102" s="324"/>
      <c r="D102" s="324"/>
      <c r="E102" s="324"/>
      <c r="F102" s="324"/>
    </row>
    <row r="103" spans="1:6">
      <c r="A103" s="1264" t="s">
        <v>76</v>
      </c>
      <c r="B103" s="1265">
        <v>15</v>
      </c>
      <c r="C103" s="324"/>
      <c r="D103" s="324"/>
      <c r="E103" s="324"/>
      <c r="F103" s="324"/>
    </row>
    <row r="104" spans="1:6">
      <c r="A104" s="1264" t="s">
        <v>77</v>
      </c>
      <c r="B104" s="1265">
        <v>480</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v>
      </c>
      <c r="C123" s="1265">
        <v>1</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17</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15096.596344765143</v>
      </c>
      <c r="C3" s="43" t="s">
        <v>163</v>
      </c>
      <c r="D3" s="43"/>
      <c r="E3" s="153"/>
      <c r="F3" s="43"/>
      <c r="G3" s="43"/>
      <c r="H3" s="43"/>
      <c r="I3" s="43"/>
      <c r="J3" s="43"/>
      <c r="K3" s="96"/>
    </row>
    <row r="4" spans="1:11">
      <c r="A4" s="350" t="s">
        <v>164</v>
      </c>
      <c r="B4" s="49">
        <f>IF(ISERROR('SEAP template'!B78+'SEAP template'!C78),0,'SEAP template'!B78+'SEAP template'!C78)</f>
        <v>226.3376356516186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0.21768662946688955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296.28199999999998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296.28199999999998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0.21768662946688955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64.496629951708968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6698.7859634373499</v>
      </c>
      <c r="C5" s="17">
        <f>IF(ISERROR('Eigen informatie GS &amp; warmtenet'!B59),0,'Eigen informatie GS &amp; warmtenet'!B59)</f>
        <v>0</v>
      </c>
      <c r="D5" s="30">
        <f>(SUM(HH_hh_gas_kWh,HH_rest_gas_kWh)/1000)*0.903</f>
        <v>29642.213553802638</v>
      </c>
      <c r="E5" s="17">
        <f>B32*B41</f>
        <v>368.50216869742252</v>
      </c>
      <c r="F5" s="17">
        <f>B36*B45</f>
        <v>6038.8963279287827</v>
      </c>
      <c r="G5" s="18"/>
      <c r="H5" s="17"/>
      <c r="I5" s="17"/>
      <c r="J5" s="17">
        <f>B35*B44+C35*C44</f>
        <v>33.331681150383801</v>
      </c>
      <c r="K5" s="17"/>
      <c r="L5" s="17"/>
      <c r="M5" s="17"/>
      <c r="N5" s="17">
        <f>B34*B43+C34*C43</f>
        <v>2332.3115598033119</v>
      </c>
      <c r="O5" s="17">
        <f>B52*B53*B54</f>
        <v>35.711247948966573</v>
      </c>
      <c r="P5" s="17">
        <f>B60*B61*B62/1000-B60*B61*B62/1000/B63</f>
        <v>31.601877923055071</v>
      </c>
    </row>
    <row r="6" spans="1:16">
      <c r="A6" s="16" t="s">
        <v>573</v>
      </c>
      <c r="B6" s="739">
        <f>kWh_PV_kleiner_dan_10kW</f>
        <v>196.40649105612914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6895.1924544934791</v>
      </c>
      <c r="C8" s="21">
        <f>C5</f>
        <v>0</v>
      </c>
      <c r="D8" s="21">
        <f>D5</f>
        <v>29642.213553802638</v>
      </c>
      <c r="E8" s="21">
        <f>E5</f>
        <v>368.50216869742252</v>
      </c>
      <c r="F8" s="21">
        <f>F5</f>
        <v>6038.8963279287827</v>
      </c>
      <c r="G8" s="21"/>
      <c r="H8" s="21"/>
      <c r="I8" s="21"/>
      <c r="J8" s="21">
        <f>J5</f>
        <v>33.331681150383801</v>
      </c>
      <c r="K8" s="21"/>
      <c r="L8" s="21">
        <f>L5</f>
        <v>0</v>
      </c>
      <c r="M8" s="21">
        <f>M5</f>
        <v>0</v>
      </c>
      <c r="N8" s="21">
        <f>N5</f>
        <v>2332.3115598033119</v>
      </c>
      <c r="O8" s="21">
        <f>O5</f>
        <v>35.711247948966573</v>
      </c>
      <c r="P8" s="21">
        <f>P5</f>
        <v>31.601877923055071</v>
      </c>
    </row>
    <row r="9" spans="1:16">
      <c r="B9" s="19"/>
      <c r="C9" s="19"/>
      <c r="D9" s="253"/>
      <c r="E9" s="19"/>
      <c r="F9" s="19"/>
      <c r="G9" s="19"/>
      <c r="H9" s="19"/>
      <c r="I9" s="19"/>
      <c r="J9" s="19"/>
      <c r="K9" s="19"/>
      <c r="L9" s="19"/>
      <c r="M9" s="19"/>
      <c r="N9" s="19"/>
      <c r="O9" s="19"/>
      <c r="P9" s="19"/>
    </row>
    <row r="10" spans="1:16">
      <c r="A10" s="24" t="s">
        <v>207</v>
      </c>
      <c r="B10" s="25">
        <f ca="1">'EF ele_warmte'!B12</f>
        <v>0.21768662946688955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1500.9912049442146</v>
      </c>
      <c r="C12" s="23">
        <f ca="1">C10*C8</f>
        <v>0</v>
      </c>
      <c r="D12" s="23">
        <f>D8*D10</f>
        <v>5987.7271378681335</v>
      </c>
      <c r="E12" s="23">
        <f>E10*E8</f>
        <v>83.649992294314913</v>
      </c>
      <c r="F12" s="23">
        <f>F10*F8</f>
        <v>1612.385319556985</v>
      </c>
      <c r="G12" s="23"/>
      <c r="H12" s="23"/>
      <c r="I12" s="23"/>
      <c r="J12" s="23">
        <f>J10*J8</f>
        <v>11.799415127235864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1962</v>
      </c>
      <c r="C26" s="36"/>
      <c r="D26" s="224"/>
    </row>
    <row r="27" spans="1:5" s="15" customFormat="1">
      <c r="A27" s="226" t="s">
        <v>784</v>
      </c>
      <c r="B27" s="37">
        <f>SUM(HH_hh_gas_aantal,HH_rest_gas_aantal)</f>
        <v>1566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1487.7</v>
      </c>
      <c r="C31" s="34" t="s">
        <v>104</v>
      </c>
      <c r="D31" s="170"/>
    </row>
    <row r="32" spans="1:5">
      <c r="A32" s="167" t="s">
        <v>72</v>
      </c>
      <c r="B32" s="33">
        <f>IF((B21*($B$26-($B$27-0.05*$B$27)-$B$60))&lt;0,0,B21*($B$26-($B$27-0.05*$B$27)-$B$60))</f>
        <v>7.2697846781231767</v>
      </c>
      <c r="C32" s="34" t="s">
        <v>104</v>
      </c>
      <c r="D32" s="170"/>
    </row>
    <row r="33" spans="1:6">
      <c r="A33" s="167" t="s">
        <v>73</v>
      </c>
      <c r="B33" s="33">
        <f>IF((B22*($B$26-($B$27-0.05*$B$27)-$B$60))&lt;0,0,B22*($B$26-($B$27-0.05*$B$27)-$B$60))</f>
        <v>118.04690520613491</v>
      </c>
      <c r="C33" s="34" t="s">
        <v>104</v>
      </c>
      <c r="D33" s="170"/>
    </row>
    <row r="34" spans="1:6">
      <c r="A34" s="167" t="s">
        <v>74</v>
      </c>
      <c r="B34" s="33">
        <f>IF((B24*($B$26-($B$27-0.05*$B$27)-$B$60))&lt;0,0,B24*($B$26-($B$27-0.05*$B$27)-$B$60))</f>
        <v>51.617103775362601</v>
      </c>
      <c r="C34" s="33">
        <f>B26*C24</f>
        <v>329.61586621629829</v>
      </c>
      <c r="D34" s="229"/>
    </row>
    <row r="35" spans="1:6">
      <c r="A35" s="167" t="s">
        <v>76</v>
      </c>
      <c r="B35" s="33">
        <f>IF((B19*($B$26-($B$27-0.05*$B$27)-$B$60))&lt;0,0,B19*($B$26-($B$27-0.05*$B$27)-$B$60))</f>
        <v>3.1601580679390815</v>
      </c>
      <c r="C35" s="33">
        <f>B35/2</f>
        <v>1.5800790339695407</v>
      </c>
      <c r="D35" s="229"/>
    </row>
    <row r="36" spans="1:6">
      <c r="A36" s="167" t="s">
        <v>77</v>
      </c>
      <c r="B36" s="33">
        <f>IF((B18*($B$26-($B$27-0.05*$B$27)-$B$60))&lt;0,0,B18*($B$26-($B$27-0.05*$B$27)-$B$60))</f>
        <v>291.20604827244006</v>
      </c>
      <c r="C36" s="34" t="s">
        <v>104</v>
      </c>
      <c r="D36" s="170"/>
    </row>
    <row r="37" spans="1:6">
      <c r="A37" s="167" t="s">
        <v>78</v>
      </c>
      <c r="B37" s="33">
        <f>B60</f>
        <v>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7133.2346261171815</v>
      </c>
      <c r="C5" s="17">
        <f>IF(ISERROR('Eigen informatie GS &amp; warmtenet'!B60),0,'Eigen informatie GS &amp; warmtenet'!B60)</f>
        <v>0</v>
      </c>
      <c r="D5" s="30">
        <f>SUM(D6:D12)</f>
        <v>5177.9647415446452</v>
      </c>
      <c r="E5" s="17">
        <f>SUM(E6:E12)</f>
        <v>11.381487316925343</v>
      </c>
      <c r="F5" s="17">
        <f>SUM(F6:F12)</f>
        <v>1083.181427766805</v>
      </c>
      <c r="G5" s="18"/>
      <c r="H5" s="17"/>
      <c r="I5" s="17"/>
      <c r="J5" s="17">
        <f>SUM(J6:J12)</f>
        <v>4.8997186669592846E-3</v>
      </c>
      <c r="K5" s="17"/>
      <c r="L5" s="17"/>
      <c r="M5" s="17"/>
      <c r="N5" s="17">
        <f>SUM(N6:N12)</f>
        <v>172.8841672061084</v>
      </c>
      <c r="O5" s="17">
        <f>B38*B39*B40</f>
        <v>4.8972607658411542</v>
      </c>
      <c r="P5" s="17">
        <f>B46*B47*B48/1000-B46*B47*B48/1000/B49</f>
        <v>0</v>
      </c>
      <c r="R5" s="32"/>
    </row>
    <row r="6" spans="1:18">
      <c r="A6" s="32" t="s">
        <v>53</v>
      </c>
      <c r="B6" s="37">
        <f>B26</f>
        <v>5379.8626781024104</v>
      </c>
      <c r="C6" s="33"/>
      <c r="D6" s="37">
        <f>IF(ISERROR(TER_kantoor_gas_kWh/1000),0,TER_kantoor_gas_kWh/1000)*0.903</f>
        <v>1874.2757388046753</v>
      </c>
      <c r="E6" s="33">
        <f>$C$26*'E Balans VL '!I12/100/3.6*1000000</f>
        <v>1.308420679533097</v>
      </c>
      <c r="F6" s="33">
        <f>$C$26*('E Balans VL '!L12+'E Balans VL '!N12)/100/3.6*1000000</f>
        <v>515.15591745796917</v>
      </c>
      <c r="G6" s="34"/>
      <c r="H6" s="33"/>
      <c r="I6" s="33"/>
      <c r="J6" s="33">
        <f>$C$26*('E Balans VL '!D12+'E Balans VL '!E12)/100/3.6*1000000</f>
        <v>0</v>
      </c>
      <c r="K6" s="33"/>
      <c r="L6" s="33"/>
      <c r="M6" s="33"/>
      <c r="N6" s="33">
        <f>$C$26*'E Balans VL '!Y12/100/3.6*1000000</f>
        <v>2.7312164854460033</v>
      </c>
      <c r="O6" s="33"/>
      <c r="P6" s="33"/>
      <c r="R6" s="32"/>
    </row>
    <row r="7" spans="1:18">
      <c r="A7" s="32" t="s">
        <v>52</v>
      </c>
      <c r="B7" s="37">
        <f t="shared" ref="B7:B12" si="0">B27</f>
        <v>226.34392986086101</v>
      </c>
      <c r="C7" s="33"/>
      <c r="D7" s="37">
        <f>IF(ISERROR(TER_horeca_gas_kWh/1000),0,TER_horeca_gas_kWh/1000)*0.903</f>
        <v>567.1879469447033</v>
      </c>
      <c r="E7" s="33">
        <f>$C$27*'E Balans VL '!I9/100/3.6*1000000</f>
        <v>0</v>
      </c>
      <c r="F7" s="33">
        <f>$C$27*('E Balans VL '!L9+'E Balans VL '!N9)/100/3.6*1000000</f>
        <v>18.564522938437076</v>
      </c>
      <c r="G7" s="34"/>
      <c r="H7" s="33"/>
      <c r="I7" s="33"/>
      <c r="J7" s="33">
        <f>$C$27*('E Balans VL '!D9+'E Balans VL '!E9)/100/3.6*1000000</f>
        <v>0</v>
      </c>
      <c r="K7" s="33"/>
      <c r="L7" s="33"/>
      <c r="M7" s="33"/>
      <c r="N7" s="33">
        <f>$C$27*'E Balans VL '!Y9/100/3.6*1000000</f>
        <v>1.486582082105474</v>
      </c>
      <c r="O7" s="33"/>
      <c r="P7" s="33"/>
      <c r="R7" s="32"/>
    </row>
    <row r="8" spans="1:18">
      <c r="A8" s="6" t="s">
        <v>51</v>
      </c>
      <c r="B8" s="37">
        <f t="shared" si="0"/>
        <v>835.30447784212697</v>
      </c>
      <c r="C8" s="33"/>
      <c r="D8" s="37">
        <f>IF(ISERROR(TER_handel_gas_kWh/1000),0,TER_handel_gas_kWh/1000)*0.903</f>
        <v>733.59989354482536</v>
      </c>
      <c r="E8" s="33">
        <f>$C$28*'E Balans VL '!I13/100/3.6*1000000</f>
        <v>2.9528446023590855</v>
      </c>
      <c r="F8" s="33">
        <f>$C$28*('E Balans VL '!L13+'E Balans VL '!N13)/100/3.6*1000000</f>
        <v>76.913673956156899</v>
      </c>
      <c r="G8" s="34"/>
      <c r="H8" s="33"/>
      <c r="I8" s="33"/>
      <c r="J8" s="33">
        <f>$C$28*('E Balans VL '!D13+'E Balans VL '!E13)/100/3.6*1000000</f>
        <v>0</v>
      </c>
      <c r="K8" s="33"/>
      <c r="L8" s="33"/>
      <c r="M8" s="33"/>
      <c r="N8" s="33">
        <f>$C$28*'E Balans VL '!Y13/100/3.6*1000000</f>
        <v>0.30251132067081227</v>
      </c>
      <c r="O8" s="33"/>
      <c r="P8" s="33"/>
      <c r="R8" s="32"/>
    </row>
    <row r="9" spans="1:18">
      <c r="A9" s="32" t="s">
        <v>50</v>
      </c>
      <c r="B9" s="37">
        <f t="shared" si="0"/>
        <v>195.59070133549099</v>
      </c>
      <c r="C9" s="33"/>
      <c r="D9" s="37">
        <f>IF(ISERROR(TER_gezond_gas_kWh/1000),0,TER_gezond_gas_kWh/1000)*0.903</f>
        <v>700.24404008444662</v>
      </c>
      <c r="E9" s="33">
        <f>$C$29*'E Balans VL '!I10/100/3.6*1000000</f>
        <v>0</v>
      </c>
      <c r="F9" s="33">
        <f>$C$29*('E Balans VL '!L10+'E Balans VL '!N10)/100/3.6*1000000</f>
        <v>24.027519132554726</v>
      </c>
      <c r="G9" s="34"/>
      <c r="H9" s="33"/>
      <c r="I9" s="33"/>
      <c r="J9" s="33">
        <f>$C$29*('E Balans VL '!D10+'E Balans VL '!E10)/100/3.6*1000000</f>
        <v>0</v>
      </c>
      <c r="K9" s="33"/>
      <c r="L9" s="33"/>
      <c r="M9" s="33"/>
      <c r="N9" s="33">
        <f>$C$29*'E Balans VL '!Y10/100/3.6*1000000</f>
        <v>1.4423451240232752</v>
      </c>
      <c r="O9" s="33"/>
      <c r="P9" s="33"/>
      <c r="R9" s="32"/>
    </row>
    <row r="10" spans="1:18">
      <c r="A10" s="32" t="s">
        <v>49</v>
      </c>
      <c r="B10" s="37">
        <f t="shared" si="0"/>
        <v>496.13283897629202</v>
      </c>
      <c r="C10" s="33"/>
      <c r="D10" s="37">
        <f>IF(ISERROR(TER_ander_gas_kWh/1000),0,TER_ander_gas_kWh/1000)*0.903</f>
        <v>1302.6571221659945</v>
      </c>
      <c r="E10" s="33">
        <f>$C$30*'E Balans VL '!I14/100/3.6*1000000</f>
        <v>7.1202220350331604</v>
      </c>
      <c r="F10" s="33">
        <f>$C$30*('E Balans VL '!L14+'E Balans VL '!N14)/100/3.6*1000000</f>
        <v>448.5197942816871</v>
      </c>
      <c r="G10" s="34"/>
      <c r="H10" s="33"/>
      <c r="I10" s="33"/>
      <c r="J10" s="33">
        <f>$C$30*('E Balans VL '!D14+'E Balans VL '!E14)/100/3.6*1000000</f>
        <v>4.8997186669592846E-3</v>
      </c>
      <c r="K10" s="33"/>
      <c r="L10" s="33"/>
      <c r="M10" s="33"/>
      <c r="N10" s="33">
        <f>$C$30*'E Balans VL '!Y14/100/3.6*1000000</f>
        <v>166.92151219386284</v>
      </c>
      <c r="O10" s="33"/>
      <c r="P10" s="33"/>
      <c r="R10" s="32"/>
    </row>
    <row r="11" spans="1:18">
      <c r="A11" s="32" t="s">
        <v>54</v>
      </c>
      <c r="B11" s="37">
        <f t="shared" si="0"/>
        <v>0</v>
      </c>
      <c r="C11" s="33"/>
      <c r="D11" s="37">
        <f>IF(ISERROR(TER_onderwijs_gas_kWh/1000),0,TER_onderwijs_gas_kWh/1000)*0.903</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7133.2346261171815</v>
      </c>
      <c r="C16" s="21">
        <f t="shared" ca="1" si="1"/>
        <v>0</v>
      </c>
      <c r="D16" s="21">
        <f t="shared" ca="1" si="1"/>
        <v>5177.9647415446452</v>
      </c>
      <c r="E16" s="21">
        <f t="shared" si="1"/>
        <v>11.381487316925343</v>
      </c>
      <c r="F16" s="21">
        <f t="shared" ca="1" si="1"/>
        <v>1083.181427766805</v>
      </c>
      <c r="G16" s="21">
        <f t="shared" si="1"/>
        <v>0</v>
      </c>
      <c r="H16" s="21">
        <f t="shared" si="1"/>
        <v>0</v>
      </c>
      <c r="I16" s="21">
        <f t="shared" si="1"/>
        <v>0</v>
      </c>
      <c r="J16" s="21">
        <f t="shared" si="1"/>
        <v>4.8997186669592846E-3</v>
      </c>
      <c r="K16" s="21">
        <f t="shared" si="1"/>
        <v>0</v>
      </c>
      <c r="L16" s="21">
        <f t="shared" ca="1" si="1"/>
        <v>0</v>
      </c>
      <c r="M16" s="21">
        <f t="shared" si="1"/>
        <v>0</v>
      </c>
      <c r="N16" s="21">
        <f t="shared" ca="1" si="1"/>
        <v>172.8841672061084</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0.21768662946688955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1552.8098029559574</v>
      </c>
      <c r="C20" s="23">
        <f t="shared" ref="C20:P20" ca="1" si="2">C16*C18</f>
        <v>0</v>
      </c>
      <c r="D20" s="23">
        <f t="shared" ca="1" si="2"/>
        <v>1045.9488777920185</v>
      </c>
      <c r="E20" s="23">
        <f t="shared" si="2"/>
        <v>2.583597620942053</v>
      </c>
      <c r="F20" s="23">
        <f t="shared" ca="1" si="2"/>
        <v>289.20944121373697</v>
      </c>
      <c r="G20" s="23">
        <f t="shared" si="2"/>
        <v>0</v>
      </c>
      <c r="H20" s="23">
        <f t="shared" si="2"/>
        <v>0</v>
      </c>
      <c r="I20" s="23">
        <f t="shared" si="2"/>
        <v>0</v>
      </c>
      <c r="J20" s="23">
        <f t="shared" si="2"/>
        <v>1.7345004081035867E-3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5379.8626781024104</v>
      </c>
      <c r="C26" s="39">
        <f>IF(ISERROR(B26*3.6/1000000/'E Balans VL '!Z12*100),0,B26*3.6/1000000/'E Balans VL '!Z12*100)</f>
        <v>0.15164445104031335</v>
      </c>
      <c r="D26" s="232" t="s">
        <v>660</v>
      </c>
      <c r="F26" s="6"/>
    </row>
    <row r="27" spans="1:18">
      <c r="A27" s="227" t="s">
        <v>52</v>
      </c>
      <c r="B27" s="33">
        <f>IF(ISERROR(TER_horeca_ele_kWh/1000),0,TER_horeca_ele_kWh/1000)</f>
        <v>226.34392986086101</v>
      </c>
      <c r="C27" s="39">
        <f>IF(ISERROR(B27*3.6/1000000/'E Balans VL '!Z9*100),0,B27*3.6/1000000/'E Balans VL '!Z9*100)</f>
        <v>1.6780621837061461E-2</v>
      </c>
      <c r="D27" s="232" t="s">
        <v>660</v>
      </c>
      <c r="F27" s="6"/>
    </row>
    <row r="28" spans="1:18">
      <c r="A28" s="167" t="s">
        <v>51</v>
      </c>
      <c r="B28" s="33">
        <f>IF(ISERROR(TER_handel_ele_kWh/1000),0,TER_handel_ele_kWh/1000)</f>
        <v>835.30447784212697</v>
      </c>
      <c r="C28" s="39">
        <f>IF(ISERROR(B28*3.6/1000000/'E Balans VL '!Z13*100),0,B28*3.6/1000000/'E Balans VL '!Z13*100)</f>
        <v>2.5023736145604759E-2</v>
      </c>
      <c r="D28" s="232" t="s">
        <v>660</v>
      </c>
      <c r="F28" s="6"/>
    </row>
    <row r="29" spans="1:18">
      <c r="A29" s="227" t="s">
        <v>50</v>
      </c>
      <c r="B29" s="33">
        <f>IF(ISERROR(TER_gezond_ele_kWh/1000),0,TER_gezond_ele_kWh/1000)</f>
        <v>195.59070133549099</v>
      </c>
      <c r="C29" s="39">
        <f>IF(ISERROR(B29*3.6/1000000/'E Balans VL '!Z10*100),0,B29*3.6/1000000/'E Balans VL '!Z10*100)</f>
        <v>1.9340085209459443E-2</v>
      </c>
      <c r="D29" s="232" t="s">
        <v>660</v>
      </c>
      <c r="F29" s="6"/>
    </row>
    <row r="30" spans="1:18">
      <c r="A30" s="227" t="s">
        <v>49</v>
      </c>
      <c r="B30" s="33">
        <f>IF(ISERROR(TER_ander_ele_kWh/1000),0,TER_ander_ele_kWh/1000)</f>
        <v>496.13283897629202</v>
      </c>
      <c r="C30" s="39">
        <f>IF(ISERROR(B30*3.6/1000000/'E Balans VL '!Z14*100),0,B30*3.6/1000000/'E Balans VL '!Z14*100)</f>
        <v>2.0067107168433927E-2</v>
      </c>
      <c r="D30" s="232" t="s">
        <v>660</v>
      </c>
      <c r="F30" s="6"/>
    </row>
    <row r="31" spans="1:18">
      <c r="A31" s="227" t="s">
        <v>54</v>
      </c>
      <c r="B31" s="33">
        <f>IF(ISERROR(TER_onderwijs_ele_kWh/1000),0,TER_onderwijs_ele_kWh/1000)</f>
        <v>0</v>
      </c>
      <c r="C31" s="39">
        <f>IF(ISERROR(B31*3.6/1000000/'E Balans VL '!Z11*100),0,B31*3.6/1000000/'E Balans VL '!Z11*100)</f>
        <v>0</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354.3512632845497</v>
      </c>
      <c r="C5" s="17">
        <f>IF(ISERROR('Eigen informatie GS &amp; warmtenet'!B61),0,'Eigen informatie GS &amp; warmtenet'!B61)</f>
        <v>0</v>
      </c>
      <c r="D5" s="30">
        <f>SUM(D6:D15)</f>
        <v>723.18005687359732</v>
      </c>
      <c r="E5" s="17">
        <f>SUM(E6:E15)</f>
        <v>10.333216054202738</v>
      </c>
      <c r="F5" s="17">
        <f>SUM(F6:F15)</f>
        <v>107.51806803629788</v>
      </c>
      <c r="G5" s="18"/>
      <c r="H5" s="17"/>
      <c r="I5" s="17"/>
      <c r="J5" s="17">
        <f>SUM(J6:J15)</f>
        <v>0.83376256887718825</v>
      </c>
      <c r="K5" s="17"/>
      <c r="L5" s="17"/>
      <c r="M5" s="17"/>
      <c r="N5" s="17">
        <f>SUM(N6:N15)</f>
        <v>10.172862522118322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58.777501467292701</v>
      </c>
      <c r="C8" s="33"/>
      <c r="D8" s="37">
        <f>IF( ISERROR(IND_metaal_Gas_kWH/1000),0,IND_metaal_Gas_kWH/1000)*0.903</f>
        <v>0</v>
      </c>
      <c r="E8" s="33">
        <f>C30*'E Balans VL '!I18/100/3.6*1000000</f>
        <v>0.32124457595497763</v>
      </c>
      <c r="F8" s="33">
        <f>C30*'E Balans VL '!L18/100/3.6*1000000+C30*'E Balans VL '!N18/100/3.6*1000000</f>
        <v>4.0232324443136189</v>
      </c>
      <c r="G8" s="34"/>
      <c r="H8" s="33"/>
      <c r="I8" s="33"/>
      <c r="J8" s="40">
        <f>C30*'E Balans VL '!D18/100/3.6*1000000+C30*'E Balans VL '!E18/100/3.6*1000000</f>
        <v>5.8575742635889473E-2</v>
      </c>
      <c r="K8" s="33"/>
      <c r="L8" s="33"/>
      <c r="M8" s="33"/>
      <c r="N8" s="33">
        <f>C30*'E Balans VL '!Y18/100/3.6*1000000</f>
        <v>0.86934754990779139</v>
      </c>
      <c r="O8" s="33"/>
      <c r="P8" s="33"/>
      <c r="R8" s="32"/>
    </row>
    <row r="9" spans="1:18">
      <c r="A9" s="6" t="s">
        <v>32</v>
      </c>
      <c r="B9" s="37">
        <f t="shared" si="0"/>
        <v>118.90954718072901</v>
      </c>
      <c r="C9" s="33"/>
      <c r="D9" s="37">
        <f>IF( ISERROR(IND_andere_gas_kWh/1000),0,IND_andere_gas_kWh/1000)*0.903</f>
        <v>227.61338493483754</v>
      </c>
      <c r="E9" s="33">
        <f>C31*'E Balans VL '!I19/100/3.6*1000000</f>
        <v>0.44748807088666148</v>
      </c>
      <c r="F9" s="33">
        <f>C31*'E Balans VL '!L19/100/3.6*1000000+C31*'E Balans VL '!N19/100/3.6*1000000</f>
        <v>76.533400173285443</v>
      </c>
      <c r="G9" s="34"/>
      <c r="H9" s="33"/>
      <c r="I9" s="33"/>
      <c r="J9" s="40">
        <f>C31*'E Balans VL '!D19/100/3.6*1000000+C31*'E Balans VL '!E19/100/3.6*1000000</f>
        <v>0</v>
      </c>
      <c r="K9" s="33"/>
      <c r="L9" s="33"/>
      <c r="M9" s="33"/>
      <c r="N9" s="33">
        <f>C31*'E Balans VL '!Y19/100/3.6*1000000</f>
        <v>4.2956869590046951</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176.66421463652799</v>
      </c>
      <c r="C15" s="33"/>
      <c r="D15" s="37">
        <f>IF( ISERROR(IND_rest_gas_kWh/1000),0,IND_rest_gas_kWh/1000)*0.903</f>
        <v>495.56667193875973</v>
      </c>
      <c r="E15" s="33">
        <f>C37*'E Balans VL '!I15/100/3.6*1000000</f>
        <v>9.5644834073610987</v>
      </c>
      <c r="F15" s="33">
        <f>C37*'E Balans VL '!L15/100/3.6*1000000+C37*'E Balans VL '!N15/100/3.6*1000000</f>
        <v>26.961435418698812</v>
      </c>
      <c r="G15" s="34"/>
      <c r="H15" s="33"/>
      <c r="I15" s="33"/>
      <c r="J15" s="40">
        <f>C37*'E Balans VL '!D15/100/3.6*1000000+C37*'E Balans VL '!E15/100/3.6*1000000</f>
        <v>0.77518682624129875</v>
      </c>
      <c r="K15" s="33"/>
      <c r="L15" s="33"/>
      <c r="M15" s="33"/>
      <c r="N15" s="33">
        <f>C37*'E Balans VL '!Y15/100/3.6*1000000</f>
        <v>5.0078280132058364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354.3512632845497</v>
      </c>
      <c r="C18" s="21">
        <f>C5+C16</f>
        <v>0</v>
      </c>
      <c r="D18" s="21">
        <f>MAX((D5+D16),0)</f>
        <v>723.18005687359732</v>
      </c>
      <c r="E18" s="21">
        <f>MAX((E5+E16),0)</f>
        <v>10.333216054202738</v>
      </c>
      <c r="F18" s="21">
        <f>MAX((F5+F16),0)</f>
        <v>107.51806803629788</v>
      </c>
      <c r="G18" s="21"/>
      <c r="H18" s="21"/>
      <c r="I18" s="21"/>
      <c r="J18" s="21">
        <f>MAX((J5+J16),0)</f>
        <v>0.83376256887718825</v>
      </c>
      <c r="K18" s="21"/>
      <c r="L18" s="21">
        <f>MAX((L5+L16),0)</f>
        <v>0</v>
      </c>
      <c r="M18" s="21"/>
      <c r="N18" s="21">
        <f>MAX((N5+N16),0)</f>
        <v>10.172862522118322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0.21768662946688955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77.13753215174799</v>
      </c>
      <c r="C22" s="23">
        <f ca="1">C18*C20</f>
        <v>0</v>
      </c>
      <c r="D22" s="23">
        <f>D18*D20</f>
        <v>146.08237148846666</v>
      </c>
      <c r="E22" s="23">
        <f>E18*E20</f>
        <v>2.3456400443040217</v>
      </c>
      <c r="F22" s="23">
        <f>F18*F20</f>
        <v>28.707324165691535</v>
      </c>
      <c r="G22" s="23"/>
      <c r="H22" s="23"/>
      <c r="I22" s="23"/>
      <c r="J22" s="23">
        <f>J18*J20</f>
        <v>0.29515194938252465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58.777501467292701</v>
      </c>
      <c r="C30" s="39">
        <f>IF(ISERROR(B30*3.6/1000000/'E Balans VL '!Z18*100),0,B30*3.6/1000000/'E Balans VL '!Z18*100)</f>
        <v>3.2795128069860267E-3</v>
      </c>
      <c r="D30" s="232" t="s">
        <v>660</v>
      </c>
    </row>
    <row r="31" spans="1:18">
      <c r="A31" s="6" t="s">
        <v>32</v>
      </c>
      <c r="B31" s="37">
        <f>IF( ISERROR(IND_ander_ele_kWh/1000),0,IND_ander_ele_kWh/1000)</f>
        <v>118.90954718072901</v>
      </c>
      <c r="C31" s="39">
        <f>IF(ISERROR(B31*3.6/1000000/'E Balans VL '!Z19*100),0,B31*3.6/1000000/'E Balans VL '!Z19*100)</f>
        <v>4.8399854953639961E-3</v>
      </c>
      <c r="D31" s="232" t="s">
        <v>660</v>
      </c>
    </row>
    <row r="32" spans="1:18">
      <c r="A32" s="167" t="s">
        <v>40</v>
      </c>
      <c r="B32" s="37">
        <f>IF( ISERROR(IND_voed_ele_kWh/1000),0,IND_voed_ele_kWh/1000)</f>
        <v>0</v>
      </c>
      <c r="C32" s="39">
        <f>IF(ISERROR(B32*3.6/1000000/'E Balans VL '!Z20*100),0,B32*3.6/1000000/'E Balans VL '!Z20*100)</f>
        <v>0</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176.66421463652799</v>
      </c>
      <c r="C37" s="39">
        <f>IF(ISERROR(B37*3.6/1000000/'E Balans VL '!Z15*100),0,B37*3.6/1000000/'E Balans VL '!Z15*100)</f>
        <v>1.4229491795514091E-3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83.211436711804609</v>
      </c>
      <c r="C5" s="17">
        <f>'Eigen informatie GS &amp; warmtenet'!B62</f>
        <v>0</v>
      </c>
      <c r="D5" s="30">
        <f>IF(ISERROR(SUM(LB_lb_gas_kWh,LB_rest_gas_kWh)/1000),0,SUM(LB_lb_gas_kWh,LB_rest_gas_kWh)/1000)*0.903</f>
        <v>25.065326396292914</v>
      </c>
      <c r="E5" s="17">
        <f>B17*'E Balans VL '!I25/3.6*1000000/100</f>
        <v>2.4533084037996979</v>
      </c>
      <c r="F5" s="17">
        <f>B17*('E Balans VL '!L25/3.6*1000000+'E Balans VL '!N25/3.6*1000000)/100</f>
        <v>264.47551831234352</v>
      </c>
      <c r="G5" s="18"/>
      <c r="H5" s="17"/>
      <c r="I5" s="17"/>
      <c r="J5" s="17">
        <f>('E Balans VL '!D25+'E Balans VL '!E25)/3.6*1000000*landbouw!B17/100</f>
        <v>20.985413358384058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83.211436711804609</v>
      </c>
      <c r="C8" s="21">
        <f>C5+C6</f>
        <v>0</v>
      </c>
      <c r="D8" s="21">
        <f>MAX((D5+D6),0)</f>
        <v>25.065326396292914</v>
      </c>
      <c r="E8" s="21">
        <f>MAX((E5+E6),0)</f>
        <v>2.4533084037996979</v>
      </c>
      <c r="F8" s="21">
        <f>MAX((F5+F6),0)</f>
        <v>264.47551831234352</v>
      </c>
      <c r="G8" s="21"/>
      <c r="H8" s="21"/>
      <c r="I8" s="21"/>
      <c r="J8" s="21">
        <f>MAX((J5+J6),0)</f>
        <v>20.985413358384058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0.21768662946688955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18.114017190890142</v>
      </c>
      <c r="C12" s="23">
        <f ca="1">C8*C10</f>
        <v>0</v>
      </c>
      <c r="D12" s="23">
        <f>D8*D10</f>
        <v>5.063195932051169</v>
      </c>
      <c r="E12" s="23">
        <f>E8*E10</f>
        <v>0.55690100766253148</v>
      </c>
      <c r="F12" s="23">
        <f>F8*F10</f>
        <v>70.614963389395726</v>
      </c>
      <c r="G12" s="23"/>
      <c r="H12" s="23"/>
      <c r="I12" s="23"/>
      <c r="J12" s="23">
        <f>J8*J10</f>
        <v>7.4288363288679564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1.1428873690594994E-2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2.481338744903931</v>
      </c>
      <c r="C26" s="242">
        <f>B26*'GWP N2O_CH4'!B5</f>
        <v>52.108113642982552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0.12198617051340557</v>
      </c>
      <c r="C27" s="242">
        <f>B27*'GWP N2O_CH4'!B5</f>
        <v>2.5617095807815171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4.3235656434107546E-2</v>
      </c>
      <c r="C28" s="242">
        <f>B28*'GWP N2O_CH4'!B4</f>
        <v>13.403053494573339</v>
      </c>
      <c r="D28" s="50"/>
    </row>
    <row r="29" spans="1:4">
      <c r="A29" s="41" t="s">
        <v>266</v>
      </c>
      <c r="B29" s="242">
        <f>B34*'ha_N2O bodem landbouw'!B4</f>
        <v>0.94707263250025686</v>
      </c>
      <c r="C29" s="242">
        <f>B29*'GWP N2O_CH4'!B4</f>
        <v>293.59251607507963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2.1584055760808004E-4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1.0733158801236924E-4</v>
      </c>
      <c r="C5" s="430" t="s">
        <v>204</v>
      </c>
      <c r="D5" s="415">
        <f>SUM(D6:D11)</f>
        <v>2.3990573690652604E-4</v>
      </c>
      <c r="E5" s="415">
        <f>SUM(E6:E11)</f>
        <v>1.2598636588300602E-4</v>
      </c>
      <c r="F5" s="428" t="s">
        <v>204</v>
      </c>
      <c r="G5" s="415">
        <f>SUM(G6:G11)</f>
        <v>4.0941266449965277E-2</v>
      </c>
      <c r="H5" s="415">
        <f>SUM(H6:H11)</f>
        <v>1.5592467855724249E-2</v>
      </c>
      <c r="I5" s="430" t="s">
        <v>204</v>
      </c>
      <c r="J5" s="430" t="s">
        <v>204</v>
      </c>
      <c r="K5" s="430" t="s">
        <v>204</v>
      </c>
      <c r="L5" s="430" t="s">
        <v>204</v>
      </c>
      <c r="M5" s="415">
        <f>SUM(M6:M11)</f>
        <v>3.3889958193117371E-3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0</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0</v>
      </c>
      <c r="E6" s="844">
        <f>vkm_GW_PW*SUMIFS(TableVerdeelsleutelVkm[LPG],TableVerdeelsleutelVkm[Voertuigtype],"Lichte voertuigen")*SUMIFS(TableECFTransport[EnergieConsumptieFactor (PJ per km)],TableECFTransport[Index],CONCATENATE($A6,"_LPG_LPG"))</f>
        <v>0</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0</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0</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0</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0</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1.0723573215681586E-4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2.3990573690652604E-4</v>
      </c>
      <c r="E8" s="418">
        <f>vkm_NGW_PW*SUMIFS(TableVerdeelsleutelVkm[LPG],TableVerdeelsleutelVkm[Voertuigtype],"Lichte voertuigen")*SUMIFS(TableECFTransport[EnergieConsumptieFactor (PJ per km)],TableECFTransport[Index],CONCATENATE($A8,"_LPG_LPG"))</f>
        <v>1.2598636588300602E-4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3.5832399743830991E-2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1.5592415375632574E-2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3.1013587121726275E-3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9.5855855553378336E-8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5.1088667061342857E-3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5.2480091675204972E-8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2.8763710713910974E-4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29.814330003435902</v>
      </c>
      <c r="C14" s="21"/>
      <c r="D14" s="21">
        <f t="shared" ref="D14:M14" si="0">((D5)*10^9/3600)+D12</f>
        <v>66.640482474035011</v>
      </c>
      <c r="E14" s="21">
        <f t="shared" si="0"/>
        <v>34.99621274527945</v>
      </c>
      <c r="F14" s="21"/>
      <c r="G14" s="21">
        <f t="shared" si="0"/>
        <v>11372.574013879243</v>
      </c>
      <c r="H14" s="21">
        <f t="shared" si="0"/>
        <v>4331.2410710345139</v>
      </c>
      <c r="I14" s="21"/>
      <c r="J14" s="21"/>
      <c r="K14" s="21"/>
      <c r="L14" s="21"/>
      <c r="M14" s="21">
        <f t="shared" si="0"/>
        <v>941.38772758659366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0.21768662946688955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6.4901810082615192</v>
      </c>
      <c r="C18" s="23"/>
      <c r="D18" s="23">
        <f t="shared" ref="D18:M18" si="1">D14*D16</f>
        <v>13.461377459755074</v>
      </c>
      <c r="E18" s="23">
        <f t="shared" si="1"/>
        <v>7.9441402931784353</v>
      </c>
      <c r="F18" s="23"/>
      <c r="G18" s="23">
        <f t="shared" si="1"/>
        <v>3036.4772617057579</v>
      </c>
      <c r="H18" s="23">
        <f t="shared" si="1"/>
        <v>1078.4790266875939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1.2264129130253194E-5</v>
      </c>
      <c r="C50" s="313">
        <f t="shared" ref="C50:P50" si="2">SUM(C51:C52)</f>
        <v>0</v>
      </c>
      <c r="D50" s="313">
        <f t="shared" si="2"/>
        <v>0</v>
      </c>
      <c r="E50" s="313">
        <f t="shared" si="2"/>
        <v>0</v>
      </c>
      <c r="F50" s="313">
        <f t="shared" si="2"/>
        <v>0</v>
      </c>
      <c r="G50" s="313">
        <f t="shared" si="2"/>
        <v>8.7539144152754607E-4</v>
      </c>
      <c r="H50" s="313">
        <f t="shared" si="2"/>
        <v>0</v>
      </c>
      <c r="I50" s="313">
        <f t="shared" si="2"/>
        <v>0</v>
      </c>
      <c r="J50" s="313">
        <f t="shared" si="2"/>
        <v>0</v>
      </c>
      <c r="K50" s="313">
        <f t="shared" si="2"/>
        <v>0</v>
      </c>
      <c r="L50" s="313">
        <f t="shared" si="2"/>
        <v>0</v>
      </c>
      <c r="M50" s="313">
        <f t="shared" si="2"/>
        <v>4.8337884496784349E-5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1.2264129130253194E-5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8.7539144152754607E-4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4.8337884496784349E-5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3.4067025361814425</v>
      </c>
      <c r="C54" s="21">
        <f t="shared" ref="C54:P54" si="3">(C50)*10^9/3600</f>
        <v>0</v>
      </c>
      <c r="D54" s="21">
        <f t="shared" si="3"/>
        <v>0</v>
      </c>
      <c r="E54" s="21">
        <f t="shared" si="3"/>
        <v>0</v>
      </c>
      <c r="F54" s="21">
        <f t="shared" si="3"/>
        <v>0</v>
      </c>
      <c r="G54" s="21">
        <f t="shared" si="3"/>
        <v>243.16428931320723</v>
      </c>
      <c r="H54" s="21">
        <f t="shared" si="3"/>
        <v>0</v>
      </c>
      <c r="I54" s="21">
        <f t="shared" si="3"/>
        <v>0</v>
      </c>
      <c r="J54" s="21">
        <f t="shared" si="3"/>
        <v>0</v>
      </c>
      <c r="K54" s="21">
        <f t="shared" si="3"/>
        <v>0</v>
      </c>
      <c r="L54" s="21">
        <f t="shared" si="3"/>
        <v>0</v>
      </c>
      <c r="M54" s="21">
        <f t="shared" si="3"/>
        <v>13.427190137995652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0.21768662946688955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0.74159359269764258</v>
      </c>
      <c r="C58" s="23">
        <f t="shared" ref="C58:P58" ca="1" si="4">C54*C56</f>
        <v>0</v>
      </c>
      <c r="D58" s="23">
        <f t="shared" si="4"/>
        <v>0</v>
      </c>
      <c r="E58" s="23">
        <f t="shared" si="4"/>
        <v>0</v>
      </c>
      <c r="F58" s="23">
        <f t="shared" si="4"/>
        <v>0</v>
      </c>
      <c r="G58" s="23">
        <f t="shared" si="4"/>
        <v>64.924865246626339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226.3376356516186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226.3376356516186</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7429.5166261171817</v>
      </c>
      <c r="D10" s="642">
        <f ca="1">tertiair!C16</f>
        <v>0</v>
      </c>
      <c r="E10" s="642">
        <f ca="1">tertiair!D16</f>
        <v>5177.9647415446452</v>
      </c>
      <c r="F10" s="642">
        <f>tertiair!E16</f>
        <v>11.381487316925343</v>
      </c>
      <c r="G10" s="642">
        <f ca="1">tertiair!F16</f>
        <v>1083.181427766805</v>
      </c>
      <c r="H10" s="642">
        <f>tertiair!G16</f>
        <v>0</v>
      </c>
      <c r="I10" s="642">
        <f>tertiair!H16</f>
        <v>0</v>
      </c>
      <c r="J10" s="642">
        <f>tertiair!I16</f>
        <v>0</v>
      </c>
      <c r="K10" s="642">
        <f>tertiair!J16</f>
        <v>4.8997186669592846E-3</v>
      </c>
      <c r="L10" s="642">
        <f>tertiair!K16</f>
        <v>0</v>
      </c>
      <c r="M10" s="642">
        <f ca="1">tertiair!L16</f>
        <v>0</v>
      </c>
      <c r="N10" s="642">
        <f>tertiair!M16</f>
        <v>0</v>
      </c>
      <c r="O10" s="642">
        <f ca="1">tertiair!N16</f>
        <v>172.8841672061084</v>
      </c>
      <c r="P10" s="642">
        <f>tertiair!O16</f>
        <v>4.8972607658411542</v>
      </c>
      <c r="Q10" s="643">
        <f>tertiair!P16</f>
        <v>0</v>
      </c>
      <c r="R10" s="645">
        <f ca="1">SUM(C10:Q10)</f>
        <v>13879.830610436175</v>
      </c>
      <c r="S10" s="67"/>
    </row>
    <row r="11" spans="1:19" s="441" customFormat="1">
      <c r="A11" s="762" t="s">
        <v>214</v>
      </c>
      <c r="B11" s="767"/>
      <c r="C11" s="642">
        <f>huishoudens!B8</f>
        <v>6895.1924544934791</v>
      </c>
      <c r="D11" s="642">
        <f>huishoudens!C8</f>
        <v>0</v>
      </c>
      <c r="E11" s="642">
        <f>huishoudens!D8</f>
        <v>29642.213553802638</v>
      </c>
      <c r="F11" s="642">
        <f>huishoudens!E8</f>
        <v>368.50216869742252</v>
      </c>
      <c r="G11" s="642">
        <f>huishoudens!F8</f>
        <v>6038.8963279287827</v>
      </c>
      <c r="H11" s="642">
        <f>huishoudens!G8</f>
        <v>0</v>
      </c>
      <c r="I11" s="642">
        <f>huishoudens!H8</f>
        <v>0</v>
      </c>
      <c r="J11" s="642">
        <f>huishoudens!I8</f>
        <v>0</v>
      </c>
      <c r="K11" s="642">
        <f>huishoudens!J8</f>
        <v>33.331681150383801</v>
      </c>
      <c r="L11" s="642">
        <f>huishoudens!K8</f>
        <v>0</v>
      </c>
      <c r="M11" s="642">
        <f>huishoudens!L8</f>
        <v>0</v>
      </c>
      <c r="N11" s="642">
        <f>huishoudens!M8</f>
        <v>0</v>
      </c>
      <c r="O11" s="642">
        <f>huishoudens!N8</f>
        <v>2332.3115598033119</v>
      </c>
      <c r="P11" s="642">
        <f>huishoudens!O8</f>
        <v>35.711247948966573</v>
      </c>
      <c r="Q11" s="643">
        <f>huishoudens!P8</f>
        <v>31.601877923055071</v>
      </c>
      <c r="R11" s="645">
        <f>SUM(C11:Q11)</f>
        <v>45377.76087174804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354.3512632845497</v>
      </c>
      <c r="D13" s="642">
        <f>industrie!C18</f>
        <v>0</v>
      </c>
      <c r="E13" s="642">
        <f>industrie!D18</f>
        <v>723.18005687359732</v>
      </c>
      <c r="F13" s="642">
        <f>industrie!E18</f>
        <v>10.333216054202738</v>
      </c>
      <c r="G13" s="642">
        <f>industrie!F18</f>
        <v>107.51806803629788</v>
      </c>
      <c r="H13" s="642">
        <f>industrie!G18</f>
        <v>0</v>
      </c>
      <c r="I13" s="642">
        <f>industrie!H18</f>
        <v>0</v>
      </c>
      <c r="J13" s="642">
        <f>industrie!I18</f>
        <v>0</v>
      </c>
      <c r="K13" s="642">
        <f>industrie!J18</f>
        <v>0.83376256887718825</v>
      </c>
      <c r="L13" s="642">
        <f>industrie!K18</f>
        <v>0</v>
      </c>
      <c r="M13" s="642">
        <f>industrie!L18</f>
        <v>0</v>
      </c>
      <c r="N13" s="642">
        <f>industrie!M18</f>
        <v>0</v>
      </c>
      <c r="O13" s="642">
        <f>industrie!N18</f>
        <v>10.172862522118322</v>
      </c>
      <c r="P13" s="642">
        <f>industrie!O18</f>
        <v>0</v>
      </c>
      <c r="Q13" s="643">
        <f>industrie!P18</f>
        <v>0</v>
      </c>
      <c r="R13" s="645">
        <f>SUM(C13:Q13)</f>
        <v>1206.389229339643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14679.060343895211</v>
      </c>
      <c r="D16" s="678">
        <f t="shared" ref="D16:R16" ca="1" si="0">SUM(D9:D15)</f>
        <v>0</v>
      </c>
      <c r="E16" s="678">
        <f t="shared" ca="1" si="0"/>
        <v>35543.358352220886</v>
      </c>
      <c r="F16" s="678">
        <f t="shared" si="0"/>
        <v>390.21687206855063</v>
      </c>
      <c r="G16" s="678">
        <f t="shared" ca="1" si="0"/>
        <v>7229.5958237318855</v>
      </c>
      <c r="H16" s="678">
        <f t="shared" si="0"/>
        <v>0</v>
      </c>
      <c r="I16" s="678">
        <f t="shared" si="0"/>
        <v>0</v>
      </c>
      <c r="J16" s="678">
        <f t="shared" si="0"/>
        <v>0</v>
      </c>
      <c r="K16" s="678">
        <f t="shared" si="0"/>
        <v>34.170343437927954</v>
      </c>
      <c r="L16" s="678">
        <f t="shared" si="0"/>
        <v>0</v>
      </c>
      <c r="M16" s="678">
        <f t="shared" ca="1" si="0"/>
        <v>0</v>
      </c>
      <c r="N16" s="678">
        <f t="shared" si="0"/>
        <v>0</v>
      </c>
      <c r="O16" s="678">
        <f t="shared" ca="1" si="0"/>
        <v>2515.3685895315389</v>
      </c>
      <c r="P16" s="678">
        <f t="shared" si="0"/>
        <v>40.608508714807726</v>
      </c>
      <c r="Q16" s="678">
        <f t="shared" si="0"/>
        <v>31.601877923055071</v>
      </c>
      <c r="R16" s="678">
        <f t="shared" ca="1" si="0"/>
        <v>60463.980711523858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3.4067025361814425</v>
      </c>
      <c r="D19" s="642">
        <f>transport!C54</f>
        <v>0</v>
      </c>
      <c r="E19" s="642">
        <f>transport!D54</f>
        <v>0</v>
      </c>
      <c r="F19" s="642">
        <f>transport!E54</f>
        <v>0</v>
      </c>
      <c r="G19" s="642">
        <f>transport!F54</f>
        <v>0</v>
      </c>
      <c r="H19" s="642">
        <f>transport!G54</f>
        <v>243.16428931320723</v>
      </c>
      <c r="I19" s="642">
        <f>transport!H54</f>
        <v>0</v>
      </c>
      <c r="J19" s="642">
        <f>transport!I54</f>
        <v>0</v>
      </c>
      <c r="K19" s="642">
        <f>transport!J54</f>
        <v>0</v>
      </c>
      <c r="L19" s="642">
        <f>transport!K54</f>
        <v>0</v>
      </c>
      <c r="M19" s="642">
        <f>transport!L54</f>
        <v>0</v>
      </c>
      <c r="N19" s="642">
        <f>transport!M54</f>
        <v>13.427190137995652</v>
      </c>
      <c r="O19" s="642">
        <f>transport!N54</f>
        <v>0</v>
      </c>
      <c r="P19" s="642">
        <f>transport!O54</f>
        <v>0</v>
      </c>
      <c r="Q19" s="643">
        <f>transport!P54</f>
        <v>0</v>
      </c>
      <c r="R19" s="645">
        <f>SUM(C19:Q19)</f>
        <v>259.99818198738433</v>
      </c>
      <c r="S19" s="67"/>
    </row>
    <row r="20" spans="1:19" s="441" customFormat="1">
      <c r="A20" s="762" t="s">
        <v>296</v>
      </c>
      <c r="B20" s="767"/>
      <c r="C20" s="642">
        <f>transport!B14</f>
        <v>29.814330003435902</v>
      </c>
      <c r="D20" s="642">
        <f>transport!C14</f>
        <v>0</v>
      </c>
      <c r="E20" s="642">
        <f>transport!D14</f>
        <v>66.640482474035011</v>
      </c>
      <c r="F20" s="642">
        <f>transport!E14</f>
        <v>34.99621274527945</v>
      </c>
      <c r="G20" s="642">
        <f>transport!F14</f>
        <v>0</v>
      </c>
      <c r="H20" s="642">
        <f>transport!G14</f>
        <v>11372.574013879243</v>
      </c>
      <c r="I20" s="642">
        <f>transport!H14</f>
        <v>4331.2410710345139</v>
      </c>
      <c r="J20" s="642">
        <f>transport!I14</f>
        <v>0</v>
      </c>
      <c r="K20" s="642">
        <f>transport!J14</f>
        <v>0</v>
      </c>
      <c r="L20" s="642">
        <f>transport!K14</f>
        <v>0</v>
      </c>
      <c r="M20" s="642">
        <f>transport!L14</f>
        <v>0</v>
      </c>
      <c r="N20" s="642">
        <f>transport!M14</f>
        <v>941.38772758659366</v>
      </c>
      <c r="O20" s="642">
        <f>transport!N14</f>
        <v>0</v>
      </c>
      <c r="P20" s="642">
        <f>transport!O14</f>
        <v>0</v>
      </c>
      <c r="Q20" s="643">
        <f>transport!P14</f>
        <v>0</v>
      </c>
      <c r="R20" s="645">
        <f>SUM(C20:Q20)</f>
        <v>16776.653837723101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33.221032539617347</v>
      </c>
      <c r="D22" s="765">
        <f t="shared" ref="D22:R22" si="1">SUM(D18:D21)</f>
        <v>0</v>
      </c>
      <c r="E22" s="765">
        <f t="shared" si="1"/>
        <v>66.640482474035011</v>
      </c>
      <c r="F22" s="765">
        <f t="shared" si="1"/>
        <v>34.99621274527945</v>
      </c>
      <c r="G22" s="765">
        <f t="shared" si="1"/>
        <v>0</v>
      </c>
      <c r="H22" s="765">
        <f t="shared" si="1"/>
        <v>11615.738303192449</v>
      </c>
      <c r="I22" s="765">
        <f t="shared" si="1"/>
        <v>4331.2410710345139</v>
      </c>
      <c r="J22" s="765">
        <f t="shared" si="1"/>
        <v>0</v>
      </c>
      <c r="K22" s="765">
        <f t="shared" si="1"/>
        <v>0</v>
      </c>
      <c r="L22" s="765">
        <f t="shared" si="1"/>
        <v>0</v>
      </c>
      <c r="M22" s="765">
        <f t="shared" si="1"/>
        <v>0</v>
      </c>
      <c r="N22" s="765">
        <f t="shared" si="1"/>
        <v>954.81491772458935</v>
      </c>
      <c r="O22" s="765">
        <f t="shared" si="1"/>
        <v>0</v>
      </c>
      <c r="P22" s="765">
        <f t="shared" si="1"/>
        <v>0</v>
      </c>
      <c r="Q22" s="765">
        <f t="shared" si="1"/>
        <v>0</v>
      </c>
      <c r="R22" s="765">
        <f t="shared" si="1"/>
        <v>17036.652019710484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83.211436711804609</v>
      </c>
      <c r="D24" s="642">
        <f>+landbouw!C8</f>
        <v>0</v>
      </c>
      <c r="E24" s="642">
        <f>+landbouw!D8</f>
        <v>25.065326396292914</v>
      </c>
      <c r="F24" s="642">
        <f>+landbouw!E8</f>
        <v>2.4533084037996979</v>
      </c>
      <c r="G24" s="642">
        <f>+landbouw!F8</f>
        <v>264.47551831234352</v>
      </c>
      <c r="H24" s="642">
        <f>+landbouw!G8</f>
        <v>0</v>
      </c>
      <c r="I24" s="642">
        <f>+landbouw!H8</f>
        <v>0</v>
      </c>
      <c r="J24" s="642">
        <f>+landbouw!I8</f>
        <v>0</v>
      </c>
      <c r="K24" s="642">
        <f>+landbouw!J8</f>
        <v>20.985413358384058</v>
      </c>
      <c r="L24" s="642">
        <f>+landbouw!K8</f>
        <v>0</v>
      </c>
      <c r="M24" s="642">
        <f>+landbouw!L8</f>
        <v>0</v>
      </c>
      <c r="N24" s="642">
        <f>+landbouw!M8</f>
        <v>0</v>
      </c>
      <c r="O24" s="642">
        <f>+landbouw!N8</f>
        <v>0</v>
      </c>
      <c r="P24" s="642">
        <f>+landbouw!O8</f>
        <v>0</v>
      </c>
      <c r="Q24" s="643">
        <f>+landbouw!P8</f>
        <v>0</v>
      </c>
      <c r="R24" s="645">
        <f>SUM(C24:Q24)</f>
        <v>396.1910031826248</v>
      </c>
      <c r="S24" s="67"/>
    </row>
    <row r="25" spans="1:19" s="441" customFormat="1" ht="15" thickBot="1">
      <c r="A25" s="784" t="s">
        <v>672</v>
      </c>
      <c r="B25" s="895"/>
      <c r="C25" s="896">
        <f>IF(Onbekend_ele_kWh="---",0,Onbekend_ele_kWh)/1000+IF(REST_rest_ele_kWh="---",0,REST_rest_ele_kWh)/1000</f>
        <v>301.10353161851003</v>
      </c>
      <c r="D25" s="896"/>
      <c r="E25" s="896">
        <f>IF(onbekend_gas_kWh="---",0,onbekend_gas_kWh)/1000+IF(REST_rest_gas_kWh="---",0,REST_rest_gas_kWh)/1000</f>
        <v>1917.7240147984101</v>
      </c>
      <c r="F25" s="896"/>
      <c r="G25" s="896"/>
      <c r="H25" s="896"/>
      <c r="I25" s="896"/>
      <c r="J25" s="896"/>
      <c r="K25" s="896"/>
      <c r="L25" s="896"/>
      <c r="M25" s="896"/>
      <c r="N25" s="896"/>
      <c r="O25" s="896"/>
      <c r="P25" s="896"/>
      <c r="Q25" s="897"/>
      <c r="R25" s="645">
        <f>SUM(C25:Q25)</f>
        <v>2218.8275464169201</v>
      </c>
      <c r="S25" s="67"/>
    </row>
    <row r="26" spans="1:19" s="441" customFormat="1" ht="15.75" thickBot="1">
      <c r="A26" s="650" t="s">
        <v>673</v>
      </c>
      <c r="B26" s="770"/>
      <c r="C26" s="765">
        <f>SUM(C24:C25)</f>
        <v>384.31496833031463</v>
      </c>
      <c r="D26" s="765">
        <f t="shared" ref="D26:R26" si="2">SUM(D24:D25)</f>
        <v>0</v>
      </c>
      <c r="E26" s="765">
        <f t="shared" si="2"/>
        <v>1942.789341194703</v>
      </c>
      <c r="F26" s="765">
        <f t="shared" si="2"/>
        <v>2.4533084037996979</v>
      </c>
      <c r="G26" s="765">
        <f t="shared" si="2"/>
        <v>264.47551831234352</v>
      </c>
      <c r="H26" s="765">
        <f t="shared" si="2"/>
        <v>0</v>
      </c>
      <c r="I26" s="765">
        <f t="shared" si="2"/>
        <v>0</v>
      </c>
      <c r="J26" s="765">
        <f t="shared" si="2"/>
        <v>0</v>
      </c>
      <c r="K26" s="765">
        <f t="shared" si="2"/>
        <v>20.985413358384058</v>
      </c>
      <c r="L26" s="765">
        <f t="shared" si="2"/>
        <v>0</v>
      </c>
      <c r="M26" s="765">
        <f t="shared" si="2"/>
        <v>0</v>
      </c>
      <c r="N26" s="765">
        <f t="shared" si="2"/>
        <v>0</v>
      </c>
      <c r="O26" s="765">
        <f t="shared" si="2"/>
        <v>0</v>
      </c>
      <c r="P26" s="765">
        <f t="shared" si="2"/>
        <v>0</v>
      </c>
      <c r="Q26" s="765">
        <f t="shared" si="2"/>
        <v>0</v>
      </c>
      <c r="R26" s="765">
        <f t="shared" si="2"/>
        <v>2615.0185495995447</v>
      </c>
      <c r="S26" s="67"/>
    </row>
    <row r="27" spans="1:19" s="441" customFormat="1" ht="17.25" thickTop="1" thickBot="1">
      <c r="A27" s="651" t="s">
        <v>109</v>
      </c>
      <c r="B27" s="757"/>
      <c r="C27" s="652">
        <f ca="1">C22+C16+C26</f>
        <v>15096.596344765143</v>
      </c>
      <c r="D27" s="652">
        <f t="shared" ref="D27:R27" ca="1" si="3">D22+D16+D26</f>
        <v>0</v>
      </c>
      <c r="E27" s="652">
        <f t="shared" ca="1" si="3"/>
        <v>37552.788175889626</v>
      </c>
      <c r="F27" s="652">
        <f t="shared" si="3"/>
        <v>427.66639321762977</v>
      </c>
      <c r="G27" s="652">
        <f t="shared" ca="1" si="3"/>
        <v>7494.0713420442289</v>
      </c>
      <c r="H27" s="652">
        <f t="shared" si="3"/>
        <v>11615.738303192449</v>
      </c>
      <c r="I27" s="652">
        <f t="shared" si="3"/>
        <v>4331.2410710345139</v>
      </c>
      <c r="J27" s="652">
        <f t="shared" si="3"/>
        <v>0</v>
      </c>
      <c r="K27" s="652">
        <f t="shared" si="3"/>
        <v>55.155756796312012</v>
      </c>
      <c r="L27" s="652">
        <f t="shared" si="3"/>
        <v>0</v>
      </c>
      <c r="M27" s="652">
        <f t="shared" ca="1" si="3"/>
        <v>0</v>
      </c>
      <c r="N27" s="652">
        <f t="shared" si="3"/>
        <v>954.81491772458935</v>
      </c>
      <c r="O27" s="652">
        <f t="shared" ca="1" si="3"/>
        <v>2515.3685895315389</v>
      </c>
      <c r="P27" s="652">
        <f t="shared" si="3"/>
        <v>40.608508714807726</v>
      </c>
      <c r="Q27" s="652">
        <f t="shared" si="3"/>
        <v>31.601877923055071</v>
      </c>
      <c r="R27" s="652">
        <f t="shared" ca="1" si="3"/>
        <v>80115.651280833874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1617.3064329076662</v>
      </c>
      <c r="D40" s="642">
        <f ca="1">tertiair!C20</f>
        <v>0</v>
      </c>
      <c r="E40" s="642">
        <f ca="1">tertiair!D20</f>
        <v>1045.9488777920185</v>
      </c>
      <c r="F40" s="642">
        <f>tertiair!E20</f>
        <v>2.583597620942053</v>
      </c>
      <c r="G40" s="642">
        <f ca="1">tertiair!F20</f>
        <v>289.20944121373697</v>
      </c>
      <c r="H40" s="642">
        <f>tertiair!G20</f>
        <v>0</v>
      </c>
      <c r="I40" s="642">
        <f>tertiair!H20</f>
        <v>0</v>
      </c>
      <c r="J40" s="642">
        <f>tertiair!I20</f>
        <v>0</v>
      </c>
      <c r="K40" s="642">
        <f>tertiair!J20</f>
        <v>1.7345004081035867E-3</v>
      </c>
      <c r="L40" s="642">
        <f>tertiair!K20</f>
        <v>0</v>
      </c>
      <c r="M40" s="642">
        <f ca="1">tertiair!L20</f>
        <v>0</v>
      </c>
      <c r="N40" s="642">
        <f>tertiair!M20</f>
        <v>0</v>
      </c>
      <c r="O40" s="642">
        <f ca="1">tertiair!N20</f>
        <v>0</v>
      </c>
      <c r="P40" s="642">
        <f>tertiair!O20</f>
        <v>0</v>
      </c>
      <c r="Q40" s="725">
        <f>tertiair!P20</f>
        <v>0</v>
      </c>
      <c r="R40" s="803">
        <f t="shared" ca="1" si="4"/>
        <v>2955.0500840347718</v>
      </c>
    </row>
    <row r="41" spans="1:18">
      <c r="A41" s="775" t="s">
        <v>214</v>
      </c>
      <c r="B41" s="782"/>
      <c r="C41" s="642">
        <f ca="1">huishoudens!B12</f>
        <v>1500.9912049442146</v>
      </c>
      <c r="D41" s="642">
        <f ca="1">huishoudens!C12</f>
        <v>0</v>
      </c>
      <c r="E41" s="642">
        <f>huishoudens!D12</f>
        <v>5987.7271378681335</v>
      </c>
      <c r="F41" s="642">
        <f>huishoudens!E12</f>
        <v>83.649992294314913</v>
      </c>
      <c r="G41" s="642">
        <f>huishoudens!F12</f>
        <v>1612.385319556985</v>
      </c>
      <c r="H41" s="642">
        <f>huishoudens!G12</f>
        <v>0</v>
      </c>
      <c r="I41" s="642">
        <f>huishoudens!H12</f>
        <v>0</v>
      </c>
      <c r="J41" s="642">
        <f>huishoudens!I12</f>
        <v>0</v>
      </c>
      <c r="K41" s="642">
        <f>huishoudens!J12</f>
        <v>11.799415127235864</v>
      </c>
      <c r="L41" s="642">
        <f>huishoudens!K12</f>
        <v>0</v>
      </c>
      <c r="M41" s="642">
        <f>huishoudens!L12</f>
        <v>0</v>
      </c>
      <c r="N41" s="642">
        <f>huishoudens!M12</f>
        <v>0</v>
      </c>
      <c r="O41" s="642">
        <f>huishoudens!N12</f>
        <v>0</v>
      </c>
      <c r="P41" s="642">
        <f>huishoudens!O12</f>
        <v>0</v>
      </c>
      <c r="Q41" s="725">
        <f>huishoudens!P12</f>
        <v>0</v>
      </c>
      <c r="R41" s="803">
        <f t="shared" ca="1" si="4"/>
        <v>9196.5530697908835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77.13753215174799</v>
      </c>
      <c r="D43" s="642">
        <f ca="1">industrie!C22</f>
        <v>0</v>
      </c>
      <c r="E43" s="642">
        <f>industrie!D22</f>
        <v>146.08237148846666</v>
      </c>
      <c r="F43" s="642">
        <f>industrie!E22</f>
        <v>2.3456400443040217</v>
      </c>
      <c r="G43" s="642">
        <f>industrie!F22</f>
        <v>28.707324165691535</v>
      </c>
      <c r="H43" s="642">
        <f>industrie!G22</f>
        <v>0</v>
      </c>
      <c r="I43" s="642">
        <f>industrie!H22</f>
        <v>0</v>
      </c>
      <c r="J43" s="642">
        <f>industrie!I22</f>
        <v>0</v>
      </c>
      <c r="K43" s="642">
        <f>industrie!J22</f>
        <v>0.29515194938252465</v>
      </c>
      <c r="L43" s="642">
        <f>industrie!K22</f>
        <v>0</v>
      </c>
      <c r="M43" s="642">
        <f>industrie!L22</f>
        <v>0</v>
      </c>
      <c r="N43" s="642">
        <f>industrie!M22</f>
        <v>0</v>
      </c>
      <c r="O43" s="642">
        <f>industrie!N22</f>
        <v>0</v>
      </c>
      <c r="P43" s="642">
        <f>industrie!O22</f>
        <v>0</v>
      </c>
      <c r="Q43" s="725">
        <f>industrie!P22</f>
        <v>0</v>
      </c>
      <c r="R43" s="802">
        <f t="shared" ca="1" si="4"/>
        <v>254.56801979959275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3195.4351700036286</v>
      </c>
      <c r="D46" s="678">
        <f t="shared" ref="D46:Q46" ca="1" si="5">SUM(D39:D45)</f>
        <v>0</v>
      </c>
      <c r="E46" s="678">
        <f t="shared" ca="1" si="5"/>
        <v>7179.7583871486186</v>
      </c>
      <c r="F46" s="678">
        <f t="shared" si="5"/>
        <v>88.57922995956099</v>
      </c>
      <c r="G46" s="678">
        <f t="shared" ca="1" si="5"/>
        <v>1930.3020849364134</v>
      </c>
      <c r="H46" s="678">
        <f t="shared" si="5"/>
        <v>0</v>
      </c>
      <c r="I46" s="678">
        <f t="shared" si="5"/>
        <v>0</v>
      </c>
      <c r="J46" s="678">
        <f t="shared" si="5"/>
        <v>0</v>
      </c>
      <c r="K46" s="678">
        <f t="shared" si="5"/>
        <v>12.096301577026493</v>
      </c>
      <c r="L46" s="678">
        <f t="shared" si="5"/>
        <v>0</v>
      </c>
      <c r="M46" s="678">
        <f t="shared" ca="1" si="5"/>
        <v>0</v>
      </c>
      <c r="N46" s="678">
        <f t="shared" si="5"/>
        <v>0</v>
      </c>
      <c r="O46" s="678">
        <f t="shared" ca="1" si="5"/>
        <v>0</v>
      </c>
      <c r="P46" s="678">
        <f t="shared" si="5"/>
        <v>0</v>
      </c>
      <c r="Q46" s="678">
        <f t="shared" si="5"/>
        <v>0</v>
      </c>
      <c r="R46" s="678">
        <f ca="1">SUM(R39:R45)</f>
        <v>12406.171173625249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0.74159359269764258</v>
      </c>
      <c r="D49" s="642">
        <f ca="1">transport!C58</f>
        <v>0</v>
      </c>
      <c r="E49" s="642">
        <f>transport!D58</f>
        <v>0</v>
      </c>
      <c r="F49" s="642">
        <f>transport!E58</f>
        <v>0</v>
      </c>
      <c r="G49" s="642">
        <f>transport!F58</f>
        <v>0</v>
      </c>
      <c r="H49" s="642">
        <f>transport!G58</f>
        <v>64.924865246626339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65.66645883932398</v>
      </c>
    </row>
    <row r="50" spans="1:18">
      <c r="A50" s="778" t="s">
        <v>296</v>
      </c>
      <c r="B50" s="788"/>
      <c r="C50" s="648">
        <f ca="1">transport!B18</f>
        <v>6.4901810082615192</v>
      </c>
      <c r="D50" s="648">
        <f>transport!C18</f>
        <v>0</v>
      </c>
      <c r="E50" s="648">
        <f>transport!D18</f>
        <v>13.461377459755074</v>
      </c>
      <c r="F50" s="648">
        <f>transport!E18</f>
        <v>7.9441402931784353</v>
      </c>
      <c r="G50" s="648">
        <f>transport!F18</f>
        <v>0</v>
      </c>
      <c r="H50" s="648">
        <f>transport!G18</f>
        <v>3036.4772617057579</v>
      </c>
      <c r="I50" s="648">
        <f>transport!H18</f>
        <v>1078.4790266875939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4142.8519871545468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7.2317746009591621</v>
      </c>
      <c r="D52" s="678">
        <f t="shared" ref="D52:Q52" ca="1" si="6">SUM(D48:D51)</f>
        <v>0</v>
      </c>
      <c r="E52" s="678">
        <f t="shared" si="6"/>
        <v>13.461377459755074</v>
      </c>
      <c r="F52" s="678">
        <f t="shared" si="6"/>
        <v>7.9441402931784353</v>
      </c>
      <c r="G52" s="678">
        <f t="shared" si="6"/>
        <v>0</v>
      </c>
      <c r="H52" s="678">
        <f t="shared" si="6"/>
        <v>3101.4021269523842</v>
      </c>
      <c r="I52" s="678">
        <f t="shared" si="6"/>
        <v>1078.4790266875939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4208.518445993871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18.114017190890142</v>
      </c>
      <c r="D54" s="648">
        <f ca="1">+landbouw!C12</f>
        <v>0</v>
      </c>
      <c r="E54" s="648">
        <f>+landbouw!D12</f>
        <v>5.063195932051169</v>
      </c>
      <c r="F54" s="648">
        <f>+landbouw!E12</f>
        <v>0.55690100766253148</v>
      </c>
      <c r="G54" s="648">
        <f>+landbouw!F12</f>
        <v>70.614963389395726</v>
      </c>
      <c r="H54" s="648">
        <f>+landbouw!G12</f>
        <v>0</v>
      </c>
      <c r="I54" s="648">
        <f>+landbouw!H12</f>
        <v>0</v>
      </c>
      <c r="J54" s="648">
        <f>+landbouw!I12</f>
        <v>0</v>
      </c>
      <c r="K54" s="648">
        <f>+landbouw!J12</f>
        <v>7.4288363288679564</v>
      </c>
      <c r="L54" s="648">
        <f>+landbouw!K12</f>
        <v>0</v>
      </c>
      <c r="M54" s="648">
        <f>+landbouw!L12</f>
        <v>0</v>
      </c>
      <c r="N54" s="648">
        <f>+landbouw!M12</f>
        <v>0</v>
      </c>
      <c r="O54" s="648">
        <f>+landbouw!N12</f>
        <v>0</v>
      </c>
      <c r="P54" s="648">
        <f>+landbouw!O12</f>
        <v>0</v>
      </c>
      <c r="Q54" s="649">
        <f>+landbouw!P12</f>
        <v>0</v>
      </c>
      <c r="R54" s="677">
        <f ca="1">SUM(C54:Q54)</f>
        <v>101.77791384886753</v>
      </c>
    </row>
    <row r="55" spans="1:18" ht="15" thickBot="1">
      <c r="A55" s="778" t="s">
        <v>672</v>
      </c>
      <c r="B55" s="788"/>
      <c r="C55" s="648">
        <f ca="1">C25*'EF ele_warmte'!B12</f>
        <v>65.546212918610451</v>
      </c>
      <c r="D55" s="648"/>
      <c r="E55" s="648">
        <f>E25*EF_CO2_aardgas</f>
        <v>387.38025098927886</v>
      </c>
      <c r="F55" s="648"/>
      <c r="G55" s="648"/>
      <c r="H55" s="648"/>
      <c r="I55" s="648"/>
      <c r="J55" s="648"/>
      <c r="K55" s="648"/>
      <c r="L55" s="648"/>
      <c r="M55" s="648"/>
      <c r="N55" s="648"/>
      <c r="O55" s="648"/>
      <c r="P55" s="648"/>
      <c r="Q55" s="649"/>
      <c r="R55" s="677">
        <f ca="1">SUM(C55:Q55)</f>
        <v>452.92646390788934</v>
      </c>
    </row>
    <row r="56" spans="1:18" ht="15.75" thickBot="1">
      <c r="A56" s="776" t="s">
        <v>673</v>
      </c>
      <c r="B56" s="789"/>
      <c r="C56" s="678">
        <f ca="1">SUM(C54:C55)</f>
        <v>83.660230109500588</v>
      </c>
      <c r="D56" s="678">
        <f t="shared" ref="D56:Q56" ca="1" si="7">SUM(D54:D55)</f>
        <v>0</v>
      </c>
      <c r="E56" s="678">
        <f t="shared" si="7"/>
        <v>392.44344692133001</v>
      </c>
      <c r="F56" s="678">
        <f t="shared" si="7"/>
        <v>0.55690100766253148</v>
      </c>
      <c r="G56" s="678">
        <f t="shared" si="7"/>
        <v>70.614963389395726</v>
      </c>
      <c r="H56" s="678">
        <f t="shared" si="7"/>
        <v>0</v>
      </c>
      <c r="I56" s="678">
        <f t="shared" si="7"/>
        <v>0</v>
      </c>
      <c r="J56" s="678">
        <f t="shared" si="7"/>
        <v>0</v>
      </c>
      <c r="K56" s="678">
        <f t="shared" si="7"/>
        <v>7.4288363288679564</v>
      </c>
      <c r="L56" s="678">
        <f t="shared" si="7"/>
        <v>0</v>
      </c>
      <c r="M56" s="678">
        <f t="shared" si="7"/>
        <v>0</v>
      </c>
      <c r="N56" s="678">
        <f t="shared" si="7"/>
        <v>0</v>
      </c>
      <c r="O56" s="678">
        <f t="shared" si="7"/>
        <v>0</v>
      </c>
      <c r="P56" s="678">
        <f t="shared" si="7"/>
        <v>0</v>
      </c>
      <c r="Q56" s="679">
        <f t="shared" si="7"/>
        <v>0</v>
      </c>
      <c r="R56" s="680">
        <f ca="1">SUM(R54:R55)</f>
        <v>554.70437775675691</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3286.327174714088</v>
      </c>
      <c r="D61" s="686">
        <f t="shared" ref="D61:Q61" ca="1" si="8">D46+D52+D56</f>
        <v>0</v>
      </c>
      <c r="E61" s="686">
        <f t="shared" ca="1" si="8"/>
        <v>7585.6632115297034</v>
      </c>
      <c r="F61" s="686">
        <f t="shared" si="8"/>
        <v>97.080271260401958</v>
      </c>
      <c r="G61" s="686">
        <f t="shared" ca="1" si="8"/>
        <v>2000.9170483258092</v>
      </c>
      <c r="H61" s="686">
        <f t="shared" si="8"/>
        <v>3101.4021269523842</v>
      </c>
      <c r="I61" s="686">
        <f t="shared" si="8"/>
        <v>1078.4790266875939</v>
      </c>
      <c r="J61" s="686">
        <f t="shared" si="8"/>
        <v>0</v>
      </c>
      <c r="K61" s="686">
        <f t="shared" si="8"/>
        <v>19.52513790589445</v>
      </c>
      <c r="L61" s="686">
        <f t="shared" si="8"/>
        <v>0</v>
      </c>
      <c r="M61" s="686">
        <f t="shared" ca="1" si="8"/>
        <v>0</v>
      </c>
      <c r="N61" s="686">
        <f t="shared" si="8"/>
        <v>0</v>
      </c>
      <c r="O61" s="686">
        <f t="shared" ca="1" si="8"/>
        <v>0</v>
      </c>
      <c r="P61" s="686">
        <f t="shared" si="8"/>
        <v>0</v>
      </c>
      <c r="Q61" s="686">
        <f t="shared" si="8"/>
        <v>0</v>
      </c>
      <c r="R61" s="686">
        <f ca="1">R46+R52+R56</f>
        <v>17169.393997375875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0.21768662946688949</v>
      </c>
      <c r="D63" s="732">
        <f t="shared" ca="1" si="9"/>
        <v>0</v>
      </c>
      <c r="E63" s="921">
        <f t="shared" ca="1" si="9"/>
        <v>0.20199999999999999</v>
      </c>
      <c r="F63" s="732">
        <f t="shared" si="9"/>
        <v>0.22700000000000001</v>
      </c>
      <c r="G63" s="732">
        <f t="shared" ca="1" si="9"/>
        <v>0.26700000000000002</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226.3376356516186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226.3376356516186</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6895.1924544934791</v>
      </c>
      <c r="C4" s="445">
        <f>huishoudens!C8</f>
        <v>0</v>
      </c>
      <c r="D4" s="445">
        <f>huishoudens!D8</f>
        <v>29642.213553802638</v>
      </c>
      <c r="E4" s="445">
        <f>huishoudens!E8</f>
        <v>368.50216869742252</v>
      </c>
      <c r="F4" s="445">
        <f>huishoudens!F8</f>
        <v>6038.8963279287827</v>
      </c>
      <c r="G4" s="445">
        <f>huishoudens!G8</f>
        <v>0</v>
      </c>
      <c r="H4" s="445">
        <f>huishoudens!H8</f>
        <v>0</v>
      </c>
      <c r="I4" s="445">
        <f>huishoudens!I8</f>
        <v>0</v>
      </c>
      <c r="J4" s="445">
        <f>huishoudens!J8</f>
        <v>33.331681150383801</v>
      </c>
      <c r="K4" s="445">
        <f>huishoudens!K8</f>
        <v>0</v>
      </c>
      <c r="L4" s="445">
        <f>huishoudens!L8</f>
        <v>0</v>
      </c>
      <c r="M4" s="445">
        <f>huishoudens!M8</f>
        <v>0</v>
      </c>
      <c r="N4" s="445">
        <f>huishoudens!N8</f>
        <v>2332.3115598033119</v>
      </c>
      <c r="O4" s="445">
        <f>huishoudens!O8</f>
        <v>35.711247948966573</v>
      </c>
      <c r="P4" s="446">
        <f>huishoudens!P8</f>
        <v>31.601877923055071</v>
      </c>
      <c r="Q4" s="447">
        <f>SUM(B4:P4)</f>
        <v>45377.76087174804</v>
      </c>
    </row>
    <row r="5" spans="1:17">
      <c r="A5" s="444" t="s">
        <v>149</v>
      </c>
      <c r="B5" s="445">
        <f ca="1">tertiair!B16</f>
        <v>7133.2346261171815</v>
      </c>
      <c r="C5" s="445">
        <f ca="1">tertiair!C16</f>
        <v>0</v>
      </c>
      <c r="D5" s="445">
        <f ca="1">tertiair!D16</f>
        <v>5177.9647415446452</v>
      </c>
      <c r="E5" s="445">
        <f>tertiair!E16</f>
        <v>11.381487316925343</v>
      </c>
      <c r="F5" s="445">
        <f ca="1">tertiair!F16</f>
        <v>1083.181427766805</v>
      </c>
      <c r="G5" s="445">
        <f>tertiair!G16</f>
        <v>0</v>
      </c>
      <c r="H5" s="445">
        <f>tertiair!H16</f>
        <v>0</v>
      </c>
      <c r="I5" s="445">
        <f>tertiair!I16</f>
        <v>0</v>
      </c>
      <c r="J5" s="445">
        <f>tertiair!J16</f>
        <v>4.8997186669592846E-3</v>
      </c>
      <c r="K5" s="445">
        <f>tertiair!K16</f>
        <v>0</v>
      </c>
      <c r="L5" s="445">
        <f ca="1">tertiair!L16</f>
        <v>0</v>
      </c>
      <c r="M5" s="445">
        <f>tertiair!M16</f>
        <v>0</v>
      </c>
      <c r="N5" s="445">
        <f ca="1">tertiair!N16</f>
        <v>172.8841672061084</v>
      </c>
      <c r="O5" s="445">
        <f>tertiair!O16</f>
        <v>4.8972607658411542</v>
      </c>
      <c r="P5" s="446">
        <f>tertiair!P16</f>
        <v>0</v>
      </c>
      <c r="Q5" s="444">
        <f t="shared" ref="Q5:Q14" ca="1" si="0">SUM(B5:P5)</f>
        <v>13583.548610436173</v>
      </c>
    </row>
    <row r="6" spans="1:17">
      <c r="A6" s="444" t="s">
        <v>187</v>
      </c>
      <c r="B6" s="445">
        <f>'openbare verlichting'!B8</f>
        <v>296.28199999999998</v>
      </c>
      <c r="C6" s="445"/>
      <c r="D6" s="445"/>
      <c r="E6" s="445"/>
      <c r="F6" s="445"/>
      <c r="G6" s="445"/>
      <c r="H6" s="445"/>
      <c r="I6" s="445"/>
      <c r="J6" s="445"/>
      <c r="K6" s="445"/>
      <c r="L6" s="445"/>
      <c r="M6" s="445"/>
      <c r="N6" s="445"/>
      <c r="O6" s="445"/>
      <c r="P6" s="446"/>
      <c r="Q6" s="444">
        <f t="shared" si="0"/>
        <v>296.28199999999998</v>
      </c>
    </row>
    <row r="7" spans="1:17">
      <c r="A7" s="444" t="s">
        <v>105</v>
      </c>
      <c r="B7" s="445">
        <f>landbouw!B8</f>
        <v>83.211436711804609</v>
      </c>
      <c r="C7" s="445">
        <f>landbouw!C8</f>
        <v>0</v>
      </c>
      <c r="D7" s="445">
        <f>landbouw!D8</f>
        <v>25.065326396292914</v>
      </c>
      <c r="E7" s="445">
        <f>landbouw!E8</f>
        <v>2.4533084037996979</v>
      </c>
      <c r="F7" s="445">
        <f>landbouw!F8</f>
        <v>264.47551831234352</v>
      </c>
      <c r="G7" s="445">
        <f>landbouw!G8</f>
        <v>0</v>
      </c>
      <c r="H7" s="445">
        <f>landbouw!H8</f>
        <v>0</v>
      </c>
      <c r="I7" s="445">
        <f>landbouw!I8</f>
        <v>0</v>
      </c>
      <c r="J7" s="445">
        <f>landbouw!J8</f>
        <v>20.985413358384058</v>
      </c>
      <c r="K7" s="445">
        <f>landbouw!K8</f>
        <v>0</v>
      </c>
      <c r="L7" s="445">
        <f>landbouw!L8</f>
        <v>0</v>
      </c>
      <c r="M7" s="445">
        <f>landbouw!M8</f>
        <v>0</v>
      </c>
      <c r="N7" s="445">
        <f>landbouw!N8</f>
        <v>0</v>
      </c>
      <c r="O7" s="445">
        <f>landbouw!O8</f>
        <v>0</v>
      </c>
      <c r="P7" s="446">
        <f>landbouw!P8</f>
        <v>0</v>
      </c>
      <c r="Q7" s="444">
        <f t="shared" si="0"/>
        <v>396.1910031826248</v>
      </c>
    </row>
    <row r="8" spans="1:17">
      <c r="A8" s="444" t="s">
        <v>587</v>
      </c>
      <c r="B8" s="445">
        <f>industrie!B18</f>
        <v>354.3512632845497</v>
      </c>
      <c r="C8" s="445">
        <f>industrie!C18</f>
        <v>0</v>
      </c>
      <c r="D8" s="445">
        <f>industrie!D18</f>
        <v>723.18005687359732</v>
      </c>
      <c r="E8" s="445">
        <f>industrie!E18</f>
        <v>10.333216054202738</v>
      </c>
      <c r="F8" s="445">
        <f>industrie!F18</f>
        <v>107.51806803629788</v>
      </c>
      <c r="G8" s="445">
        <f>industrie!G18</f>
        <v>0</v>
      </c>
      <c r="H8" s="445">
        <f>industrie!H18</f>
        <v>0</v>
      </c>
      <c r="I8" s="445">
        <f>industrie!I18</f>
        <v>0</v>
      </c>
      <c r="J8" s="445">
        <f>industrie!J18</f>
        <v>0.83376256887718825</v>
      </c>
      <c r="K8" s="445">
        <f>industrie!K18</f>
        <v>0</v>
      </c>
      <c r="L8" s="445">
        <f>industrie!L18</f>
        <v>0</v>
      </c>
      <c r="M8" s="445">
        <f>industrie!M18</f>
        <v>0</v>
      </c>
      <c r="N8" s="445">
        <f>industrie!N18</f>
        <v>10.172862522118322</v>
      </c>
      <c r="O8" s="445">
        <f>industrie!O18</f>
        <v>0</v>
      </c>
      <c r="P8" s="446">
        <f>industrie!P18</f>
        <v>0</v>
      </c>
      <c r="Q8" s="444">
        <f t="shared" si="0"/>
        <v>1206.389229339643</v>
      </c>
    </row>
    <row r="9" spans="1:17" s="450" customFormat="1">
      <c r="A9" s="448" t="s">
        <v>536</v>
      </c>
      <c r="B9" s="449">
        <f>transport!B14</f>
        <v>29.814330003435902</v>
      </c>
      <c r="C9" s="449">
        <f>transport!C14</f>
        <v>0</v>
      </c>
      <c r="D9" s="449">
        <f>transport!D14</f>
        <v>66.640482474035011</v>
      </c>
      <c r="E9" s="449">
        <f>transport!E14</f>
        <v>34.99621274527945</v>
      </c>
      <c r="F9" s="449">
        <f>transport!F14</f>
        <v>0</v>
      </c>
      <c r="G9" s="449">
        <f>transport!G14</f>
        <v>11372.574013879243</v>
      </c>
      <c r="H9" s="449">
        <f>transport!H14</f>
        <v>4331.2410710345139</v>
      </c>
      <c r="I9" s="449">
        <f>transport!I14</f>
        <v>0</v>
      </c>
      <c r="J9" s="449">
        <f>transport!J14</f>
        <v>0</v>
      </c>
      <c r="K9" s="449">
        <f>transport!K14</f>
        <v>0</v>
      </c>
      <c r="L9" s="449">
        <f>transport!L14</f>
        <v>0</v>
      </c>
      <c r="M9" s="449">
        <f>transport!M14</f>
        <v>941.38772758659366</v>
      </c>
      <c r="N9" s="449">
        <f>transport!N14</f>
        <v>0</v>
      </c>
      <c r="O9" s="449">
        <f>transport!O14</f>
        <v>0</v>
      </c>
      <c r="P9" s="449">
        <f>transport!P14</f>
        <v>0</v>
      </c>
      <c r="Q9" s="448">
        <f>SUM(B9:P9)</f>
        <v>16776.653837723101</v>
      </c>
    </row>
    <row r="10" spans="1:17">
      <c r="A10" s="444" t="s">
        <v>526</v>
      </c>
      <c r="B10" s="445">
        <f>transport!B54</f>
        <v>3.4067025361814425</v>
      </c>
      <c r="C10" s="445">
        <f>transport!C54</f>
        <v>0</v>
      </c>
      <c r="D10" s="445">
        <f>transport!D54</f>
        <v>0</v>
      </c>
      <c r="E10" s="445">
        <f>transport!E54</f>
        <v>0</v>
      </c>
      <c r="F10" s="445">
        <f>transport!F54</f>
        <v>0</v>
      </c>
      <c r="G10" s="445">
        <f>transport!G54</f>
        <v>243.16428931320723</v>
      </c>
      <c r="H10" s="445">
        <f>transport!H54</f>
        <v>0</v>
      </c>
      <c r="I10" s="445">
        <f>transport!I54</f>
        <v>0</v>
      </c>
      <c r="J10" s="445">
        <f>transport!J54</f>
        <v>0</v>
      </c>
      <c r="K10" s="445">
        <f>transport!K54</f>
        <v>0</v>
      </c>
      <c r="L10" s="445">
        <f>transport!L54</f>
        <v>0</v>
      </c>
      <c r="M10" s="445">
        <f>transport!M54</f>
        <v>13.427190137995652</v>
      </c>
      <c r="N10" s="445">
        <f>transport!N54</f>
        <v>0</v>
      </c>
      <c r="O10" s="445">
        <f>transport!O54</f>
        <v>0</v>
      </c>
      <c r="P10" s="446">
        <f>transport!P54</f>
        <v>0</v>
      </c>
      <c r="Q10" s="444">
        <f t="shared" si="0"/>
        <v>259.99818198738433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301.10353161851003</v>
      </c>
      <c r="C14" s="452"/>
      <c r="D14" s="452">
        <f>'SEAP template'!E25</f>
        <v>1917.7240147984101</v>
      </c>
      <c r="E14" s="452"/>
      <c r="F14" s="452"/>
      <c r="G14" s="452"/>
      <c r="H14" s="452"/>
      <c r="I14" s="452"/>
      <c r="J14" s="452"/>
      <c r="K14" s="452"/>
      <c r="L14" s="452"/>
      <c r="M14" s="452"/>
      <c r="N14" s="452"/>
      <c r="O14" s="452"/>
      <c r="P14" s="453"/>
      <c r="Q14" s="444">
        <f t="shared" si="0"/>
        <v>2218.8275464169201</v>
      </c>
    </row>
    <row r="15" spans="1:17" s="456" customFormat="1">
      <c r="A15" s="454" t="s">
        <v>530</v>
      </c>
      <c r="B15" s="455">
        <f ca="1">SUM(B4:B14)</f>
        <v>15096.596344765143</v>
      </c>
      <c r="C15" s="455">
        <f t="shared" ref="C15:Q15" ca="1" si="1">SUM(C4:C14)</f>
        <v>0</v>
      </c>
      <c r="D15" s="455">
        <f t="shared" ca="1" si="1"/>
        <v>37552.788175889633</v>
      </c>
      <c r="E15" s="455">
        <f t="shared" si="1"/>
        <v>427.66639321762977</v>
      </c>
      <c r="F15" s="455">
        <f t="shared" ca="1" si="1"/>
        <v>7494.0713420442289</v>
      </c>
      <c r="G15" s="455">
        <f t="shared" si="1"/>
        <v>11615.738303192449</v>
      </c>
      <c r="H15" s="455">
        <f t="shared" si="1"/>
        <v>4331.2410710345139</v>
      </c>
      <c r="I15" s="455">
        <f t="shared" si="1"/>
        <v>0</v>
      </c>
      <c r="J15" s="455">
        <f t="shared" si="1"/>
        <v>55.155756796312012</v>
      </c>
      <c r="K15" s="455">
        <f t="shared" si="1"/>
        <v>0</v>
      </c>
      <c r="L15" s="455">
        <f t="shared" ca="1" si="1"/>
        <v>0</v>
      </c>
      <c r="M15" s="455">
        <f t="shared" si="1"/>
        <v>954.81491772458935</v>
      </c>
      <c r="N15" s="455">
        <f t="shared" ca="1" si="1"/>
        <v>2515.3685895315389</v>
      </c>
      <c r="O15" s="455">
        <f t="shared" si="1"/>
        <v>40.608508714807726</v>
      </c>
      <c r="P15" s="455">
        <f t="shared" si="1"/>
        <v>31.601877923055071</v>
      </c>
      <c r="Q15" s="455">
        <f t="shared" ca="1" si="1"/>
        <v>80115.651280833874</v>
      </c>
    </row>
    <row r="17" spans="1:17">
      <c r="A17" s="457" t="s">
        <v>531</v>
      </c>
      <c r="B17" s="737">
        <f ca="1">huishoudens!B10</f>
        <v>0.21768662946688955</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1500.9912049442146</v>
      </c>
      <c r="C22" s="445">
        <f t="shared" ref="C22:C32" ca="1" si="3">C4*$C$17</f>
        <v>0</v>
      </c>
      <c r="D22" s="445">
        <f t="shared" ref="D22:D32" si="4">D4*$D$17</f>
        <v>5987.7271378681335</v>
      </c>
      <c r="E22" s="445">
        <f t="shared" ref="E22:E32" si="5">E4*$E$17</f>
        <v>83.649992294314913</v>
      </c>
      <c r="F22" s="445">
        <f t="shared" ref="F22:F32" si="6">F4*$F$17</f>
        <v>1612.385319556985</v>
      </c>
      <c r="G22" s="445">
        <f t="shared" ref="G22:G32" si="7">G4*$G$17</f>
        <v>0</v>
      </c>
      <c r="H22" s="445">
        <f t="shared" ref="H22:H32" si="8">H4*$H$17</f>
        <v>0</v>
      </c>
      <c r="I22" s="445">
        <f t="shared" ref="I22:I32" si="9">I4*$I$17</f>
        <v>0</v>
      </c>
      <c r="J22" s="445">
        <f t="shared" ref="J22:J32" si="10">J4*$J$17</f>
        <v>11.799415127235864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9196.5530697908835</v>
      </c>
    </row>
    <row r="23" spans="1:17">
      <c r="A23" s="444" t="s">
        <v>149</v>
      </c>
      <c r="B23" s="445">
        <f t="shared" ca="1" si="2"/>
        <v>1552.8098029559574</v>
      </c>
      <c r="C23" s="445">
        <f t="shared" ca="1" si="3"/>
        <v>0</v>
      </c>
      <c r="D23" s="445">
        <f t="shared" ca="1" si="4"/>
        <v>1045.9488777920185</v>
      </c>
      <c r="E23" s="445">
        <f t="shared" si="5"/>
        <v>2.583597620942053</v>
      </c>
      <c r="F23" s="445">
        <f t="shared" ca="1" si="6"/>
        <v>289.20944121373697</v>
      </c>
      <c r="G23" s="445">
        <f t="shared" si="7"/>
        <v>0</v>
      </c>
      <c r="H23" s="445">
        <f t="shared" si="8"/>
        <v>0</v>
      </c>
      <c r="I23" s="445">
        <f t="shared" si="9"/>
        <v>0</v>
      </c>
      <c r="J23" s="445">
        <f t="shared" si="10"/>
        <v>1.7345004081035867E-3</v>
      </c>
      <c r="K23" s="445">
        <f t="shared" si="11"/>
        <v>0</v>
      </c>
      <c r="L23" s="445">
        <f t="shared" ca="1" si="12"/>
        <v>0</v>
      </c>
      <c r="M23" s="445">
        <f t="shared" si="13"/>
        <v>0</v>
      </c>
      <c r="N23" s="445">
        <f t="shared" ca="1" si="14"/>
        <v>0</v>
      </c>
      <c r="O23" s="445">
        <f t="shared" si="15"/>
        <v>0</v>
      </c>
      <c r="P23" s="446">
        <f t="shared" si="16"/>
        <v>0</v>
      </c>
      <c r="Q23" s="444">
        <f t="shared" ref="Q23:Q31" ca="1" si="17">SUM(B23:P23)</f>
        <v>2890.5534540830627</v>
      </c>
    </row>
    <row r="24" spans="1:17">
      <c r="A24" s="444" t="s">
        <v>187</v>
      </c>
      <c r="B24" s="445">
        <f t="shared" ca="1" si="2"/>
        <v>64.496629951708968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64.496629951708968</v>
      </c>
    </row>
    <row r="25" spans="1:17">
      <c r="A25" s="444" t="s">
        <v>105</v>
      </c>
      <c r="B25" s="445">
        <f t="shared" ca="1" si="2"/>
        <v>18.114017190890142</v>
      </c>
      <c r="C25" s="445">
        <f t="shared" ca="1" si="3"/>
        <v>0</v>
      </c>
      <c r="D25" s="445">
        <f t="shared" si="4"/>
        <v>5.063195932051169</v>
      </c>
      <c r="E25" s="445">
        <f t="shared" si="5"/>
        <v>0.55690100766253148</v>
      </c>
      <c r="F25" s="445">
        <f t="shared" si="6"/>
        <v>70.614963389395726</v>
      </c>
      <c r="G25" s="445">
        <f t="shared" si="7"/>
        <v>0</v>
      </c>
      <c r="H25" s="445">
        <f t="shared" si="8"/>
        <v>0</v>
      </c>
      <c r="I25" s="445">
        <f t="shared" si="9"/>
        <v>0</v>
      </c>
      <c r="J25" s="445">
        <f t="shared" si="10"/>
        <v>7.4288363288679564</v>
      </c>
      <c r="K25" s="445">
        <f t="shared" si="11"/>
        <v>0</v>
      </c>
      <c r="L25" s="445">
        <f t="shared" si="12"/>
        <v>0</v>
      </c>
      <c r="M25" s="445">
        <f t="shared" si="13"/>
        <v>0</v>
      </c>
      <c r="N25" s="445">
        <f t="shared" si="14"/>
        <v>0</v>
      </c>
      <c r="O25" s="445">
        <f t="shared" si="15"/>
        <v>0</v>
      </c>
      <c r="P25" s="446">
        <f t="shared" si="16"/>
        <v>0</v>
      </c>
      <c r="Q25" s="444">
        <f t="shared" ca="1" si="17"/>
        <v>101.77791384886753</v>
      </c>
    </row>
    <row r="26" spans="1:17">
      <c r="A26" s="444" t="s">
        <v>587</v>
      </c>
      <c r="B26" s="445">
        <f t="shared" ca="1" si="2"/>
        <v>77.13753215174799</v>
      </c>
      <c r="C26" s="445">
        <f t="shared" ca="1" si="3"/>
        <v>0</v>
      </c>
      <c r="D26" s="445">
        <f t="shared" si="4"/>
        <v>146.08237148846666</v>
      </c>
      <c r="E26" s="445">
        <f t="shared" si="5"/>
        <v>2.3456400443040217</v>
      </c>
      <c r="F26" s="445">
        <f t="shared" si="6"/>
        <v>28.707324165691535</v>
      </c>
      <c r="G26" s="445">
        <f t="shared" si="7"/>
        <v>0</v>
      </c>
      <c r="H26" s="445">
        <f t="shared" si="8"/>
        <v>0</v>
      </c>
      <c r="I26" s="445">
        <f t="shared" si="9"/>
        <v>0</v>
      </c>
      <c r="J26" s="445">
        <f t="shared" si="10"/>
        <v>0.29515194938252465</v>
      </c>
      <c r="K26" s="445">
        <f t="shared" si="11"/>
        <v>0</v>
      </c>
      <c r="L26" s="445">
        <f t="shared" si="12"/>
        <v>0</v>
      </c>
      <c r="M26" s="445">
        <f t="shared" si="13"/>
        <v>0</v>
      </c>
      <c r="N26" s="445">
        <f t="shared" si="14"/>
        <v>0</v>
      </c>
      <c r="O26" s="445">
        <f t="shared" si="15"/>
        <v>0</v>
      </c>
      <c r="P26" s="446">
        <f t="shared" si="16"/>
        <v>0</v>
      </c>
      <c r="Q26" s="444">
        <f t="shared" ca="1" si="17"/>
        <v>254.56801979959275</v>
      </c>
    </row>
    <row r="27" spans="1:17" s="450" customFormat="1">
      <c r="A27" s="448" t="s">
        <v>536</v>
      </c>
      <c r="B27" s="731">
        <f t="shared" ca="1" si="2"/>
        <v>6.4901810082615192</v>
      </c>
      <c r="C27" s="449">
        <f t="shared" ca="1" si="3"/>
        <v>0</v>
      </c>
      <c r="D27" s="449">
        <f t="shared" si="4"/>
        <v>13.461377459755074</v>
      </c>
      <c r="E27" s="449">
        <f t="shared" si="5"/>
        <v>7.9441402931784353</v>
      </c>
      <c r="F27" s="449">
        <f t="shared" si="6"/>
        <v>0</v>
      </c>
      <c r="G27" s="449">
        <f t="shared" si="7"/>
        <v>3036.4772617057579</v>
      </c>
      <c r="H27" s="449">
        <f t="shared" si="8"/>
        <v>1078.4790266875939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4142.8519871545468</v>
      </c>
    </row>
    <row r="28" spans="1:17" ht="16.5" customHeight="1">
      <c r="A28" s="444" t="s">
        <v>526</v>
      </c>
      <c r="B28" s="445">
        <f t="shared" ca="1" si="2"/>
        <v>0.74159359269764258</v>
      </c>
      <c r="C28" s="445">
        <f t="shared" ca="1" si="3"/>
        <v>0</v>
      </c>
      <c r="D28" s="445">
        <f t="shared" si="4"/>
        <v>0</v>
      </c>
      <c r="E28" s="445">
        <f t="shared" si="5"/>
        <v>0</v>
      </c>
      <c r="F28" s="445">
        <f t="shared" si="6"/>
        <v>0</v>
      </c>
      <c r="G28" s="445">
        <f t="shared" si="7"/>
        <v>64.924865246626339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65.66645883932398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65.546212918610451</v>
      </c>
      <c r="C32" s="445">
        <f t="shared" ca="1" si="3"/>
        <v>0</v>
      </c>
      <c r="D32" s="445">
        <f t="shared" si="4"/>
        <v>387.38025098927886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452.92646390788934</v>
      </c>
    </row>
    <row r="33" spans="1:17" s="456" customFormat="1">
      <c r="A33" s="454" t="s">
        <v>530</v>
      </c>
      <c r="B33" s="455">
        <f ca="1">SUM(B22:B32)</f>
        <v>3286.3271747140884</v>
      </c>
      <c r="C33" s="455">
        <f t="shared" ref="C33:Q33" ca="1" si="19">SUM(C22:C32)</f>
        <v>0</v>
      </c>
      <c r="D33" s="455">
        <f t="shared" ca="1" si="19"/>
        <v>7585.6632115297025</v>
      </c>
      <c r="E33" s="455">
        <f t="shared" si="19"/>
        <v>97.080271260401958</v>
      </c>
      <c r="F33" s="455">
        <f t="shared" ca="1" si="19"/>
        <v>2000.9170483258092</v>
      </c>
      <c r="G33" s="455">
        <f t="shared" si="19"/>
        <v>3101.4021269523842</v>
      </c>
      <c r="H33" s="455">
        <f t="shared" si="19"/>
        <v>1078.4790266875939</v>
      </c>
      <c r="I33" s="455">
        <f t="shared" si="19"/>
        <v>0</v>
      </c>
      <c r="J33" s="455">
        <f t="shared" si="19"/>
        <v>19.52513790589445</v>
      </c>
      <c r="K33" s="455">
        <f t="shared" si="19"/>
        <v>0</v>
      </c>
      <c r="L33" s="455">
        <f t="shared" ca="1" si="19"/>
        <v>0</v>
      </c>
      <c r="M33" s="455">
        <f t="shared" si="19"/>
        <v>0</v>
      </c>
      <c r="N33" s="455">
        <f t="shared" ca="1" si="19"/>
        <v>0</v>
      </c>
      <c r="O33" s="455">
        <f t="shared" si="19"/>
        <v>0</v>
      </c>
      <c r="P33" s="455">
        <f t="shared" si="19"/>
        <v>0</v>
      </c>
      <c r="Q33" s="455">
        <f t="shared" ca="1" si="19"/>
        <v>17169.393997375879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226.3376356516186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226.3376356516186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0.21768662946688955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0.21768662946688955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2022-07-26T09:45:20Z</dcterms:modified>
</cp:coreProperties>
</file>