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0D4346C-625D-48F9-9A7A-05A307A75FF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<sst xmlns="http://schemas.openxmlformats.org/spreadsheetml/2006/main" count="2377" uniqueCount="864">
  <si>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</si>
  <si>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</si>
  <si>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</si>
  <si>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</si>
  <si>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</si>
  <si>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</si>
  <si>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</si>
  <si>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</si>
  <si>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</si>
  <si>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</si>
  <si>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</si>
  <si>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</si>
  <si>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</si>
  <si>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</si>
  <si>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</si>
  <si>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</si>
  <si>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</si>
  <si>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</si>
  <si>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</si>
  <si>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</si>
  <si>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</si>
  <si>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</si>
  <si>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</si>
  <si>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</si>
  <si>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</si>
  <si>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</si>
  <si>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</si>
  <si>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</si>
  <si>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</si>
  <si>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</si>
  <si>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</si>
  <si>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</si>
  <si>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</si>
  <si>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</si>
  <si>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</si>
  <si>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</si>
  <si>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</si>
  <si>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</si>
  <si>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</si>
  <si>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</si>
  <si>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</si>
  <si>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</si>
  <si>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</si>
  <si>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</si>
  <si>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</si>
  <si>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</si>
  <si>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</si>
  <si>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</si>
  <si>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</si>
  <si>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</si>
  <si>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</si>
  <si>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</si>
  <si>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</si>
  <si>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</si>
  <si>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</si>
  <si>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</si>
  <si>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</si>
  <si>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</si>
  <si>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</si>
  <si>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</si>
  <si>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</si>
  <si>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</si>
  <si>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</si>
  <si>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</si>
  <si>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</si>
  <si>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</si>
  <si>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</si>
  <si>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</si>
  <si>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</si>
  <si>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</si>
  <si>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</si>
  <si>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</si>
  <si>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</si>
  <si>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</si>
  <si>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</si>
  <si>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</si>
  <si>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</si>
  <si>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</si>
  <si>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</si>
  <si>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</si>
  <si>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</si>
  <si>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</si>
  <si>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</si>
  <si>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</si>
  <si>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</si>
  <si>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</si>
  <si>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</si>
  <si>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</si>
  <si>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</si>
  <si>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</si>
  <si>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</si>
  <si>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</si>
  <si>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</si>
  <si>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</si>
  <si>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</si>
  <si>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</si>
  <si>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</si>
  <si>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</si>
  <si>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</si>
  <si>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</si>
  <si>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</si>
  <si>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</si>
  <si>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</si>
  <si>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</si>
  <si>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</si>
  <si>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</si>
  <si>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</si>
  <si>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</si>
  <si>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</si>
  <si>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</si>
  <si>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</si>
  <si>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</si>
  <si>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</si>
  <si>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</si>
  <si>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</si>
  <si>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</si>
  <si>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</si>
  <si>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</si>
  <si>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</si>
  <si>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</si>
  <si>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</si>
  <si>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</si>
  <si>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</si>
  <si>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</si>
  <si>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</si>
  <si>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</si>
  <si>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</si>
  <si>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</si>
  <si>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</si>
  <si>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</si>
  <si>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</si>
  <si>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</si>
  <si>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</si>
  <si>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</si>
  <si>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</si>
  <si>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</si>
  <si>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</si>
  <si>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</si>
  <si>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</si>
  <si>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</si>
  <si>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</si>
  <si>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</si>
  <si>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</si>
  <si>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</si>
  <si>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</si>
  <si>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</si>
  <si>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</si>
  <si>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</si>
  <si>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</si>
  <si>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</si>
  <si>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</si>
  <si>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</si>
  <si>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</si>
  <si>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</si>
  <si>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</si>
  <si>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</si>
  <si>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</si>
  <si>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</si>
  <si>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</si>
  <si>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</si>
  <si>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</si>
  <si>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</si>
  <si>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</si>
  <si>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</si>
  <si>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</si>
  <si>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</si>
  <si>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</si>
  <si>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</si>
  <si>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</si>
  <si>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</si>
  <si>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</si>
  <si>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</si>
  <si>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</si>
  <si>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</si>
  <si>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</si>
  <si>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</si>
  <si>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</si>
  <si>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</si>
  <si>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</si>
  <si>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</si>
  <si>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</si>
  <si>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</si>
  <si>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</si>
  <si>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</si>
  <si>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</si>
  <si>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</si>
  <si>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</si>
  <si>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</si>
  <si>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</si>
  <si>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</si>
  <si>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</si>
  <si>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</si>
  <si>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</si>
  <si>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</si>
  <si>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</si>
  <si>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</si>
  <si>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</si>
  <si>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</si>
  <si>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</si>
  <si>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</si>
  <si>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</si>
  <si>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</si>
  <si>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</si>
  <si>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</si>
  <si>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</si>
  <si>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</si>
  <si>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</si>
  <si>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</si>
  <si>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</si>
  <si>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</si>
  <si>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</si>
  <si>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</si>
  <si>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</si>
  <si>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</si>
  <si>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</si>
  <si>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</si>
  <si>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</si>
  <si>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</si>
  <si>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</si>
  <si>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</si>
  <si>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</si>
  <si>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</si>
  <si>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</si>
  <si>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</si>
  <si>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</si>
  <si>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</si>
  <si>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</si>
  <si>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</si>
  <si>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</si>
  <si>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</si>
  <si>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</si>
  <si>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</si>
  <si>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</si>
  <si>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</si>
  <si>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</si>
  <si>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</si>
  <si>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</si>
  <si>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</si>
  <si>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</si>
  <si>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</si>
  <si>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</si>
  <si>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</si>
  <si>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</si>
  <si>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</si>
  <si>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</si>
  <si>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</si>
  <si>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</si>
  <si>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</si>
  <si>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</si>
  <si>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</si>
  <si>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</si>
  <si>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</si>
  <si>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</si>
  <si>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</si>
  <si>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</si>
  <si>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</si>
  <si>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</si>
  <si>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</si>
  <si>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</si>
  <si>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</si>
  <si>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</si>
  <si>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</si>
  <si>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</si>
  <si>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</si>
  <si>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</si>
  <si>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</si>
  <si>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</si>
  <si>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</si>
  <si>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</si>
  <si>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</si>
  <si>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</si>
  <si>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</si>
  <si>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</si>
  <si>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</si>
  <si>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</si>
  <si>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</si>
  <si>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</si>
  <si>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</si>
  <si>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</si>
  <si>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</si>
  <si>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</si>
  <si>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</si>
  <si>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</si>
  <si>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</si>
  <si>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</si>
  <si>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</si>
  <si>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</si>
  <si>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</si>
  <si>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</si>
  <si>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</si>
  <si>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</si>
  <si>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</si>
  <si>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</si>
  <si>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</si>
  <si>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</si>
  <si>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</si>
  <si>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</si>
  <si>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</si>
  <si>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</si>
  <si>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</si>
  <si>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</si>
  <si>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</si>
  <si>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</si>
  <si>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</si>
  <si>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</si>
  <si>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</si>
  <si>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</si>
  <si>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</si>
  <si>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</si>
  <si>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</si>
  <si>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</si>
  <si>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</si>
  <si>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</si>
  <si>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</si>
  <si>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</si>
  <si>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</si>
  <si>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</si>
  <si>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</si>
  <si>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</si>
  <si>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</si>
  <si>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</si>
  <si>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</si>
  <si>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</si>
  <si>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</si>
  <si>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</si>
  <si>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</si>
  <si>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</si>
  <si>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</si>
  <si>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</si>
  <si>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</si>
  <si>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</si>
  <si>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</si>
  <si>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</si>
  <si>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</si>
  <si>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</si>
  <si>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</si>
  <si>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</si>
  <si>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</si>
  <si>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</si>
  <si>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</si>
  <si>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</si>
  <si>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</si>
  <si>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</si>
  <si>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</si>
  <si>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</si>
  <si>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</si>
  <si>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</si>
  <si>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</si>
  <si>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</si>
  <si>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</si>
  <si>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</si>
  <si>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</si>
  <si>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</si>
  <si>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</si>
  <si>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</si>
  <si>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</si>
  <si>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</si>
  <si>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</si>
  <si>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</si>
  <si>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</si>
  <si>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</si>
  <si>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</si>
  <si>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</si>
  <si>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</si>
  <si>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</si>
  <si>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</si>
  <si>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</si>
  <si>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</si>
  <si>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</si>
  <si>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</si>
  <si>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</si>
  <si>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</si>
  <si>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</si>
  <si>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</si>
  <si>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</si>
  <si>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</si>
  <si>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</si>
  <si>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</si>
  <si>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</si>
  <si>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</si>
  <si>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</si>
  <si>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</si>
  <si>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</si>
  <si>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</si>
  <si>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</si>
  <si>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</si>
  <si>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</si>
  <si>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</si>
  <si>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</si>
  <si>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</si>
  <si>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</si>
  <si>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</si>
  <si>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</si>
  <si>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</si>
  <si>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</si>
  <si>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</si>
  <si>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</si>
  <si>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</si>
  <si>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</si>
  <si>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</si>
  <si>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</si>
  <si>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</si>
  <si>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</si>
  <si>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</si>
  <si>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</si>
  <si>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</si>
  <si>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</si>
  <si>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</si>
  <si>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</si>
  <si>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</si>
  <si>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</si>
  <si>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</si>
  <si>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</si>
  <si>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</si>
  <si>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</si>
  <si>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</si>
  <si>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</si>
  <si>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</si>
  <si>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</si>
  <si>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</si>
  <si>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</si>
  <si>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</si>
  <si>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</si>
  <si>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</si>
  <si>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</si>
  <si>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</si>
  <si>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</si>
  <si>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</si>
  <si>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</si>
  <si>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</si>
  <si>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</si>
  <si>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</si>
  <si>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</si>
  <si>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</si>
  <si>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</si>
  <si>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</si>
  <si>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</si>
  <si>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</si>
  <si>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</si>
  <si>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</si>
  <si>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</si>
  <si>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</si>
  <si>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</si>
  <si>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</si>
  <si>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</si>
  <si>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</si>
  <si>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</si>
  <si>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</si>
  <si>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</si>
  <si>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</si>
  <si>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</si>
  <si>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</si>
  <si>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</si>
  <si>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</si>
  <si>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</si>
  <si>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</si>
  <si>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</si>
  <si>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</si>
  <si>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</si>
  <si>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</si>
  <si>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</si>
  <si>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</si>
  <si>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</si>
  <si>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</si>
  <si>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</si>
  <si>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</si>
  <si>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</si>
  <si>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</si>
  <si>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</si>
  <si>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</si>
  <si>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</si>
  <si>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</si>
  <si>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</si>
  <si>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</si>
  <si>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</si>
  <si>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</si>
  <si>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</si>
  <si>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</si>
  <si>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</si>
  <si>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</si>
  <si>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</si>
  <si>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</si>
  <si>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</si>
  <si>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</si>
  <si>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</si>
  <si>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</si>
  <si>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</si>
  <si>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</si>
  <si>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</si>
  <si>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</si>
  <si>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</si>
  <si>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</si>
  <si>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</si>
  <si>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</si>
  <si>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</si>
  <si>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</si>
  <si>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</si>
  <si>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</si>
  <si>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</si>
  <si>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</si>
  <si>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</si>
  <si>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</si>
  <si>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</si>
  <si>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</si>
  <si>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</si>
  <si>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</si>
  <si>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</si>
  <si>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</si>
  <si>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</si>
  <si>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</si>
  <si>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</si>
  <si>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</si>
  <si>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</si>
  <si>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</si>
  <si>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</si>
  <si>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</si>
  <si>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</si>
  <si>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</si>
  <si>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</si>
  <si>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</si>
  <si>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</si>
  <si>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</si>
  <si>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</si>
  <si>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</si>
  <si>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</si>
  <si>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</si>
  <si>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</si>
  <si>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</si>
  <si>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</si>
  <si>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</si>
  <si>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</si>
  <si>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</si>
  <si>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</si>
  <si>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</si>
  <si>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</si>
  <si>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</si>
  <si>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</si>
  <si>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</si>
  <si>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</si>
  <si>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</si>
  <si>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</si>
  <si>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</si>
  <si>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</si>
  <si>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</si>
  <si>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</si>
  <si>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</si>
  <si>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</si>
  <si>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</si>
  <si>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</si>
  <si>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</si>
  <si>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</si>
  <si>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</si>
  <si>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</si>
  <si>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</si>
  <si>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</si>
  <si>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</si>
  <si>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</si>
  <si>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</si>
  <si>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</si>
  <si>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</si>
  <si>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</si>
  <si>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</si>
  <si>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</si>
  <si>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</si>
  <si>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</si>
  <si>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</si>
  <si>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</si>
  <si>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</si>
  <si>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</si>
  <si>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</si>
  <si>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</si>
  <si>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</si>
  <si>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</si>
  <si>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</si>
  <si>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</si>
  <si>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</si>
  <si>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</si>
  <si>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</si>
  <si>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</si>
  <si>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</si>
  <si>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</si>
  <si>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</si>
  <si>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</si>
  <si>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</si>
  <si>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</si>
  <si>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</si>
  <si>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</si>
  <si>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</si>
  <si>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</si>
  <si>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</si>
  <si>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</si>
  <si>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</si>
  <si>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</si>
  <si>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</si>
  <si>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</si>
  <si>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</si>
  <si>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</si>
  <si>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</si>
  <si>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</si>
  <si>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</si>
  <si>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</si>
  <si>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</si>
  <si>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</si>
  <si>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</si>
  <si>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</si>
  <si>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</si>
  <si>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</si>
  <si>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</si>
  <si>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</si>
  <si>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</si>
  <si>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</si>
  <si>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</si>
  <si>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</si>
  <si>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</si>
  <si>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</si>
  <si>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</si>
  <si>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</si>
  <si>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</si>
  <si>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</si>
  <si>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</si>
  <si>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</si>
  <si>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</si>
  <si>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</si>
  <si>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</si>
  <si>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</si>
  <si>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</si>
  <si>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</si>
  <si>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</si>
  <si>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</si>
  <si>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</si>
  <si>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</si>
  <si>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</si>
  <si>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</si>
  <si>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</si>
  <si>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</si>
  <si>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</si>
  <si>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</si>
  <si>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</si>
  <si>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</si>
  <si>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</si>
  <si>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</si>
  <si>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</si>
  <si>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</si>
  <si>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</si>
  <si>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</si>
  <si>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</si>
  <si>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</si>
  <si>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</si>
  <si>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</si>
  <si>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</si>
  <si>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</si>
  <si>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</si>
  <si>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</si>
  <si>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</si>
  <si>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</si>
  <si>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</si>
  <si>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</si>
  <si>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</si>
  <si>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</si>
  <si>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</si>
  <si>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</si>
  <si>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</si>
  <si>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</si>
  <si>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</si>
  <si>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</si>
  <si>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</si>
  <si>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</si>
  <si>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</si>
  <si>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</si>
  <si>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</si>
  <si>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</si>
  <si>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</si>
  <si>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</si>
  <si>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</si>
  <si>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</si>
  <si>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</si>
  <si>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</si>
  <si>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</si>
  <si>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</si>
  <si>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</si>
  <si>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</si>
  <si>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</si>
  <si>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</si>
  <si>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</si>
  <si>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</si>
  <si>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</si>
  <si>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</si>
  <si>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</si>
  <si>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</si>
  <si>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</si>
  <si>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</si>
  <si>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</si>
  <si>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</si>
  <si>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</si>
  <si>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</si>
  <si>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</si>
  <si>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</si>
  <si>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</si>
  <si>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</si>
  <si>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</si>
  <si>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</si>
  <si>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</si>
  <si>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</si>
  <si>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</si>
  <si>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</si>
  <si>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</si>
  <si>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</si>
  <si>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</si>
  <si>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</si>
  <si>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</si>
  <si>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</si>
  <si>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</si>
  <si>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</si>
  <si>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</si>
  <si>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</si>
  <si>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</si>
  <si>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</si>
  <si>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</si>
  <si>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</si>
  <si>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</si>
  <si>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</si>
  <si>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</si>
  <si>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</si>
  <si>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</si>
  <si>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</si>
  <si>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</si>
  <si>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</si>
  <si>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</si>
  <si>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</si>
  <si>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</si>
  <si>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</si>
  <si>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</si>
  <si>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</si>
  <si>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</si>
  <si>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</si>
  <si>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</si>
  <si>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</si>
  <si>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</si>
  <si>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</si>
  <si>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</si>
  <si>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</si>
  <si>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</si>
  <si>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</si>
  <si>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</si>
  <si>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</si>
  <si>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</si>
  <si>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</si>
  <si>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</si>
  <si>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</si>
  <si>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</si>
  <si>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</si>
  <si>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</si>
  <si>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</si>
  <si>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</si>
  <si>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</si>
  <si>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</si>
  <si>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</si>
  <si>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</si>
  <si>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</si>
  <si>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</si>
  <si>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</si>
  <si>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</si>
  <si>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</si>
  <si>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</si>
  <si>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</si>
  <si>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</si>
  <si>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</si>
  <si>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</si>
  <si>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</si>
  <si>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</si>
  <si>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</si>
  <si>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</si>
  <si>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</si>
  <si>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</si>
  <si>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</si>
  <si>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</si>
  <si>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</si>
  <si>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</si>
  <si>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</si>
  <si>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</si>
  <si>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</si>
  <si>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</si>
  <si>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</si>
  <si>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</si>
  <si>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</si>
  <si>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</si>
  <si>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</si>
  <si>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</si>
  <si>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</si>
  <si>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</si>
  <si>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</si>
  <si>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</si>
  <si>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</si>
  <si>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</si>
  <si>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</si>
  <si>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</si>
  <si>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</si>
  <si>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</si>
  <si>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</si>
  <si>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</si>
  <si>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</si>
  <si>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</si>
  <si>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</si>
  <si>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</si>
  <si>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</si>
  <si>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</si>
  <si>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</si>
  <si>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</si>
  <si>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</si>
  <si>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</si>
  <si>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</si>
  <si>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</si>
  <si>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</si>
  <si>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</si>
  <si>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</si>
  <si>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</si>
  <si>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</si>
  <si>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</si>
  <si>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</si>
  <si>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</si>
  <si>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</si>
  <si>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</si>
  <si>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</si>
  <si>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</si>
  <si>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</si>
  <si>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</si>
  <si>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</si>
  <si>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</si>
  <si>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</si>
  <si>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</si>
  <si>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</si>
  <si>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</si>
  <si>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</si>
  <si>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</si>
  <si>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</si>
  <si>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</si>
  <si>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</si>
  <si>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</si>
  <si>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</si>
  <si>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</si>
  <si>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</si>
  <si>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</si>
  <si>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</si>
  <si>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</si>
  <si>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</si>
  <si>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</si>
  <si>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</si>
  <si>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</si>
  <si>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</si>
  <si>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</si>
  <si>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</si>
  <si>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</si>
  <si>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</si>
  <si>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</si>
  <si>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</si>
  <si>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</si>
  <si>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</si>
  <si>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23096</t>
  </si>
  <si>
    <t>ZEMST</t>
  </si>
  <si>
    <t>waterkracht</t>
  </si>
  <si>
    <t>vloeibaar gas (MWh)</t>
  </si>
  <si>
    <t>interne verbrandingsmotor</t>
  </si>
  <si>
    <t>WKK interne verbrandinsgmotor (gas)</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</si>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</sst>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AB315FC-E0B1-465F-966F-71EF4536E6B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194616.8196243823</c:v>
                </c:pt>
                <c:pt idx="1">
                  <c:v>52363.369200397021</c:v>
                </c:pt>
                <c:pt idx="2">
                  <c:v>1798.585</c:v>
                </c:pt>
                <c:pt idx="3">
                  <c:v>1818.8645719052874</c:v>
                </c:pt>
                <c:pt idx="4">
                  <c:v>3751.2800587315651</c:v>
                </c:pt>
                <c:pt idx="5">
                  <c:v>260907.35470033658</c:v>
                </c:pt>
                <c:pt idx="6">
                  <c:v>2330.3305055625428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194616.8196243823</c:v>
                </c:pt>
                <c:pt idx="1">
                  <c:v>52363.369200397021</c:v>
                </c:pt>
                <c:pt idx="2">
                  <c:v>1798.585</c:v>
                </c:pt>
                <c:pt idx="3">
                  <c:v>1818.8645719052874</c:v>
                </c:pt>
                <c:pt idx="4">
                  <c:v>3751.2800587315651</c:v>
                </c:pt>
                <c:pt idx="5">
                  <c:v>260907.35470033658</c:v>
                </c:pt>
                <c:pt idx="6">
                  <c:v>2330.3305055625428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38743.774973380787</c:v>
                </c:pt>
                <c:pt idx="1">
                  <c:v>10326.66324741714</c:v>
                </c:pt>
                <c:pt idx="2">
                  <c:v>336.93253259419606</c:v>
                </c:pt>
                <c:pt idx="3">
                  <c:v>451.2747110228546</c:v>
                </c:pt>
                <c:pt idx="4">
                  <c:v>757.05922837649939</c:v>
                </c:pt>
                <c:pt idx="5">
                  <c:v>64858.037451296172</c:v>
                </c:pt>
                <c:pt idx="6">
                  <c:v>587.63324225113399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38743.774973380787</c:v>
                </c:pt>
                <c:pt idx="1">
                  <c:v>10326.66324741714</c:v>
                </c:pt>
                <c:pt idx="2">
                  <c:v>336.93253259419606</c:v>
                </c:pt>
                <c:pt idx="3">
                  <c:v>451.2747110228546</c:v>
                </c:pt>
                <c:pt idx="4">
                  <c:v>757.05922837649939</c:v>
                </c:pt>
                <c:pt idx="5">
                  <c:v>64858.037451296172</c:v>
                </c:pt>
                <c:pt idx="6">
                  <c:v>587.63324225113399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23096</v>
      </c>
      <c r="B6" s="382"/>
      <c r="C6" s="383"/>
    </row>
    <row r="7" spans="1:7" s="380" customFormat="1" ht="15.75" customHeight="1">
      <c r="A7" s="384" t="str">
        <f>txtMunicipality</f>
        <v>ZEMST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0.18733200409999864</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0.18733200409999864</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9192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1769.78</v>
      </c>
      <c r="C14" s="324"/>
      <c r="D14" s="324"/>
      <c r="E14" s="324"/>
      <c r="F14" s="324"/>
    </row>
    <row r="15" spans="1:6">
      <c r="A15" s="1264" t="s">
        <v>177</v>
      </c>
      <c r="B15" s="1265">
        <v>3</v>
      </c>
      <c r="C15" s="324"/>
      <c r="D15" s="324"/>
      <c r="E15" s="324"/>
      <c r="F15" s="324"/>
    </row>
    <row r="16" spans="1:6">
      <c r="A16" s="1264" t="s">
        <v>6</v>
      </c>
      <c r="B16" s="1265">
        <v>194</v>
      </c>
      <c r="C16" s="324"/>
      <c r="D16" s="324"/>
      <c r="E16" s="324"/>
      <c r="F16" s="324"/>
    </row>
    <row r="17" spans="1:6">
      <c r="A17" s="1264" t="s">
        <v>7</v>
      </c>
      <c r="B17" s="1265">
        <v>301</v>
      </c>
      <c r="C17" s="324"/>
      <c r="D17" s="324"/>
      <c r="E17" s="324"/>
      <c r="F17" s="324"/>
    </row>
    <row r="18" spans="1:6">
      <c r="A18" s="1264" t="s">
        <v>8</v>
      </c>
      <c r="B18" s="1265">
        <v>388</v>
      </c>
      <c r="C18" s="324"/>
      <c r="D18" s="324"/>
      <c r="E18" s="324"/>
      <c r="F18" s="324"/>
    </row>
    <row r="19" spans="1:6">
      <c r="A19" s="1264" t="s">
        <v>9</v>
      </c>
      <c r="B19" s="1265">
        <v>408</v>
      </c>
      <c r="C19" s="324"/>
      <c r="D19" s="324"/>
      <c r="E19" s="324"/>
      <c r="F19" s="324"/>
    </row>
    <row r="20" spans="1:6">
      <c r="A20" s="1264" t="s">
        <v>10</v>
      </c>
      <c r="B20" s="1265">
        <v>342</v>
      </c>
      <c r="C20" s="324"/>
      <c r="D20" s="324"/>
      <c r="E20" s="324"/>
      <c r="F20" s="324"/>
    </row>
    <row r="21" spans="1:6">
      <c r="A21" s="1264" t="s">
        <v>11</v>
      </c>
      <c r="B21" s="1265">
        <v>0</v>
      </c>
      <c r="C21" s="324"/>
      <c r="D21" s="324"/>
      <c r="E21" s="324"/>
      <c r="F21" s="324"/>
    </row>
    <row r="22" spans="1:6">
      <c r="A22" s="1264" t="s">
        <v>12</v>
      </c>
      <c r="B22" s="1265">
        <v>93</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264</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224</v>
      </c>
      <c r="C29" s="324"/>
      <c r="D29" s="324"/>
      <c r="E29" s="324"/>
      <c r="F29" s="324"/>
    </row>
    <row r="30" spans="1:6">
      <c r="A30" s="1259" t="s">
        <v>658</v>
      </c>
      <c r="B30" s="1267">
        <v>44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18552.183751847198</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2</v>
      </c>
      <c r="D38" s="1265">
        <v>475432.11463810498</v>
      </c>
      <c r="E38" s="1265">
        <v>1</v>
      </c>
      <c r="F38" s="1265">
        <v>5142.6442265098003</v>
      </c>
    </row>
    <row r="39" spans="1:6">
      <c r="A39" s="1264" t="s">
        <v>29</v>
      </c>
      <c r="B39" s="1264" t="s">
        <v>30</v>
      </c>
      <c r="C39" s="1265">
        <v>6158</v>
      </c>
      <c r="D39" s="1265">
        <v>104751073.813587</v>
      </c>
      <c r="E39" s="1265">
        <v>9045</v>
      </c>
      <c r="F39" s="1265">
        <v>35630089.580394499</v>
      </c>
    </row>
    <row r="40" spans="1:6">
      <c r="A40" s="1264" t="s">
        <v>29</v>
      </c>
      <c r="B40" s="1264" t="s">
        <v>28</v>
      </c>
      <c r="C40" s="1265">
        <v>0</v>
      </c>
      <c r="D40" s="1265">
        <v>0</v>
      </c>
      <c r="E40" s="1265">
        <v>0</v>
      </c>
      <c r="F40" s="1265">
        <v>0</v>
      </c>
    </row>
    <row r="41" spans="1:6">
      <c r="A41" s="1264" t="s">
        <v>31</v>
      </c>
      <c r="B41" s="1264" t="s">
        <v>32</v>
      </c>
      <c r="C41" s="1265">
        <v>53</v>
      </c>
      <c r="D41" s="1265">
        <v>1048696.8083364</v>
      </c>
      <c r="E41" s="1265">
        <v>115</v>
      </c>
      <c r="F41" s="1265">
        <v>770251.96961348294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7</v>
      </c>
      <c r="D44" s="1265">
        <v>199160.98604230999</v>
      </c>
      <c r="E44" s="1265">
        <v>18</v>
      </c>
      <c r="F44" s="1265">
        <v>497582.45983869699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61375.623644344603</v>
      </c>
      <c r="E48" s="1265">
        <v>3</v>
      </c>
      <c r="F48" s="1265">
        <v>10612.920984064</v>
      </c>
    </row>
    <row r="49" spans="1:6">
      <c r="A49" s="1264" t="s">
        <v>31</v>
      </c>
      <c r="B49" s="1264" t="s">
        <v>39</v>
      </c>
      <c r="C49" s="1265">
        <v>0</v>
      </c>
      <c r="D49" s="1265">
        <v>0</v>
      </c>
      <c r="E49" s="1265">
        <v>0</v>
      </c>
      <c r="F49" s="1265">
        <v>0</v>
      </c>
    </row>
    <row r="50" spans="1:6">
      <c r="A50" s="1264" t="s">
        <v>31</v>
      </c>
      <c r="B50" s="1264" t="s">
        <v>40</v>
      </c>
      <c r="C50" s="1265">
        <v>6</v>
      </c>
      <c r="D50" s="1265">
        <v>267341.216529659</v>
      </c>
      <c r="E50" s="1265">
        <v>9</v>
      </c>
      <c r="F50" s="1265">
        <v>447128.421529543</v>
      </c>
    </row>
    <row r="51" spans="1:6">
      <c r="A51" s="1264" t="s">
        <v>41</v>
      </c>
      <c r="B51" s="1264" t="s">
        <v>42</v>
      </c>
      <c r="C51" s="1265">
        <v>6</v>
      </c>
      <c r="D51" s="1265">
        <v>221072.749016766</v>
      </c>
      <c r="E51" s="1265">
        <v>44</v>
      </c>
      <c r="F51" s="1265">
        <v>363054.76106861001</v>
      </c>
    </row>
    <row r="52" spans="1:6">
      <c r="A52" s="1264" t="s">
        <v>41</v>
      </c>
      <c r="B52" s="1264" t="s">
        <v>28</v>
      </c>
      <c r="C52" s="1265">
        <v>0</v>
      </c>
      <c r="D52" s="1265">
        <v>0</v>
      </c>
      <c r="E52" s="1265">
        <v>0</v>
      </c>
      <c r="F52" s="1265">
        <v>0</v>
      </c>
    </row>
    <row r="53" spans="1:6">
      <c r="A53" s="1264" t="s">
        <v>43</v>
      </c>
      <c r="B53" s="1264" t="s">
        <v>44</v>
      </c>
      <c r="C53" s="1265">
        <v>95</v>
      </c>
      <c r="D53" s="1265">
        <v>2280146.30485657</v>
      </c>
      <c r="E53" s="1265">
        <v>203</v>
      </c>
      <c r="F53" s="1265">
        <v>1025941.30517548</v>
      </c>
    </row>
    <row r="54" spans="1:6">
      <c r="A54" s="1264" t="s">
        <v>45</v>
      </c>
      <c r="B54" s="1264" t="s">
        <v>46</v>
      </c>
      <c r="C54" s="1265">
        <v>0</v>
      </c>
      <c r="D54" s="1265">
        <v>0</v>
      </c>
      <c r="E54" s="1265">
        <v>1</v>
      </c>
      <c r="F54" s="1265">
        <v>1798585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95</v>
      </c>
      <c r="D57" s="1265">
        <v>8351650.1354815997</v>
      </c>
      <c r="E57" s="1265">
        <v>186</v>
      </c>
      <c r="F57" s="1265">
        <v>3575754.6532249101</v>
      </c>
    </row>
    <row r="58" spans="1:6">
      <c r="A58" s="1264" t="s">
        <v>48</v>
      </c>
      <c r="B58" s="1264" t="s">
        <v>50</v>
      </c>
      <c r="C58" s="1265">
        <v>31</v>
      </c>
      <c r="D58" s="1265">
        <v>2429085.4063175502</v>
      </c>
      <c r="E58" s="1265">
        <v>45</v>
      </c>
      <c r="F58" s="1265">
        <v>989012.67185447901</v>
      </c>
    </row>
    <row r="59" spans="1:6">
      <c r="A59" s="1264" t="s">
        <v>48</v>
      </c>
      <c r="B59" s="1264" t="s">
        <v>51</v>
      </c>
      <c r="C59" s="1265">
        <v>89</v>
      </c>
      <c r="D59" s="1265">
        <v>2840015.0036301101</v>
      </c>
      <c r="E59" s="1265">
        <v>169</v>
      </c>
      <c r="F59" s="1265">
        <v>6581942.5052794004</v>
      </c>
    </row>
    <row r="60" spans="1:6">
      <c r="A60" s="1264" t="s">
        <v>48</v>
      </c>
      <c r="B60" s="1264" t="s">
        <v>52</v>
      </c>
      <c r="C60" s="1265">
        <v>68</v>
      </c>
      <c r="D60" s="1265">
        <v>3269732.64470095</v>
      </c>
      <c r="E60" s="1265">
        <v>85</v>
      </c>
      <c r="F60" s="1265">
        <v>2084618.7228806401</v>
      </c>
    </row>
    <row r="61" spans="1:6">
      <c r="A61" s="1264" t="s">
        <v>48</v>
      </c>
      <c r="B61" s="1264" t="s">
        <v>53</v>
      </c>
      <c r="C61" s="1265">
        <v>147</v>
      </c>
      <c r="D61" s="1265">
        <v>7432454.1013023099</v>
      </c>
      <c r="E61" s="1265">
        <v>305</v>
      </c>
      <c r="F61" s="1265">
        <v>8209895.0073615797</v>
      </c>
    </row>
    <row r="62" spans="1:6">
      <c r="A62" s="1264" t="s">
        <v>48</v>
      </c>
      <c r="B62" s="1264" t="s">
        <v>54</v>
      </c>
      <c r="C62" s="1265">
        <v>7</v>
      </c>
      <c r="D62" s="1265">
        <v>577269.22452160204</v>
      </c>
      <c r="E62" s="1265">
        <v>7</v>
      </c>
      <c r="F62" s="1265">
        <v>113096.133100812</v>
      </c>
    </row>
    <row r="63" spans="1:6">
      <c r="A63" s="1264" t="s">
        <v>48</v>
      </c>
      <c r="B63" s="1264" t="s">
        <v>28</v>
      </c>
      <c r="C63" s="1265">
        <v>2</v>
      </c>
      <c r="D63" s="1265">
        <v>2289350.06156913</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29293.639813248999</v>
      </c>
      <c r="E65" s="1265">
        <v>0</v>
      </c>
      <c r="F65" s="1265">
        <v>0</v>
      </c>
    </row>
    <row r="66" spans="1:6">
      <c r="A66" s="1264" t="s">
        <v>55</v>
      </c>
      <c r="B66" s="1264" t="s">
        <v>57</v>
      </c>
      <c r="C66" s="1265">
        <v>0</v>
      </c>
      <c r="D66" s="1265">
        <v>0</v>
      </c>
      <c r="E66" s="1265">
        <v>13</v>
      </c>
      <c r="F66" s="1265">
        <v>400674.46631511202</v>
      </c>
    </row>
    <row r="67" spans="1:6">
      <c r="A67" s="1264" t="s">
        <v>55</v>
      </c>
      <c r="B67" s="1264" t="s">
        <v>58</v>
      </c>
      <c r="C67" s="1265">
        <v>0</v>
      </c>
      <c r="D67" s="1265">
        <v>0</v>
      </c>
      <c r="E67" s="1265">
        <v>0</v>
      </c>
      <c r="F67" s="1265">
        <v>0</v>
      </c>
    </row>
    <row r="68" spans="1:6">
      <c r="A68" s="1259" t="s">
        <v>55</v>
      </c>
      <c r="B68" s="1259" t="s">
        <v>59</v>
      </c>
      <c r="C68" s="1267">
        <v>8</v>
      </c>
      <c r="D68" s="1267">
        <v>258681.65991756</v>
      </c>
      <c r="E68" s="1267">
        <v>23</v>
      </c>
      <c r="F68" s="1267">
        <v>431028.35276822798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75107719</v>
      </c>
      <c r="E73" s="443"/>
      <c r="F73" s="324"/>
    </row>
    <row r="74" spans="1:6">
      <c r="A74" s="1264" t="s">
        <v>63</v>
      </c>
      <c r="B74" s="1264" t="s">
        <v>608</v>
      </c>
      <c r="C74" s="1277" t="s">
        <v>610</v>
      </c>
      <c r="D74" s="1265">
        <v>5262167.23620681</v>
      </c>
      <c r="E74" s="443"/>
      <c r="F74" s="324"/>
    </row>
    <row r="75" spans="1:6">
      <c r="A75" s="1264" t="s">
        <v>64</v>
      </c>
      <c r="B75" s="1264" t="s">
        <v>607</v>
      </c>
      <c r="C75" s="1277" t="s">
        <v>611</v>
      </c>
      <c r="D75" s="1265">
        <v>24463204</v>
      </c>
      <c r="E75" s="443"/>
      <c r="F75" s="324"/>
    </row>
    <row r="76" spans="1:6">
      <c r="A76" s="1264" t="s">
        <v>64</v>
      </c>
      <c r="B76" s="1264" t="s">
        <v>608</v>
      </c>
      <c r="C76" s="1277" t="s">
        <v>612</v>
      </c>
      <c r="D76" s="1265">
        <v>1177174.23620681</v>
      </c>
      <c r="E76" s="443"/>
      <c r="F76" s="324"/>
    </row>
    <row r="77" spans="1:6">
      <c r="A77" s="1264" t="s">
        <v>65</v>
      </c>
      <c r="B77" s="1264" t="s">
        <v>607</v>
      </c>
      <c r="C77" s="1277" t="s">
        <v>613</v>
      </c>
      <c r="D77" s="1265">
        <v>172022165</v>
      </c>
      <c r="E77" s="443"/>
      <c r="F77" s="324"/>
    </row>
    <row r="78" spans="1:6">
      <c r="A78" s="1259" t="s">
        <v>65</v>
      </c>
      <c r="B78" s="1259" t="s">
        <v>608</v>
      </c>
      <c r="C78" s="1259" t="s">
        <v>614</v>
      </c>
      <c r="D78" s="1267">
        <v>21976637</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645391.52758638002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6501.5527400561987</v>
      </c>
      <c r="C91" s="324"/>
      <c r="D91" s="324"/>
      <c r="E91" s="324"/>
      <c r="F91" s="324"/>
    </row>
    <row r="92" spans="1:6">
      <c r="A92" s="1259" t="s">
        <v>68</v>
      </c>
      <c r="B92" s="1260">
        <v>4042.1511923798607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3060</v>
      </c>
      <c r="C97" s="324"/>
      <c r="D97" s="324"/>
      <c r="E97" s="324"/>
      <c r="F97" s="324"/>
    </row>
    <row r="98" spans="1:6">
      <c r="A98" s="1264" t="s">
        <v>71</v>
      </c>
      <c r="B98" s="1265">
        <v>13</v>
      </c>
      <c r="C98" s="324"/>
      <c r="D98" s="324"/>
      <c r="E98" s="324"/>
      <c r="F98" s="324"/>
    </row>
    <row r="99" spans="1:6">
      <c r="A99" s="1264" t="s">
        <v>72</v>
      </c>
      <c r="B99" s="1265">
        <v>123</v>
      </c>
      <c r="C99" s="324"/>
      <c r="D99" s="324"/>
      <c r="E99" s="324"/>
      <c r="F99" s="324"/>
    </row>
    <row r="100" spans="1:6">
      <c r="A100" s="1264" t="s">
        <v>73</v>
      </c>
      <c r="B100" s="1265">
        <v>729</v>
      </c>
      <c r="C100" s="324"/>
      <c r="D100" s="324"/>
      <c r="E100" s="324"/>
      <c r="F100" s="324"/>
    </row>
    <row r="101" spans="1:6">
      <c r="A101" s="1264" t="s">
        <v>74</v>
      </c>
      <c r="B101" s="1265">
        <v>87</v>
      </c>
      <c r="C101" s="324"/>
      <c r="D101" s="324"/>
      <c r="E101" s="324"/>
      <c r="F101" s="324"/>
    </row>
    <row r="102" spans="1:6">
      <c r="A102" s="1264" t="s">
        <v>75</v>
      </c>
      <c r="B102" s="1265">
        <v>90</v>
      </c>
      <c r="C102" s="324"/>
      <c r="D102" s="324"/>
      <c r="E102" s="324"/>
      <c r="F102" s="324"/>
    </row>
    <row r="103" spans="1:6">
      <c r="A103" s="1264" t="s">
        <v>76</v>
      </c>
      <c r="B103" s="1265">
        <v>198</v>
      </c>
      <c r="C103" s="324"/>
      <c r="D103" s="324"/>
      <c r="E103" s="324"/>
      <c r="F103" s="324"/>
    </row>
    <row r="104" spans="1:6">
      <c r="A104" s="1264" t="s">
        <v>77</v>
      </c>
      <c r="B104" s="1265">
        <v>3490</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59</v>
      </c>
      <c r="C123" s="1265">
        <v>73</v>
      </c>
      <c r="D123" s="324"/>
      <c r="E123" s="324"/>
      <c r="F123" s="324"/>
    </row>
    <row r="124" spans="1:6">
      <c r="A124" s="1264" t="s">
        <v>88</v>
      </c>
      <c r="B124" s="1265">
        <v>1</v>
      </c>
      <c r="C124" s="1265">
        <v>5</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192</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69165.397925397701</v>
      </c>
      <c r="C3" s="43" t="s">
        <v>163</v>
      </c>
      <c r="D3" s="43"/>
      <c r="E3" s="153"/>
      <c r="F3" s="43"/>
      <c r="G3" s="43"/>
      <c r="H3" s="43"/>
      <c r="I3" s="43"/>
      <c r="J3" s="43"/>
      <c r="K3" s="96"/>
    </row>
    <row r="4" spans="1:11">
      <c r="A4" s="350" t="s">
        <v>164</v>
      </c>
      <c r="B4" s="49">
        <f>IF(ISERROR('SEAP template'!B78+'SEAP template'!C78),0,'SEAP template'!B78+'SEAP template'!C78)</f>
        <v>10633.703932436059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21.388235294117649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0.18733200409999864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1798.585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1798.585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0.18733200409999864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336.93253259419606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35630.089580394502</v>
      </c>
      <c r="C5" s="17">
        <f>IF(ISERROR('Eigen informatie GS &amp; warmtenet'!B59),0,'Eigen informatie GS &amp; warmtenet'!B59)</f>
        <v>0</v>
      </c>
      <c r="D5" s="30">
        <f>(SUM(HH_hh_gas_kWh,HH_rest_gas_kWh)/1000)*0.903</f>
        <v>94590.219653669061</v>
      </c>
      <c r="E5" s="17">
        <f>B32*B41</f>
        <v>2534.0095025068463</v>
      </c>
      <c r="F5" s="17">
        <f>B36*B45</f>
        <v>41526.541712676408</v>
      </c>
      <c r="G5" s="18"/>
      <c r="H5" s="17"/>
      <c r="I5" s="17"/>
      <c r="J5" s="17">
        <f>B35*B44+C35*C44</f>
        <v>229.20569794245466</v>
      </c>
      <c r="K5" s="17"/>
      <c r="L5" s="17"/>
      <c r="M5" s="17"/>
      <c r="N5" s="17">
        <f>B34*B43+C34*C43</f>
        <v>12005.602127826136</v>
      </c>
      <c r="O5" s="17">
        <f>B52*B53*B54</f>
        <v>535.66871923449855</v>
      </c>
      <c r="P5" s="17">
        <f>B60*B61*B62/1000-B60*B61*B62/1000/B63</f>
        <v>1063.9298900761873</v>
      </c>
    </row>
    <row r="6" spans="1:16">
      <c r="A6" s="16" t="s">
        <v>573</v>
      </c>
      <c r="B6" s="739">
        <f>kWh_PV_kleiner_dan_10kW</f>
        <v>6501.5527400561987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42131.642320450701</v>
      </c>
      <c r="C8" s="21">
        <f>C5</f>
        <v>0</v>
      </c>
      <c r="D8" s="21">
        <f>D5</f>
        <v>94590.219653669061</v>
      </c>
      <c r="E8" s="21">
        <f>E5</f>
        <v>2534.0095025068463</v>
      </c>
      <c r="F8" s="21">
        <f>F5</f>
        <v>41526.541712676408</v>
      </c>
      <c r="G8" s="21"/>
      <c r="H8" s="21"/>
      <c r="I8" s="21"/>
      <c r="J8" s="21">
        <f>J5</f>
        <v>229.20569794245466</v>
      </c>
      <c r="K8" s="21"/>
      <c r="L8" s="21">
        <f>L5</f>
        <v>0</v>
      </c>
      <c r="M8" s="21">
        <f>M5</f>
        <v>0</v>
      </c>
      <c r="N8" s="21">
        <f>N5</f>
        <v>12005.602127826136</v>
      </c>
      <c r="O8" s="21">
        <f>O5</f>
        <v>535.66871923449855</v>
      </c>
      <c r="P8" s="21">
        <f>P5</f>
        <v>1063.9298900761873</v>
      </c>
    </row>
    <row r="9" spans="1:16">
      <c r="B9" s="19"/>
      <c r="C9" s="19"/>
      <c r="D9" s="253"/>
      <c r="E9" s="19"/>
      <c r="F9" s="19"/>
      <c r="G9" s="19"/>
      <c r="H9" s="19"/>
      <c r="I9" s="19"/>
      <c r="J9" s="19"/>
      <c r="K9" s="19"/>
      <c r="L9" s="19"/>
      <c r="M9" s="19"/>
      <c r="N9" s="19"/>
      <c r="O9" s="19"/>
      <c r="P9" s="19"/>
    </row>
    <row r="10" spans="1:16">
      <c r="A10" s="24" t="s">
        <v>207</v>
      </c>
      <c r="B10" s="25">
        <f ca="1">'EF ele_warmte'!B12</f>
        <v>0.18733200409999864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7892.604991914347</v>
      </c>
      <c r="C12" s="23">
        <f ca="1">C10*C8</f>
        <v>0</v>
      </c>
      <c r="D12" s="23">
        <f>D8*D10</f>
        <v>19107.224370041153</v>
      </c>
      <c r="E12" s="23">
        <f>E10*E8</f>
        <v>575.22015706905415</v>
      </c>
      <c r="F12" s="23">
        <f>F10*F8</f>
        <v>11087.586637284601</v>
      </c>
      <c r="G12" s="23"/>
      <c r="H12" s="23"/>
      <c r="I12" s="23"/>
      <c r="J12" s="23">
        <f>J10*J8</f>
        <v>81.138817071628949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9192</v>
      </c>
      <c r="C26" s="36"/>
      <c r="D26" s="224"/>
    </row>
    <row r="27" spans="1:5" s="15" customFormat="1">
      <c r="A27" s="226" t="s">
        <v>784</v>
      </c>
      <c r="B27" s="37">
        <f>SUM(HH_hh_gas_aantal,HH_rest_gas_aantal)</f>
        <v>6158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5850.1</v>
      </c>
      <c r="C31" s="34" t="s">
        <v>104</v>
      </c>
      <c r="D31" s="170"/>
    </row>
    <row r="32" spans="1:5">
      <c r="A32" s="167" t="s">
        <v>72</v>
      </c>
      <c r="B32" s="33">
        <f>IF((B21*($B$26-($B$27-0.05*$B$27)-$B$60))&lt;0,0,B21*($B$26-($B$27-0.05*$B$27)-$B$60))</f>
        <v>49.990759947654155</v>
      </c>
      <c r="C32" s="34" t="s">
        <v>104</v>
      </c>
      <c r="D32" s="170"/>
    </row>
    <row r="33" spans="1:6">
      <c r="A33" s="167" t="s">
        <v>73</v>
      </c>
      <c r="B33" s="33">
        <f>IF((B22*($B$26-($B$27-0.05*$B$27)-$B$60))&lt;0,0,B22*($B$26-($B$27-0.05*$B$27)-$B$60))</f>
        <v>811.75093376312884</v>
      </c>
      <c r="C33" s="34" t="s">
        <v>104</v>
      </c>
      <c r="D33" s="170"/>
    </row>
    <row r="34" spans="1:6">
      <c r="A34" s="167" t="s">
        <v>74</v>
      </c>
      <c r="B34" s="33">
        <f>IF((B24*($B$26-($B$27-0.05*$B$27)-$B$60))&lt;0,0,B24*($B$26-($B$27-0.05*$B$27)-$B$60))</f>
        <v>354.94562195114082</v>
      </c>
      <c r="C34" s="33">
        <f>B26*C24</f>
        <v>1544.2553732213119</v>
      </c>
      <c r="D34" s="229"/>
    </row>
    <row r="35" spans="1:6">
      <c r="A35" s="167" t="s">
        <v>76</v>
      </c>
      <c r="B35" s="33">
        <f>IF((B19*($B$26-($B$27-0.05*$B$27)-$B$60))&lt;0,0,B19*($B$26-($B$27-0.05*$B$27)-$B$60))</f>
        <v>21.730864168011394</v>
      </c>
      <c r="C35" s="33">
        <f>B35/2</f>
        <v>10.865432084005697</v>
      </c>
      <c r="D35" s="229"/>
    </row>
    <row r="36" spans="1:6">
      <c r="A36" s="167" t="s">
        <v>77</v>
      </c>
      <c r="B36" s="33">
        <f>IF((B18*($B$26-($B$27-0.05*$B$27)-$B$60))&lt;0,0,B18*($B$26-($B$27-0.05*$B$27)-$B$60))</f>
        <v>2002.4818201700637</v>
      </c>
      <c r="C36" s="34" t="s">
        <v>104</v>
      </c>
      <c r="D36" s="170"/>
    </row>
    <row r="37" spans="1:6">
      <c r="A37" s="167" t="s">
        <v>78</v>
      </c>
      <c r="B37" s="33">
        <f>B60</f>
        <v>101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270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21554.319693701818</v>
      </c>
      <c r="C5" s="17">
        <f>IF(ISERROR('Eigen informatie GS &amp; warmtenet'!B60),0,'Eigen informatie GS &amp; warmtenet'!B60)</f>
        <v>0</v>
      </c>
      <c r="D5" s="30">
        <f>SUM(D6:D12)</f>
        <v>24552.169589503501</v>
      </c>
      <c r="E5" s="17">
        <f>SUM(E6:E12)</f>
        <v>76.58145050157168</v>
      </c>
      <c r="F5" s="17">
        <f>SUM(F6:F12)</f>
        <v>4930.4979392622745</v>
      </c>
      <c r="G5" s="18"/>
      <c r="H5" s="17"/>
      <c r="I5" s="17"/>
      <c r="J5" s="17">
        <f>SUM(J6:J12)</f>
        <v>3.5313509702408194E-2</v>
      </c>
      <c r="K5" s="17"/>
      <c r="L5" s="17"/>
      <c r="M5" s="17"/>
      <c r="N5" s="17">
        <f>SUM(N6:N12)</f>
        <v>1230.9002434172469</v>
      </c>
      <c r="O5" s="17">
        <f>B38*B39*B40</f>
        <v>4.8972607658411542</v>
      </c>
      <c r="P5" s="17">
        <f>B46*B47*B48/1000-B46*B47*B48/1000/B49</f>
        <v>52.539138306495019</v>
      </c>
      <c r="R5" s="32"/>
    </row>
    <row r="6" spans="1:18">
      <c r="A6" s="32" t="s">
        <v>53</v>
      </c>
      <c r="B6" s="37">
        <f>B26</f>
        <v>8209.8950073615797</v>
      </c>
      <c r="C6" s="33"/>
      <c r="D6" s="37">
        <f>IF(ISERROR(TER_kantoor_gas_kWh/1000),0,TER_kantoor_gas_kWh/1000)*0.903</f>
        <v>6711.5060534759859</v>
      </c>
      <c r="E6" s="33">
        <f>$C$26*'E Balans VL '!I12/100/3.6*1000000</f>
        <v>1.9967045716892435</v>
      </c>
      <c r="F6" s="33">
        <f>$C$26*('E Balans VL '!L12+'E Balans VL '!N12)/100/3.6*1000000</f>
        <v>786.14943313808578</v>
      </c>
      <c r="G6" s="34"/>
      <c r="H6" s="33"/>
      <c r="I6" s="33"/>
      <c r="J6" s="33">
        <f>$C$26*('E Balans VL '!D12+'E Balans VL '!E12)/100/3.6*1000000</f>
        <v>0</v>
      </c>
      <c r="K6" s="33"/>
      <c r="L6" s="33"/>
      <c r="M6" s="33"/>
      <c r="N6" s="33">
        <f>$C$26*'E Balans VL '!Y12/100/3.6*1000000</f>
        <v>4.1679503603604697</v>
      </c>
      <c r="O6" s="33"/>
      <c r="P6" s="33"/>
      <c r="R6" s="32"/>
    </row>
    <row r="7" spans="1:18">
      <c r="A7" s="32" t="s">
        <v>52</v>
      </c>
      <c r="B7" s="37">
        <f t="shared" ref="B7:B12" si="0">B27</f>
        <v>2084.6187228806402</v>
      </c>
      <c r="C7" s="33"/>
      <c r="D7" s="37">
        <f>IF(ISERROR(TER_horeca_gas_kWh/1000),0,TER_horeca_gas_kWh/1000)*0.903</f>
        <v>2952.5685781649581</v>
      </c>
      <c r="E7" s="33">
        <f>$C$27*'E Balans VL '!I9/100/3.6*1000000</f>
        <v>0</v>
      </c>
      <c r="F7" s="33">
        <f>$C$27*('E Balans VL '!L9+'E Balans VL '!N9)/100/3.6*1000000</f>
        <v>170.97852866035697</v>
      </c>
      <c r="G7" s="34"/>
      <c r="H7" s="33"/>
      <c r="I7" s="33"/>
      <c r="J7" s="33">
        <f>$C$27*('E Balans VL '!D9+'E Balans VL '!E9)/100/3.6*1000000</f>
        <v>0</v>
      </c>
      <c r="K7" s="33"/>
      <c r="L7" s="33"/>
      <c r="M7" s="33"/>
      <c r="N7" s="33">
        <f>$C$27*'E Balans VL '!Y9/100/3.6*1000000</f>
        <v>13.69136271231554</v>
      </c>
      <c r="O7" s="33"/>
      <c r="P7" s="33"/>
      <c r="R7" s="32"/>
    </row>
    <row r="8" spans="1:18">
      <c r="A8" s="6" t="s">
        <v>51</v>
      </c>
      <c r="B8" s="37">
        <f t="shared" si="0"/>
        <v>6581.9425052794004</v>
      </c>
      <c r="C8" s="33"/>
      <c r="D8" s="37">
        <f>IF(ISERROR(TER_handel_gas_kWh/1000),0,TER_handel_gas_kWh/1000)*0.903</f>
        <v>2564.5335482779897</v>
      </c>
      <c r="E8" s="33">
        <f>$C$28*'E Balans VL '!I13/100/3.6*1000000</f>
        <v>23.267507735574988</v>
      </c>
      <c r="F8" s="33">
        <f>$C$28*('E Balans VL '!L13+'E Balans VL '!N13)/100/3.6*1000000</f>
        <v>606.05610681870462</v>
      </c>
      <c r="G8" s="34"/>
      <c r="H8" s="33"/>
      <c r="I8" s="33"/>
      <c r="J8" s="33">
        <f>$C$28*('E Balans VL '!D13+'E Balans VL '!E13)/100/3.6*1000000</f>
        <v>0</v>
      </c>
      <c r="K8" s="33"/>
      <c r="L8" s="33"/>
      <c r="M8" s="33"/>
      <c r="N8" s="33">
        <f>$C$28*'E Balans VL '!Y13/100/3.6*1000000</f>
        <v>2.3836962121825804</v>
      </c>
      <c r="O8" s="33"/>
      <c r="P8" s="33"/>
      <c r="R8" s="32"/>
    </row>
    <row r="9" spans="1:18">
      <c r="A9" s="32" t="s">
        <v>50</v>
      </c>
      <c r="B9" s="37">
        <f t="shared" si="0"/>
        <v>989.01267185447898</v>
      </c>
      <c r="C9" s="33"/>
      <c r="D9" s="37">
        <f>IF(ISERROR(TER_gezond_gas_kWh/1000),0,TER_gezond_gas_kWh/1000)*0.903</f>
        <v>2193.464121904748</v>
      </c>
      <c r="E9" s="33">
        <f>$C$29*'E Balans VL '!I10/100/3.6*1000000</f>
        <v>0</v>
      </c>
      <c r="F9" s="33">
        <f>$C$29*('E Balans VL '!L10+'E Balans VL '!N10)/100/3.6*1000000</f>
        <v>121.49616895417584</v>
      </c>
      <c r="G9" s="34"/>
      <c r="H9" s="33"/>
      <c r="I9" s="33"/>
      <c r="J9" s="33">
        <f>$C$29*('E Balans VL '!D10+'E Balans VL '!E10)/100/3.6*1000000</f>
        <v>0</v>
      </c>
      <c r="K9" s="33"/>
      <c r="L9" s="33"/>
      <c r="M9" s="33"/>
      <c r="N9" s="33">
        <f>$C$29*'E Balans VL '!Y10/100/3.6*1000000</f>
        <v>7.2932792566642002</v>
      </c>
      <c r="O9" s="33"/>
      <c r="P9" s="33"/>
      <c r="R9" s="32"/>
    </row>
    <row r="10" spans="1:18">
      <c r="A10" s="32" t="s">
        <v>49</v>
      </c>
      <c r="B10" s="37">
        <f t="shared" si="0"/>
        <v>3575.7546532249103</v>
      </c>
      <c r="C10" s="33"/>
      <c r="D10" s="37">
        <f>IF(ISERROR(TER_ander_gas_kWh/1000),0,TER_ander_gas_kWh/1000)*0.903</f>
        <v>7541.5400723398843</v>
      </c>
      <c r="E10" s="33">
        <f>$C$30*'E Balans VL '!I14/100/3.6*1000000</f>
        <v>51.31723819430745</v>
      </c>
      <c r="F10" s="33">
        <f>$C$30*('E Balans VL '!L14+'E Balans VL '!N14)/100/3.6*1000000</f>
        <v>3232.595416936028</v>
      </c>
      <c r="G10" s="34"/>
      <c r="H10" s="33"/>
      <c r="I10" s="33"/>
      <c r="J10" s="33">
        <f>$C$30*('E Balans VL '!D14+'E Balans VL '!E14)/100/3.6*1000000</f>
        <v>3.5313509702408194E-2</v>
      </c>
      <c r="K10" s="33"/>
      <c r="L10" s="33"/>
      <c r="M10" s="33"/>
      <c r="N10" s="33">
        <f>$C$30*'E Balans VL '!Y14/100/3.6*1000000</f>
        <v>1203.0454891518789</v>
      </c>
      <c r="O10" s="33"/>
      <c r="P10" s="33"/>
      <c r="R10" s="32"/>
    </row>
    <row r="11" spans="1:18">
      <c r="A11" s="32" t="s">
        <v>54</v>
      </c>
      <c r="B11" s="37">
        <f t="shared" si="0"/>
        <v>113.096133100812</v>
      </c>
      <c r="C11" s="33"/>
      <c r="D11" s="37">
        <f>IF(ISERROR(TER_onderwijs_gas_kWh/1000),0,TER_onderwijs_gas_kWh/1000)*0.903</f>
        <v>521.27410974300665</v>
      </c>
      <c r="E11" s="33">
        <f>$C$31*'E Balans VL '!I11/100/3.6*1000000</f>
        <v>0</v>
      </c>
      <c r="F11" s="33">
        <f>$C$31*('E Balans VL '!L11+'E Balans VL '!N11)/100/3.6*1000000</f>
        <v>13.222284754922651</v>
      </c>
      <c r="G11" s="34"/>
      <c r="H11" s="33"/>
      <c r="I11" s="33"/>
      <c r="J11" s="33">
        <f>$C$31*('E Balans VL '!D11+'E Balans VL '!E11)/100/3.6*1000000</f>
        <v>0</v>
      </c>
      <c r="K11" s="33"/>
      <c r="L11" s="33"/>
      <c r="M11" s="33"/>
      <c r="N11" s="33">
        <f>$C$31*'E Balans VL '!Y11/100/3.6*1000000</f>
        <v>0.31846572384525174</v>
      </c>
      <c r="O11" s="33"/>
      <c r="P11" s="33"/>
      <c r="R11" s="32"/>
    </row>
    <row r="12" spans="1:18">
      <c r="A12" s="32" t="s">
        <v>249</v>
      </c>
      <c r="B12" s="37">
        <f t="shared" si="0"/>
        <v>0</v>
      </c>
      <c r="C12" s="33"/>
      <c r="D12" s="37">
        <f>IF(ISERROR(TER_rest_gas_kWh/1000),0,TER_rest_gas_kWh/1000)*0.903</f>
        <v>2067.2831055969245</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90</v>
      </c>
      <c r="C13" s="242">
        <f ca="1">'lokale energieproductie'!O38+'lokale energieproductie'!O31</f>
        <v>128.57142857142858</v>
      </c>
      <c r="D13" s="302">
        <f ca="1">('lokale energieproductie'!P31+'lokale energieproductie'!P38)*(-1)</f>
        <v>-257.14285714285717</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21644.319693701818</v>
      </c>
      <c r="C16" s="21">
        <f t="shared" ca="1" si="1"/>
        <v>128.57142857142858</v>
      </c>
      <c r="D16" s="21">
        <f t="shared" ca="1" si="1"/>
        <v>24295.026732360642</v>
      </c>
      <c r="E16" s="21">
        <f t="shared" si="1"/>
        <v>76.58145050157168</v>
      </c>
      <c r="F16" s="21">
        <f t="shared" ca="1" si="1"/>
        <v>4930.4979392622745</v>
      </c>
      <c r="G16" s="21">
        <f t="shared" si="1"/>
        <v>0</v>
      </c>
      <c r="H16" s="21">
        <f t="shared" si="1"/>
        <v>0</v>
      </c>
      <c r="I16" s="21">
        <f t="shared" si="1"/>
        <v>0</v>
      </c>
      <c r="J16" s="21">
        <f t="shared" si="1"/>
        <v>3.5313509702408194E-2</v>
      </c>
      <c r="K16" s="21">
        <f t="shared" si="1"/>
        <v>0</v>
      </c>
      <c r="L16" s="21">
        <f t="shared" ca="1" si="1"/>
        <v>0</v>
      </c>
      <c r="M16" s="21">
        <f t="shared" si="1"/>
        <v>0</v>
      </c>
      <c r="N16" s="21">
        <f t="shared" ca="1" si="1"/>
        <v>1230.9002434172469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0.18733200409999864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4054.6737856022305</v>
      </c>
      <c r="C20" s="23">
        <f t="shared" ref="C20:P20" ca="1" si="2">C16*C18</f>
        <v>30.554621848739504</v>
      </c>
      <c r="D20" s="23">
        <f t="shared" ca="1" si="2"/>
        <v>4907.5953999368503</v>
      </c>
      <c r="E20" s="23">
        <f t="shared" si="2"/>
        <v>17.383989263856773</v>
      </c>
      <c r="F20" s="23">
        <f t="shared" ca="1" si="2"/>
        <v>1316.4429497830274</v>
      </c>
      <c r="G20" s="23">
        <f t="shared" si="2"/>
        <v>0</v>
      </c>
      <c r="H20" s="23">
        <f t="shared" si="2"/>
        <v>0</v>
      </c>
      <c r="I20" s="23">
        <f t="shared" si="2"/>
        <v>0</v>
      </c>
      <c r="J20" s="23">
        <f t="shared" si="2"/>
        <v>1.2500982434652501E-2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8209.8950073615797</v>
      </c>
      <c r="C26" s="39">
        <f>IF(ISERROR(B26*3.6/1000000/'E Balans VL '!Z12*100),0,B26*3.6/1000000/'E Balans VL '!Z12*100)</f>
        <v>0.23141576207091744</v>
      </c>
      <c r="D26" s="232" t="s">
        <v>660</v>
      </c>
      <c r="F26" s="6"/>
    </row>
    <row r="27" spans="1:18">
      <c r="A27" s="227" t="s">
        <v>52</v>
      </c>
      <c r="B27" s="33">
        <f>IF(ISERROR(TER_horeca_ele_kWh/1000),0,TER_horeca_ele_kWh/1000)</f>
        <v>2084.6187228806402</v>
      </c>
      <c r="C27" s="39">
        <f>IF(ISERROR(B27*3.6/1000000/'E Balans VL '!Z9*100),0,B27*3.6/1000000/'E Balans VL '!Z9*100)</f>
        <v>0.15454886943344059</v>
      </c>
      <c r="D27" s="232" t="s">
        <v>660</v>
      </c>
      <c r="F27" s="6"/>
    </row>
    <row r="28" spans="1:18">
      <c r="A28" s="167" t="s">
        <v>51</v>
      </c>
      <c r="B28" s="33">
        <f>IF(ISERROR(TER_handel_ele_kWh/1000),0,TER_handel_ele_kWh/1000)</f>
        <v>6581.9425052794004</v>
      </c>
      <c r="C28" s="39">
        <f>IF(ISERROR(B28*3.6/1000000/'E Balans VL '!Z13*100),0,B28*3.6/1000000/'E Balans VL '!Z13*100)</f>
        <v>0.19717934830559089</v>
      </c>
      <c r="D28" s="232" t="s">
        <v>660</v>
      </c>
      <c r="F28" s="6"/>
    </row>
    <row r="29" spans="1:18">
      <c r="A29" s="227" t="s">
        <v>50</v>
      </c>
      <c r="B29" s="33">
        <f>IF(ISERROR(TER_gezond_ele_kWh/1000),0,TER_gezond_ele_kWh/1000)</f>
        <v>989.01267185447898</v>
      </c>
      <c r="C29" s="39">
        <f>IF(ISERROR(B29*3.6/1000000/'E Balans VL '!Z10*100),0,B29*3.6/1000000/'E Balans VL '!Z10*100)</f>
        <v>9.7793960634620258E-2</v>
      </c>
      <c r="D29" s="232" t="s">
        <v>660</v>
      </c>
      <c r="F29" s="6"/>
    </row>
    <row r="30" spans="1:18">
      <c r="A30" s="227" t="s">
        <v>49</v>
      </c>
      <c r="B30" s="33">
        <f>IF(ISERROR(TER_ander_ele_kWh/1000),0,TER_ander_ele_kWh/1000)</f>
        <v>3575.7546532249103</v>
      </c>
      <c r="C30" s="39">
        <f>IF(ISERROR(B30*3.6/1000000/'E Balans VL '!Z14*100),0,B30*3.6/1000000/'E Balans VL '!Z14*100)</f>
        <v>0.1446287086788049</v>
      </c>
      <c r="D30" s="232" t="s">
        <v>660</v>
      </c>
      <c r="F30" s="6"/>
    </row>
    <row r="31" spans="1:18">
      <c r="A31" s="227" t="s">
        <v>54</v>
      </c>
      <c r="B31" s="33">
        <f>IF(ISERROR(TER_onderwijs_ele_kWh/1000),0,TER_onderwijs_ele_kWh/1000)</f>
        <v>113.096133100812</v>
      </c>
      <c r="C31" s="39">
        <f>IF(ISERROR(B31*3.6/1000000/'E Balans VL '!Z11*100),0,B31*3.6/1000000/'E Balans VL '!Z11*100)</f>
        <v>3.1072453981011574E-2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1725.5757719657868</v>
      </c>
      <c r="C5" s="17">
        <f>IF(ISERROR('Eigen informatie GS &amp; warmtenet'!B61),0,'Eigen informatie GS &amp; warmtenet'!B61)</f>
        <v>0</v>
      </c>
      <c r="D5" s="30">
        <f>SUM(D6:D15)</f>
        <v>1423.6468950011003</v>
      </c>
      <c r="E5" s="17">
        <f>SUM(E6:E15)</f>
        <v>7.0778668248489485</v>
      </c>
      <c r="F5" s="17">
        <f>SUM(F6:F15)</f>
        <v>540.9299153574774</v>
      </c>
      <c r="G5" s="18"/>
      <c r="H5" s="17"/>
      <c r="I5" s="17"/>
      <c r="J5" s="17">
        <f>SUM(J6:J15)</f>
        <v>0.54244301648808946</v>
      </c>
      <c r="K5" s="17"/>
      <c r="L5" s="17"/>
      <c r="M5" s="17"/>
      <c r="N5" s="17">
        <f>SUM(N6:N15)</f>
        <v>53.507166565863336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497.58245983869699</v>
      </c>
      <c r="C8" s="33"/>
      <c r="D8" s="37">
        <f>IF( ISERROR(IND_metaal_Gas_kWH/1000),0,IND_metaal_Gas_kWH/1000)*0.903</f>
        <v>179.84237039620592</v>
      </c>
      <c r="E8" s="33">
        <f>C30*'E Balans VL '!I18/100/3.6*1000000</f>
        <v>2.7195042715870548</v>
      </c>
      <c r="F8" s="33">
        <f>C30*'E Balans VL '!L18/100/3.6*1000000+C30*'E Balans VL '!N18/100/3.6*1000000</f>
        <v>34.058778378975411</v>
      </c>
      <c r="G8" s="34"/>
      <c r="H8" s="33"/>
      <c r="I8" s="33"/>
      <c r="J8" s="40">
        <f>C30*'E Balans VL '!D18/100/3.6*1000000+C30*'E Balans VL '!E18/100/3.6*1000000</f>
        <v>0.49587446522991524</v>
      </c>
      <c r="K8" s="33"/>
      <c r="L8" s="33"/>
      <c r="M8" s="33"/>
      <c r="N8" s="33">
        <f>C30*'E Balans VL '!Y18/100/3.6*1000000</f>
        <v>7.359484182541717</v>
      </c>
      <c r="O8" s="33"/>
      <c r="P8" s="33"/>
      <c r="R8" s="32"/>
    </row>
    <row r="9" spans="1:18">
      <c r="A9" s="6" t="s">
        <v>32</v>
      </c>
      <c r="B9" s="37">
        <f t="shared" si="0"/>
        <v>770.25196961348297</v>
      </c>
      <c r="C9" s="33"/>
      <c r="D9" s="37">
        <f>IF( ISERROR(IND_andere_gas_kWh/1000),0,IND_andere_gas_kWh/1000)*0.903</f>
        <v>946.97321792776916</v>
      </c>
      <c r="E9" s="33">
        <f>C31*'E Balans VL '!I19/100/3.6*1000000</f>
        <v>2.8986618497093137</v>
      </c>
      <c r="F9" s="33">
        <f>C31*'E Balans VL '!L19/100/3.6*1000000+C31*'E Balans VL '!N19/100/3.6*1000000</f>
        <v>495.75499715840903</v>
      </c>
      <c r="G9" s="34"/>
      <c r="H9" s="33"/>
      <c r="I9" s="33"/>
      <c r="J9" s="40">
        <f>C31*'E Balans VL '!D19/100/3.6*1000000+C31*'E Balans VL '!E19/100/3.6*1000000</f>
        <v>0</v>
      </c>
      <c r="K9" s="33"/>
      <c r="L9" s="33"/>
      <c r="M9" s="33"/>
      <c r="N9" s="33">
        <f>C31*'E Balans VL '!Y19/100/3.6*1000000</f>
        <v>27.825867808472754</v>
      </c>
      <c r="O9" s="33"/>
      <c r="P9" s="33"/>
      <c r="R9" s="32"/>
    </row>
    <row r="10" spans="1:18">
      <c r="A10" s="6" t="s">
        <v>40</v>
      </c>
      <c r="B10" s="37">
        <f t="shared" si="0"/>
        <v>447.128421529543</v>
      </c>
      <c r="C10" s="33"/>
      <c r="D10" s="37">
        <f>IF( ISERROR(IND_voed_gas_kWh/1000),0,IND_voed_gas_kWh/1000)*0.903</f>
        <v>241.40911852628207</v>
      </c>
      <c r="E10" s="33">
        <f>C32*'E Balans VL '!I20/100/3.6*1000000</f>
        <v>0.88512420052644558</v>
      </c>
      <c r="F10" s="33">
        <f>C32*'E Balans VL '!L20/100/3.6*1000000+C32*'E Balans VL '!N20/100/3.6*1000000</f>
        <v>9.4964593188419197</v>
      </c>
      <c r="G10" s="34"/>
      <c r="H10" s="33"/>
      <c r="I10" s="33"/>
      <c r="J10" s="40">
        <f>C32*'E Balans VL '!D20/100/3.6*1000000+C32*'E Balans VL '!E20/100/3.6*1000000</f>
        <v>0</v>
      </c>
      <c r="K10" s="33"/>
      <c r="L10" s="33"/>
      <c r="M10" s="33"/>
      <c r="N10" s="33">
        <f>C32*'E Balans VL '!Y20/100/3.6*1000000</f>
        <v>18.020974457820735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10.612920984063999</v>
      </c>
      <c r="C15" s="33"/>
      <c r="D15" s="37">
        <f>IF( ISERROR(IND_rest_gas_kWh/1000),0,IND_rest_gas_kWh/1000)*0.903</f>
        <v>55.422188150843176</v>
      </c>
      <c r="E15" s="33">
        <f>C37*'E Balans VL '!I15/100/3.6*1000000</f>
        <v>0.57457650302613383</v>
      </c>
      <c r="F15" s="33">
        <f>C37*'E Balans VL '!L15/100/3.6*1000000+C37*'E Balans VL '!N15/100/3.6*1000000</f>
        <v>1.6196805012509377</v>
      </c>
      <c r="G15" s="34"/>
      <c r="H15" s="33"/>
      <c r="I15" s="33"/>
      <c r="J15" s="40">
        <f>C37*'E Balans VL '!D15/100/3.6*1000000+C37*'E Balans VL '!E15/100/3.6*1000000</f>
        <v>4.6568551258174266E-2</v>
      </c>
      <c r="K15" s="33"/>
      <c r="L15" s="33"/>
      <c r="M15" s="33"/>
      <c r="N15" s="33">
        <f>C37*'E Balans VL '!Y15/100/3.6*1000000</f>
        <v>0.30084011702812996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1725.5757719657868</v>
      </c>
      <c r="C18" s="21">
        <f>C5+C16</f>
        <v>0</v>
      </c>
      <c r="D18" s="21">
        <f>MAX((D5+D16),0)</f>
        <v>1423.6468950011003</v>
      </c>
      <c r="E18" s="21">
        <f>MAX((E5+E16),0)</f>
        <v>7.0778668248489485</v>
      </c>
      <c r="F18" s="21">
        <f>MAX((F5+F16),0)</f>
        <v>540.9299153574774</v>
      </c>
      <c r="G18" s="21"/>
      <c r="H18" s="21"/>
      <c r="I18" s="21"/>
      <c r="J18" s="21">
        <f>MAX((J5+J16),0)</f>
        <v>0.54244301648808946</v>
      </c>
      <c r="K18" s="21"/>
      <c r="L18" s="21">
        <f>MAX((L5+L16),0)</f>
        <v>0</v>
      </c>
      <c r="M18" s="21"/>
      <c r="N18" s="21">
        <f>MAX((N5+N16),0)</f>
        <v>53.507166565863336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0.18733200409999864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323.25556758875308</v>
      </c>
      <c r="C22" s="23">
        <f ca="1">C18*C20</f>
        <v>0</v>
      </c>
      <c r="D22" s="23">
        <f>D18*D20</f>
        <v>287.57667279022229</v>
      </c>
      <c r="E22" s="23">
        <f>E18*E20</f>
        <v>1.6066757692407114</v>
      </c>
      <c r="F22" s="23">
        <f>F18*F20</f>
        <v>144.42828740044646</v>
      </c>
      <c r="G22" s="23"/>
      <c r="H22" s="23"/>
      <c r="I22" s="23"/>
      <c r="J22" s="23">
        <f>J18*J20</f>
        <v>0.19202482783678365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497.58245983869699</v>
      </c>
      <c r="C30" s="39">
        <f>IF(ISERROR(B30*3.6/1000000/'E Balans VL '!Z18*100),0,B30*3.6/1000000/'E Balans VL '!Z18*100)</f>
        <v>2.7762800541643696E-2</v>
      </c>
      <c r="D30" s="232" t="s">
        <v>660</v>
      </c>
    </row>
    <row r="31" spans="1:18">
      <c r="A31" s="6" t="s">
        <v>32</v>
      </c>
      <c r="B31" s="37">
        <f>IF( ISERROR(IND_ander_ele_kWh/1000),0,IND_ander_ele_kWh/1000)</f>
        <v>770.25196961348297</v>
      </c>
      <c r="C31" s="39">
        <f>IF(ISERROR(B31*3.6/1000000/'E Balans VL '!Z19*100),0,B31*3.6/1000000/'E Balans VL '!Z19*100)</f>
        <v>3.1351631968109826E-2</v>
      </c>
      <c r="D31" s="232" t="s">
        <v>660</v>
      </c>
    </row>
    <row r="32" spans="1:18">
      <c r="A32" s="167" t="s">
        <v>40</v>
      </c>
      <c r="B32" s="37">
        <f>IF( ISERROR(IND_voed_ele_kWh/1000),0,IND_voed_ele_kWh/1000)</f>
        <v>447.128421529543</v>
      </c>
      <c r="C32" s="39">
        <f>IF(ISERROR(B32*3.6/1000000/'E Balans VL '!Z20*100),0,B32*3.6/1000000/'E Balans VL '!Z20*100)</f>
        <v>1.3004659103056952E-2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10.612920984063999</v>
      </c>
      <c r="C37" s="39">
        <f>IF(ISERROR(B37*3.6/1000000/'E Balans VL '!Z15*100),0,B37*3.6/1000000/'E Balans VL '!Z15*100)</f>
        <v>8.5482208369070051E-5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363.05476106860999</v>
      </c>
      <c r="C5" s="17">
        <f>'Eigen informatie GS &amp; warmtenet'!B62</f>
        <v>0</v>
      </c>
      <c r="D5" s="30">
        <f>IF(ISERROR(SUM(LB_lb_gas_kWh,LB_rest_gas_kWh)/1000),0,SUM(LB_lb_gas_kWh,LB_rest_gas_kWh)/1000)*0.903</f>
        <v>199.6286923621397</v>
      </c>
      <c r="E5" s="17">
        <f>B17*'E Balans VL '!I25/3.6*1000000/100</f>
        <v>10.703880759250938</v>
      </c>
      <c r="F5" s="17">
        <f>B17*('E Balans VL '!L25/3.6*1000000+'E Balans VL '!N25/3.6*1000000)/100</f>
        <v>1153.9170564010119</v>
      </c>
      <c r="G5" s="18"/>
      <c r="H5" s="17"/>
      <c r="I5" s="17"/>
      <c r="J5" s="17">
        <f>('E Balans VL '!D25+'E Balans VL '!E25)/3.6*1000000*landbouw!B17/100</f>
        <v>91.560181314274928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363.05476106860999</v>
      </c>
      <c r="C8" s="21">
        <f>C5+C6</f>
        <v>0</v>
      </c>
      <c r="D8" s="21">
        <f>MAX((D5+D6),0)</f>
        <v>199.6286923621397</v>
      </c>
      <c r="E8" s="21">
        <f>MAX((E5+E6),0)</f>
        <v>10.703880759250938</v>
      </c>
      <c r="F8" s="21">
        <f>MAX((F5+F6),0)</f>
        <v>1153.9170564010119</v>
      </c>
      <c r="G8" s="21"/>
      <c r="H8" s="21"/>
      <c r="I8" s="21"/>
      <c r="J8" s="21">
        <f>MAX((J5+J6),0)</f>
        <v>91.560181314274928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0.18733200409999864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68.011775989028877</v>
      </c>
      <c r="C12" s="23">
        <f ca="1">C8*C10</f>
        <v>0</v>
      </c>
      <c r="D12" s="23">
        <f>D8*D10</f>
        <v>40.324995857152224</v>
      </c>
      <c r="E12" s="23">
        <f>E8*E10</f>
        <v>2.4297809323499631</v>
      </c>
      <c r="F12" s="23">
        <f>F8*F10</f>
        <v>308.09585405907018</v>
      </c>
      <c r="G12" s="23"/>
      <c r="H12" s="23"/>
      <c r="I12" s="23"/>
      <c r="J12" s="23">
        <f>J8*J10</f>
        <v>32.412304185253326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4.9864624034711043E-2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99.177341820735691</v>
      </c>
      <c r="C26" s="242">
        <f>B26*'GWP N2O_CH4'!B5</f>
        <v>2082.7241782354495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11.51139135413074</v>
      </c>
      <c r="C27" s="242">
        <f>B27*'GWP N2O_CH4'!B5</f>
        <v>241.73921843674555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1.4856726228763204</v>
      </c>
      <c r="C28" s="242">
        <f>B28*'GWP N2O_CH4'!B4</f>
        <v>460.55851309165934</v>
      </c>
      <c r="D28" s="50"/>
    </row>
    <row r="29" spans="1:4">
      <c r="A29" s="41" t="s">
        <v>266</v>
      </c>
      <c r="B29" s="242">
        <f>B34*'ha_N2O bodem landbouw'!B4</f>
        <v>11.488862866175234</v>
      </c>
      <c r="C29" s="242">
        <f>B29*'GWP N2O_CH4'!B4</f>
        <v>3561.5474885143226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2.6183446572323526E-3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1.604682839559244E-3</v>
      </c>
      <c r="C5" s="430" t="s">
        <v>204</v>
      </c>
      <c r="D5" s="415">
        <f>SUM(D6:D11)</f>
        <v>2.5216296919691756E-3</v>
      </c>
      <c r="E5" s="415">
        <f>SUM(E6:E11)</f>
        <v>1.569165431836022E-3</v>
      </c>
      <c r="F5" s="428" t="s">
        <v>204</v>
      </c>
      <c r="G5" s="415">
        <f>SUM(G6:G11)</f>
        <v>0.71040453111436652</v>
      </c>
      <c r="H5" s="415">
        <f>SUM(H6:H11)</f>
        <v>0.1712640434299047</v>
      </c>
      <c r="I5" s="430" t="s">
        <v>204</v>
      </c>
      <c r="J5" s="430" t="s">
        <v>204</v>
      </c>
      <c r="K5" s="430" t="s">
        <v>204</v>
      </c>
      <c r="L5" s="430" t="s">
        <v>204</v>
      </c>
      <c r="M5" s="415">
        <f>SUM(M6:M11)</f>
        <v>5.1902424413576134E-2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3.7488095821020174E-4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6.5422212947717235E-4</v>
      </c>
      <c r="E6" s="844">
        <f>vkm_GW_PW*SUMIFS(TableVerdeelsleutelVkm[LPG],TableVerdeelsleutelVkm[Voertuigtype],"Lichte voertuigen")*SUMIFS(TableECFTransport[EnergieConsumptieFactor (PJ per km)],TableECFTransport[Index],CONCATENATE($A6,"_LPG_LPG"))</f>
        <v>3.5971136362571903E-4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0.11070992051373774</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4.3194453568473373E-2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9.2358838852271748E-3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1.2180969342268163E-6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5.0413920225160752E-2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5.5251152448267758E-7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2.8383841878587696E-3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1.6173667656312892E-4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3.618342113704093E-4</v>
      </c>
      <c r="E8" s="418">
        <f>vkm_NGW_PW*SUMIFS(TableVerdeelsleutelVkm[LPG],TableVerdeelsleutelVkm[Voertuigtype],"Lichte voertuigen")*SUMIFS(TableECFTransport[EnergieConsumptieFactor (PJ per km)],TableECFTransport[Index],CONCATENATE($A8,"_LPG_LPG"))</f>
        <v>1.9001703723518277E-4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5.4043676779059337E-2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2.3517025451542602E-2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4.6775775280145232E-3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2.724946326882483E-7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1.4523252111250067E-2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1.4918799922991841E-7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8.1768158455104028E-4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1.0614874175916673E-3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1.5055733511215937E-3</v>
      </c>
      <c r="E10" s="418">
        <f>vkm_SW_PW*SUMIFS(TableVerdeelsleutelVkm[LPG],TableVerdeelsleutelVkm[Voertuigtype],"Lichte voertuigen")*SUMIFS(TableECFTransport[EnergieConsumptieFactor (PJ per km)],TableECFTransport[Index],CONCATENATE($A10,"_LPG_LPG"))</f>
        <v>1.0194370309751202E-3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0.28180649747419551</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0.10454948768436118</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2.3134087171679703E-2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5.0871956273309778E-6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0.19890726401096309</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2.3750260038298027E-6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1.1198810056244924E-2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445.74523321090112</v>
      </c>
      <c r="C14" s="21"/>
      <c r="D14" s="21">
        <f t="shared" ref="D14:M14" si="0">((D5)*10^9/3600)+D12</f>
        <v>700.45269221365993</v>
      </c>
      <c r="E14" s="21">
        <f t="shared" si="0"/>
        <v>435.87928662111722</v>
      </c>
      <c r="F14" s="21"/>
      <c r="G14" s="21">
        <f t="shared" si="0"/>
        <v>197334.59197621292</v>
      </c>
      <c r="H14" s="21">
        <f t="shared" si="0"/>
        <v>47573.34539719575</v>
      </c>
      <c r="I14" s="21"/>
      <c r="J14" s="21"/>
      <c r="K14" s="21"/>
      <c r="L14" s="21"/>
      <c r="M14" s="21">
        <f t="shared" si="0"/>
        <v>14417.34011488226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0.18733200409999864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83.502347855419387</v>
      </c>
      <c r="C18" s="23"/>
      <c r="D18" s="23">
        <f t="shared" ref="D18:M18" si="1">D14*D16</f>
        <v>141.49144382715932</v>
      </c>
      <c r="E18" s="23">
        <f t="shared" si="1"/>
        <v>98.944598062993606</v>
      </c>
      <c r="F18" s="23"/>
      <c r="G18" s="23">
        <f t="shared" si="1"/>
        <v>52688.336057648856</v>
      </c>
      <c r="H18" s="23">
        <f t="shared" si="1"/>
        <v>11845.763003901742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1.099218233678802E-4</v>
      </c>
      <c r="C50" s="313">
        <f t="shared" ref="C50:P50" si="2">SUM(C51:C52)</f>
        <v>0</v>
      </c>
      <c r="D50" s="313">
        <f t="shared" si="2"/>
        <v>0</v>
      </c>
      <c r="E50" s="313">
        <f t="shared" si="2"/>
        <v>0</v>
      </c>
      <c r="F50" s="313">
        <f t="shared" si="2"/>
        <v>0</v>
      </c>
      <c r="G50" s="313">
        <f t="shared" si="2"/>
        <v>7.8460217102556216E-3</v>
      </c>
      <c r="H50" s="313">
        <f t="shared" si="2"/>
        <v>0</v>
      </c>
      <c r="I50" s="313">
        <f t="shared" si="2"/>
        <v>0</v>
      </c>
      <c r="J50" s="313">
        <f t="shared" si="2"/>
        <v>0</v>
      </c>
      <c r="K50" s="313">
        <f t="shared" si="2"/>
        <v>0</v>
      </c>
      <c r="L50" s="313">
        <f t="shared" si="2"/>
        <v>0</v>
      </c>
      <c r="M50" s="313">
        <f t="shared" si="2"/>
        <v>4.3324628640165248E-4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1.099218233678802E-4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7.8460217102556216E-3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4.3324628640165248E-4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30.533839824411167</v>
      </c>
      <c r="C54" s="21">
        <f t="shared" ref="C54:P54" si="3">(C50)*10^9/3600</f>
        <v>0</v>
      </c>
      <c r="D54" s="21">
        <f t="shared" si="3"/>
        <v>0</v>
      </c>
      <c r="E54" s="21">
        <f t="shared" si="3"/>
        <v>0</v>
      </c>
      <c r="F54" s="21">
        <f t="shared" si="3"/>
        <v>0</v>
      </c>
      <c r="G54" s="21">
        <f t="shared" si="3"/>
        <v>2179.4504750710062</v>
      </c>
      <c r="H54" s="21">
        <f t="shared" si="3"/>
        <v>0</v>
      </c>
      <c r="I54" s="21">
        <f t="shared" si="3"/>
        <v>0</v>
      </c>
      <c r="J54" s="21">
        <f t="shared" si="3"/>
        <v>0</v>
      </c>
      <c r="K54" s="21">
        <f t="shared" si="3"/>
        <v>0</v>
      </c>
      <c r="L54" s="21">
        <f t="shared" si="3"/>
        <v>0</v>
      </c>
      <c r="M54" s="21">
        <f t="shared" si="3"/>
        <v>120.3461906671257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0.18733200409999864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5.7199654071752946</v>
      </c>
      <c r="C58" s="23">
        <f t="shared" ref="C58:P58" ca="1" si="4">C54*C56</f>
        <v>0</v>
      </c>
      <c r="D58" s="23">
        <f t="shared" si="4"/>
        <v>0</v>
      </c>
      <c r="E58" s="23">
        <f t="shared" si="4"/>
        <v>0</v>
      </c>
      <c r="F58" s="23">
        <f t="shared" si="4"/>
        <v>0</v>
      </c>
      <c r="G58" s="23">
        <f t="shared" si="4"/>
        <v>581.91327684395867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10543.703932436059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v>
      </c>
      <c r="C8" s="540">
        <f>B48</f>
        <v>105.88235294117648</v>
      </c>
      <c r="D8" s="541"/>
      <c r="E8" s="541">
        <f>E48</f>
        <v>0</v>
      </c>
      <c r="F8" s="542"/>
      <c r="G8" s="543"/>
      <c r="H8" s="541">
        <f>I48</f>
        <v>0</v>
      </c>
      <c r="I8" s="541">
        <f>G48+F48</f>
        <v>0</v>
      </c>
      <c r="J8" s="541">
        <f>H48+D48+C48</f>
        <v>0</v>
      </c>
      <c r="K8" s="541"/>
      <c r="L8" s="541"/>
      <c r="M8" s="541"/>
      <c r="N8" s="544"/>
      <c r="O8" s="545">
        <f>C8*$C$12+D8*$D$12+E8*$E$12+F8*$F$12+G8*$G$12+H8*$H$12+I8*$I$12+J8*$J$12</f>
        <v>21.388235294117649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10633.703932436059</v>
      </c>
      <c r="C10" s="555">
        <f t="shared" ref="C10:L10" si="0">SUM(C8:C9)</f>
        <v>105.88235294117648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21.388235294117649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128.57142857142858</v>
      </c>
      <c r="C17" s="571">
        <f>B49</f>
        <v>151.2605042016807</v>
      </c>
      <c r="D17" s="572"/>
      <c r="E17" s="572">
        <f>E49</f>
        <v>0</v>
      </c>
      <c r="F17" s="573"/>
      <c r="G17" s="574"/>
      <c r="H17" s="571">
        <f>I49</f>
        <v>0</v>
      </c>
      <c r="I17" s="572">
        <f>G49+F49</f>
        <v>0</v>
      </c>
      <c r="J17" s="572">
        <f>H49+D49+C49</f>
        <v>0</v>
      </c>
      <c r="K17" s="572"/>
      <c r="L17" s="572"/>
      <c r="M17" s="572"/>
      <c r="N17" s="918"/>
      <c r="O17" s="575">
        <f>C17*$C$22+E17*$E$22+H17*$H$22+I17*$I$22+J17*$J$22+D17*$D$22+F17*$F$22+G17*$G$22+K17*$K$22+L17*$L$22</f>
        <v>30.554621848739504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128.57142857142858</v>
      </c>
      <c r="C20" s="554">
        <f>SUM(C17:C19)</f>
        <v>151.2605042016807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30.554621848739504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23096</v>
      </c>
      <c r="C28" s="746">
        <v>1980</v>
      </c>
      <c r="D28" s="632"/>
      <c r="E28" s="631"/>
      <c r="F28" s="631"/>
      <c r="G28" s="631" t="s">
        <v>861</v>
      </c>
      <c r="H28" s="631" t="s">
        <v>862</v>
      </c>
      <c r="I28" s="631"/>
      <c r="J28" s="745"/>
      <c r="K28" s="745"/>
      <c r="L28" s="631" t="s">
        <v>863</v>
      </c>
      <c r="M28" s="631">
        <v>20</v>
      </c>
      <c r="N28" s="631">
        <v>90</v>
      </c>
      <c r="O28" s="631">
        <v>128.57142857142858</v>
      </c>
      <c r="P28" s="631">
        <v>257.14285714285717</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20</v>
      </c>
      <c r="N29" s="589">
        <f>SUM(N28:N28)</f>
        <v>90</v>
      </c>
      <c r="O29" s="589">
        <f>SUM(O28:O28)</f>
        <v>128.57142857142858</v>
      </c>
      <c r="P29" s="589">
        <f>SUM(P28:P28)</f>
        <v>257.14285714285717</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20</v>
      </c>
      <c r="N31" s="589">
        <f ca="1">SUMIF($AA$28:AE28,"tertiair",N28:N28)</f>
        <v>90</v>
      </c>
      <c r="O31" s="589">
        <f ca="1">SUMIF($AA$28:AF28,"tertiair",O28:O28)</f>
        <v>128.57142857142858</v>
      </c>
      <c r="P31" s="589">
        <f ca="1">SUMIF($AA$28:AG28,"tertiair",P28:P28)</f>
        <v>257.14285714285717</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105.88235294117648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151.2605042016807</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23442.904693701817</v>
      </c>
      <c r="D10" s="642">
        <f ca="1">tertiair!C16</f>
        <v>128.57142857142858</v>
      </c>
      <c r="E10" s="642">
        <f ca="1">tertiair!D16</f>
        <v>24295.026732360642</v>
      </c>
      <c r="F10" s="642">
        <f>tertiair!E16</f>
        <v>76.58145050157168</v>
      </c>
      <c r="G10" s="642">
        <f ca="1">tertiair!F16</f>
        <v>4930.4979392622745</v>
      </c>
      <c r="H10" s="642">
        <f>tertiair!G16</f>
        <v>0</v>
      </c>
      <c r="I10" s="642">
        <f>tertiair!H16</f>
        <v>0</v>
      </c>
      <c r="J10" s="642">
        <f>tertiair!I16</f>
        <v>0</v>
      </c>
      <c r="K10" s="642">
        <f>tertiair!J16</f>
        <v>3.5313509702408194E-2</v>
      </c>
      <c r="L10" s="642">
        <f>tertiair!K16</f>
        <v>0</v>
      </c>
      <c r="M10" s="642">
        <f ca="1">tertiair!L16</f>
        <v>0</v>
      </c>
      <c r="N10" s="642">
        <f>tertiair!M16</f>
        <v>0</v>
      </c>
      <c r="O10" s="642">
        <f ca="1">tertiair!N16</f>
        <v>1230.9002434172469</v>
      </c>
      <c r="P10" s="642">
        <f>tertiair!O16</f>
        <v>4.8972607658411542</v>
      </c>
      <c r="Q10" s="643">
        <f>tertiair!P16</f>
        <v>52.539138306495019</v>
      </c>
      <c r="R10" s="645">
        <f ca="1">SUM(C10:Q10)</f>
        <v>54161.95420039702</v>
      </c>
      <c r="S10" s="67"/>
    </row>
    <row r="11" spans="1:19" s="441" customFormat="1">
      <c r="A11" s="762" t="s">
        <v>214</v>
      </c>
      <c r="B11" s="767"/>
      <c r="C11" s="642">
        <f>huishoudens!B8</f>
        <v>42131.642320450701</v>
      </c>
      <c r="D11" s="642">
        <f>huishoudens!C8</f>
        <v>0</v>
      </c>
      <c r="E11" s="642">
        <f>huishoudens!D8</f>
        <v>94590.219653669061</v>
      </c>
      <c r="F11" s="642">
        <f>huishoudens!E8</f>
        <v>2534.0095025068463</v>
      </c>
      <c r="G11" s="642">
        <f>huishoudens!F8</f>
        <v>41526.541712676408</v>
      </c>
      <c r="H11" s="642">
        <f>huishoudens!G8</f>
        <v>0</v>
      </c>
      <c r="I11" s="642">
        <f>huishoudens!H8</f>
        <v>0</v>
      </c>
      <c r="J11" s="642">
        <f>huishoudens!I8</f>
        <v>0</v>
      </c>
      <c r="K11" s="642">
        <f>huishoudens!J8</f>
        <v>229.20569794245466</v>
      </c>
      <c r="L11" s="642">
        <f>huishoudens!K8</f>
        <v>0</v>
      </c>
      <c r="M11" s="642">
        <f>huishoudens!L8</f>
        <v>0</v>
      </c>
      <c r="N11" s="642">
        <f>huishoudens!M8</f>
        <v>0</v>
      </c>
      <c r="O11" s="642">
        <f>huishoudens!N8</f>
        <v>12005.602127826136</v>
      </c>
      <c r="P11" s="642">
        <f>huishoudens!O8</f>
        <v>535.66871923449855</v>
      </c>
      <c r="Q11" s="643">
        <f>huishoudens!P8</f>
        <v>1063.9298900761873</v>
      </c>
      <c r="R11" s="645">
        <f>SUM(C11:Q11)</f>
        <v>194616.8196243823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1725.5757719657868</v>
      </c>
      <c r="D13" s="642">
        <f>industrie!C18</f>
        <v>0</v>
      </c>
      <c r="E13" s="642">
        <f>industrie!D18</f>
        <v>1423.6468950011003</v>
      </c>
      <c r="F13" s="642">
        <f>industrie!E18</f>
        <v>7.0778668248489485</v>
      </c>
      <c r="G13" s="642">
        <f>industrie!F18</f>
        <v>540.9299153574774</v>
      </c>
      <c r="H13" s="642">
        <f>industrie!G18</f>
        <v>0</v>
      </c>
      <c r="I13" s="642">
        <f>industrie!H18</f>
        <v>0</v>
      </c>
      <c r="J13" s="642">
        <f>industrie!I18</f>
        <v>0</v>
      </c>
      <c r="K13" s="642">
        <f>industrie!J18</f>
        <v>0.54244301648808946</v>
      </c>
      <c r="L13" s="642">
        <f>industrie!K18</f>
        <v>0</v>
      </c>
      <c r="M13" s="642">
        <f>industrie!L18</f>
        <v>0</v>
      </c>
      <c r="N13" s="642">
        <f>industrie!M18</f>
        <v>0</v>
      </c>
      <c r="O13" s="642">
        <f>industrie!N18</f>
        <v>53.507166565863336</v>
      </c>
      <c r="P13" s="642">
        <f>industrie!O18</f>
        <v>0</v>
      </c>
      <c r="Q13" s="643">
        <f>industrie!P18</f>
        <v>0</v>
      </c>
      <c r="R13" s="645">
        <f>SUM(C13:Q13)</f>
        <v>3751.2800587315651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67300.1227861183</v>
      </c>
      <c r="D16" s="678">
        <f t="shared" ref="D16:R16" ca="1" si="0">SUM(D9:D15)</f>
        <v>128.57142857142858</v>
      </c>
      <c r="E16" s="678">
        <f t="shared" ca="1" si="0"/>
        <v>120308.8932810308</v>
      </c>
      <c r="F16" s="678">
        <f t="shared" si="0"/>
        <v>2617.6688198332672</v>
      </c>
      <c r="G16" s="678">
        <f t="shared" ca="1" si="0"/>
        <v>46997.969567296161</v>
      </c>
      <c r="H16" s="678">
        <f t="shared" si="0"/>
        <v>0</v>
      </c>
      <c r="I16" s="678">
        <f t="shared" si="0"/>
        <v>0</v>
      </c>
      <c r="J16" s="678">
        <f t="shared" si="0"/>
        <v>0</v>
      </c>
      <c r="K16" s="678">
        <f t="shared" si="0"/>
        <v>229.78345446864515</v>
      </c>
      <c r="L16" s="678">
        <f t="shared" si="0"/>
        <v>0</v>
      </c>
      <c r="M16" s="678">
        <f t="shared" ca="1" si="0"/>
        <v>0</v>
      </c>
      <c r="N16" s="678">
        <f t="shared" si="0"/>
        <v>0</v>
      </c>
      <c r="O16" s="678">
        <f t="shared" ca="1" si="0"/>
        <v>13290.009537809246</v>
      </c>
      <c r="P16" s="678">
        <f t="shared" si="0"/>
        <v>540.56598000033966</v>
      </c>
      <c r="Q16" s="678">
        <f t="shared" si="0"/>
        <v>1116.4690283826824</v>
      </c>
      <c r="R16" s="678">
        <f t="shared" ca="1" si="0"/>
        <v>252530.05388351087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30.533839824411167</v>
      </c>
      <c r="D19" s="642">
        <f>transport!C54</f>
        <v>0</v>
      </c>
      <c r="E19" s="642">
        <f>transport!D54</f>
        <v>0</v>
      </c>
      <c r="F19" s="642">
        <f>transport!E54</f>
        <v>0</v>
      </c>
      <c r="G19" s="642">
        <f>transport!F54</f>
        <v>0</v>
      </c>
      <c r="H19" s="642">
        <f>transport!G54</f>
        <v>2179.4504750710062</v>
      </c>
      <c r="I19" s="642">
        <f>transport!H54</f>
        <v>0</v>
      </c>
      <c r="J19" s="642">
        <f>transport!I54</f>
        <v>0</v>
      </c>
      <c r="K19" s="642">
        <f>transport!J54</f>
        <v>0</v>
      </c>
      <c r="L19" s="642">
        <f>transport!K54</f>
        <v>0</v>
      </c>
      <c r="M19" s="642">
        <f>transport!L54</f>
        <v>0</v>
      </c>
      <c r="N19" s="642">
        <f>transport!M54</f>
        <v>120.3461906671257</v>
      </c>
      <c r="O19" s="642">
        <f>transport!N54</f>
        <v>0</v>
      </c>
      <c r="P19" s="642">
        <f>transport!O54</f>
        <v>0</v>
      </c>
      <c r="Q19" s="643">
        <f>transport!P54</f>
        <v>0</v>
      </c>
      <c r="R19" s="645">
        <f>SUM(C19:Q19)</f>
        <v>2330.3305055625428</v>
      </c>
      <c r="S19" s="67"/>
    </row>
    <row r="20" spans="1:19" s="441" customFormat="1">
      <c r="A20" s="762" t="s">
        <v>296</v>
      </c>
      <c r="B20" s="767"/>
      <c r="C20" s="642">
        <f>transport!B14</f>
        <v>445.74523321090112</v>
      </c>
      <c r="D20" s="642">
        <f>transport!C14</f>
        <v>0</v>
      </c>
      <c r="E20" s="642">
        <f>transport!D14</f>
        <v>700.45269221365993</v>
      </c>
      <c r="F20" s="642">
        <f>transport!E14</f>
        <v>435.87928662111722</v>
      </c>
      <c r="G20" s="642">
        <f>transport!F14</f>
        <v>0</v>
      </c>
      <c r="H20" s="642">
        <f>transport!G14</f>
        <v>197334.59197621292</v>
      </c>
      <c r="I20" s="642">
        <f>transport!H14</f>
        <v>47573.34539719575</v>
      </c>
      <c r="J20" s="642">
        <f>transport!I14</f>
        <v>0</v>
      </c>
      <c r="K20" s="642">
        <f>transport!J14</f>
        <v>0</v>
      </c>
      <c r="L20" s="642">
        <f>transport!K14</f>
        <v>0</v>
      </c>
      <c r="M20" s="642">
        <f>transport!L14</f>
        <v>0</v>
      </c>
      <c r="N20" s="642">
        <f>transport!M14</f>
        <v>14417.34011488226</v>
      </c>
      <c r="O20" s="642">
        <f>transport!N14</f>
        <v>0</v>
      </c>
      <c r="P20" s="642">
        <f>transport!O14</f>
        <v>0</v>
      </c>
      <c r="Q20" s="643">
        <f>transport!P14</f>
        <v>0</v>
      </c>
      <c r="R20" s="645">
        <f>SUM(C20:Q20)</f>
        <v>260907.35470033658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476.27907303531231</v>
      </c>
      <c r="D22" s="765">
        <f t="shared" ref="D22:R22" si="1">SUM(D18:D21)</f>
        <v>0</v>
      </c>
      <c r="E22" s="765">
        <f t="shared" si="1"/>
        <v>700.45269221365993</v>
      </c>
      <c r="F22" s="765">
        <f t="shared" si="1"/>
        <v>435.87928662111722</v>
      </c>
      <c r="G22" s="765">
        <f t="shared" si="1"/>
        <v>0</v>
      </c>
      <c r="H22" s="765">
        <f t="shared" si="1"/>
        <v>199514.04245128392</v>
      </c>
      <c r="I22" s="765">
        <f t="shared" si="1"/>
        <v>47573.34539719575</v>
      </c>
      <c r="J22" s="765">
        <f t="shared" si="1"/>
        <v>0</v>
      </c>
      <c r="K22" s="765">
        <f t="shared" si="1"/>
        <v>0</v>
      </c>
      <c r="L22" s="765">
        <f t="shared" si="1"/>
        <v>0</v>
      </c>
      <c r="M22" s="765">
        <f t="shared" si="1"/>
        <v>0</v>
      </c>
      <c r="N22" s="765">
        <f t="shared" si="1"/>
        <v>14537.686305549385</v>
      </c>
      <c r="O22" s="765">
        <f t="shared" si="1"/>
        <v>0</v>
      </c>
      <c r="P22" s="765">
        <f t="shared" si="1"/>
        <v>0</v>
      </c>
      <c r="Q22" s="765">
        <f t="shared" si="1"/>
        <v>0</v>
      </c>
      <c r="R22" s="765">
        <f t="shared" si="1"/>
        <v>263237.68520589912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363.05476106860999</v>
      </c>
      <c r="D24" s="642">
        <f>+landbouw!C8</f>
        <v>0</v>
      </c>
      <c r="E24" s="642">
        <f>+landbouw!D8</f>
        <v>199.6286923621397</v>
      </c>
      <c r="F24" s="642">
        <f>+landbouw!E8</f>
        <v>10.703880759250938</v>
      </c>
      <c r="G24" s="642">
        <f>+landbouw!F8</f>
        <v>1153.9170564010119</v>
      </c>
      <c r="H24" s="642">
        <f>+landbouw!G8</f>
        <v>0</v>
      </c>
      <c r="I24" s="642">
        <f>+landbouw!H8</f>
        <v>0</v>
      </c>
      <c r="J24" s="642">
        <f>+landbouw!I8</f>
        <v>0</v>
      </c>
      <c r="K24" s="642">
        <f>+landbouw!J8</f>
        <v>91.560181314274928</v>
      </c>
      <c r="L24" s="642">
        <f>+landbouw!K8</f>
        <v>0</v>
      </c>
      <c r="M24" s="642">
        <f>+landbouw!L8</f>
        <v>0</v>
      </c>
      <c r="N24" s="642">
        <f>+landbouw!M8</f>
        <v>0</v>
      </c>
      <c r="O24" s="642">
        <f>+landbouw!N8</f>
        <v>0</v>
      </c>
      <c r="P24" s="642">
        <f>+landbouw!O8</f>
        <v>0</v>
      </c>
      <c r="Q24" s="643">
        <f>+landbouw!P8</f>
        <v>0</v>
      </c>
      <c r="R24" s="645">
        <f>SUM(C24:Q24)</f>
        <v>1818.8645719052874</v>
      </c>
      <c r="S24" s="67"/>
    </row>
    <row r="25" spans="1:19" s="441" customFormat="1" ht="15" thickBot="1">
      <c r="A25" s="784" t="s">
        <v>672</v>
      </c>
      <c r="B25" s="895"/>
      <c r="C25" s="896">
        <f>IF(Onbekend_ele_kWh="---",0,Onbekend_ele_kWh)/1000+IF(REST_rest_ele_kWh="---",0,REST_rest_ele_kWh)/1000</f>
        <v>1025.94130517548</v>
      </c>
      <c r="D25" s="896"/>
      <c r="E25" s="896">
        <f>IF(onbekend_gas_kWh="---",0,onbekend_gas_kWh)/1000+IF(REST_rest_gas_kWh="---",0,REST_rest_gas_kWh)/1000</f>
        <v>2280.1463048565702</v>
      </c>
      <c r="F25" s="896"/>
      <c r="G25" s="896"/>
      <c r="H25" s="896"/>
      <c r="I25" s="896"/>
      <c r="J25" s="896"/>
      <c r="K25" s="896"/>
      <c r="L25" s="896"/>
      <c r="M25" s="896"/>
      <c r="N25" s="896"/>
      <c r="O25" s="896"/>
      <c r="P25" s="896"/>
      <c r="Q25" s="897"/>
      <c r="R25" s="645">
        <f>SUM(C25:Q25)</f>
        <v>3306.0876100320502</v>
      </c>
      <c r="S25" s="67"/>
    </row>
    <row r="26" spans="1:19" s="441" customFormat="1" ht="15.75" thickBot="1">
      <c r="A26" s="650" t="s">
        <v>673</v>
      </c>
      <c r="B26" s="770"/>
      <c r="C26" s="765">
        <f>SUM(C24:C25)</f>
        <v>1388.9960662440899</v>
      </c>
      <c r="D26" s="765">
        <f t="shared" ref="D26:R26" si="2">SUM(D24:D25)</f>
        <v>0</v>
      </c>
      <c r="E26" s="765">
        <f t="shared" si="2"/>
        <v>2479.7749972187098</v>
      </c>
      <c r="F26" s="765">
        <f t="shared" si="2"/>
        <v>10.703880759250938</v>
      </c>
      <c r="G26" s="765">
        <f t="shared" si="2"/>
        <v>1153.9170564010119</v>
      </c>
      <c r="H26" s="765">
        <f t="shared" si="2"/>
        <v>0</v>
      </c>
      <c r="I26" s="765">
        <f t="shared" si="2"/>
        <v>0</v>
      </c>
      <c r="J26" s="765">
        <f t="shared" si="2"/>
        <v>0</v>
      </c>
      <c r="K26" s="765">
        <f t="shared" si="2"/>
        <v>91.560181314274928</v>
      </c>
      <c r="L26" s="765">
        <f t="shared" si="2"/>
        <v>0</v>
      </c>
      <c r="M26" s="765">
        <f t="shared" si="2"/>
        <v>0</v>
      </c>
      <c r="N26" s="765">
        <f t="shared" si="2"/>
        <v>0</v>
      </c>
      <c r="O26" s="765">
        <f t="shared" si="2"/>
        <v>0</v>
      </c>
      <c r="P26" s="765">
        <f t="shared" si="2"/>
        <v>0</v>
      </c>
      <c r="Q26" s="765">
        <f t="shared" si="2"/>
        <v>0</v>
      </c>
      <c r="R26" s="765">
        <f t="shared" si="2"/>
        <v>5124.9521819373376</v>
      </c>
      <c r="S26" s="67"/>
    </row>
    <row r="27" spans="1:19" s="441" customFormat="1" ht="17.25" thickTop="1" thickBot="1">
      <c r="A27" s="651" t="s">
        <v>109</v>
      </c>
      <c r="B27" s="757"/>
      <c r="C27" s="652">
        <f ca="1">C22+C16+C26</f>
        <v>69165.397925397701</v>
      </c>
      <c r="D27" s="652">
        <f t="shared" ref="D27:R27" ca="1" si="3">D22+D16+D26</f>
        <v>128.57142857142858</v>
      </c>
      <c r="E27" s="652">
        <f t="shared" ca="1" si="3"/>
        <v>123489.12097046318</v>
      </c>
      <c r="F27" s="652">
        <f t="shared" si="3"/>
        <v>3064.2519872136354</v>
      </c>
      <c r="G27" s="652">
        <f t="shared" ca="1" si="3"/>
        <v>48151.886623697173</v>
      </c>
      <c r="H27" s="652">
        <f t="shared" si="3"/>
        <v>199514.04245128392</v>
      </c>
      <c r="I27" s="652">
        <f t="shared" si="3"/>
        <v>47573.34539719575</v>
      </c>
      <c r="J27" s="652">
        <f t="shared" si="3"/>
        <v>0</v>
      </c>
      <c r="K27" s="652">
        <f t="shared" si="3"/>
        <v>321.34363578292005</v>
      </c>
      <c r="L27" s="652">
        <f t="shared" si="3"/>
        <v>0</v>
      </c>
      <c r="M27" s="652">
        <f t="shared" ca="1" si="3"/>
        <v>0</v>
      </c>
      <c r="N27" s="652">
        <f t="shared" si="3"/>
        <v>14537.686305549385</v>
      </c>
      <c r="O27" s="652">
        <f t="shared" ca="1" si="3"/>
        <v>13290.009537809246</v>
      </c>
      <c r="P27" s="652">
        <f t="shared" si="3"/>
        <v>540.56598000033966</v>
      </c>
      <c r="Q27" s="652">
        <f t="shared" si="3"/>
        <v>1116.4690283826824</v>
      </c>
      <c r="R27" s="652">
        <f t="shared" ca="1" si="3"/>
        <v>520892.69127134734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4391.6063181964264</v>
      </c>
      <c r="D40" s="642">
        <f ca="1">tertiair!C20</f>
        <v>30.554621848739504</v>
      </c>
      <c r="E40" s="642">
        <f ca="1">tertiair!D20</f>
        <v>4907.5953999368503</v>
      </c>
      <c r="F40" s="642">
        <f>tertiair!E20</f>
        <v>17.383989263856773</v>
      </c>
      <c r="G40" s="642">
        <f ca="1">tertiair!F20</f>
        <v>1316.4429497830274</v>
      </c>
      <c r="H40" s="642">
        <f>tertiair!G20</f>
        <v>0</v>
      </c>
      <c r="I40" s="642">
        <f>tertiair!H20</f>
        <v>0</v>
      </c>
      <c r="J40" s="642">
        <f>tertiair!I20</f>
        <v>0</v>
      </c>
      <c r="K40" s="642">
        <f>tertiair!J20</f>
        <v>1.2500982434652501E-2</v>
      </c>
      <c r="L40" s="642">
        <f>tertiair!K20</f>
        <v>0</v>
      </c>
      <c r="M40" s="642">
        <f ca="1">tertiair!L20</f>
        <v>0</v>
      </c>
      <c r="N40" s="642">
        <f>tertiair!M20</f>
        <v>0</v>
      </c>
      <c r="O40" s="642">
        <f ca="1">tertiair!N20</f>
        <v>0</v>
      </c>
      <c r="P40" s="642">
        <f>tertiair!O20</f>
        <v>0</v>
      </c>
      <c r="Q40" s="725">
        <f>tertiair!P20</f>
        <v>0</v>
      </c>
      <c r="R40" s="803">
        <f t="shared" ca="1" si="4"/>
        <v>10663.595780011337</v>
      </c>
    </row>
    <row r="41" spans="1:18">
      <c r="A41" s="775" t="s">
        <v>214</v>
      </c>
      <c r="B41" s="782"/>
      <c r="C41" s="642">
        <f ca="1">huishoudens!B12</f>
        <v>7892.604991914347</v>
      </c>
      <c r="D41" s="642">
        <f ca="1">huishoudens!C12</f>
        <v>0</v>
      </c>
      <c r="E41" s="642">
        <f>huishoudens!D12</f>
        <v>19107.224370041153</v>
      </c>
      <c r="F41" s="642">
        <f>huishoudens!E12</f>
        <v>575.22015706905415</v>
      </c>
      <c r="G41" s="642">
        <f>huishoudens!F12</f>
        <v>11087.586637284601</v>
      </c>
      <c r="H41" s="642">
        <f>huishoudens!G12</f>
        <v>0</v>
      </c>
      <c r="I41" s="642">
        <f>huishoudens!H12</f>
        <v>0</v>
      </c>
      <c r="J41" s="642">
        <f>huishoudens!I12</f>
        <v>0</v>
      </c>
      <c r="K41" s="642">
        <f>huishoudens!J12</f>
        <v>81.138817071628949</v>
      </c>
      <c r="L41" s="642">
        <f>huishoudens!K12</f>
        <v>0</v>
      </c>
      <c r="M41" s="642">
        <f>huishoudens!L12</f>
        <v>0</v>
      </c>
      <c r="N41" s="642">
        <f>huishoudens!M12</f>
        <v>0</v>
      </c>
      <c r="O41" s="642">
        <f>huishoudens!N12</f>
        <v>0</v>
      </c>
      <c r="P41" s="642">
        <f>huishoudens!O12</f>
        <v>0</v>
      </c>
      <c r="Q41" s="725">
        <f>huishoudens!P12</f>
        <v>0</v>
      </c>
      <c r="R41" s="803">
        <f t="shared" ca="1" si="4"/>
        <v>38743.774973380787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323.25556758875308</v>
      </c>
      <c r="D43" s="642">
        <f ca="1">industrie!C22</f>
        <v>0</v>
      </c>
      <c r="E43" s="642">
        <f>industrie!D22</f>
        <v>287.57667279022229</v>
      </c>
      <c r="F43" s="642">
        <f>industrie!E22</f>
        <v>1.6066757692407114</v>
      </c>
      <c r="G43" s="642">
        <f>industrie!F22</f>
        <v>144.42828740044646</v>
      </c>
      <c r="H43" s="642">
        <f>industrie!G22</f>
        <v>0</v>
      </c>
      <c r="I43" s="642">
        <f>industrie!H22</f>
        <v>0</v>
      </c>
      <c r="J43" s="642">
        <f>industrie!I22</f>
        <v>0</v>
      </c>
      <c r="K43" s="642">
        <f>industrie!J22</f>
        <v>0.19202482783678365</v>
      </c>
      <c r="L43" s="642">
        <f>industrie!K22</f>
        <v>0</v>
      </c>
      <c r="M43" s="642">
        <f>industrie!L22</f>
        <v>0</v>
      </c>
      <c r="N43" s="642">
        <f>industrie!M22</f>
        <v>0</v>
      </c>
      <c r="O43" s="642">
        <f>industrie!N22</f>
        <v>0</v>
      </c>
      <c r="P43" s="642">
        <f>industrie!O22</f>
        <v>0</v>
      </c>
      <c r="Q43" s="725">
        <f>industrie!P22</f>
        <v>0</v>
      </c>
      <c r="R43" s="802">
        <f t="shared" ca="1" si="4"/>
        <v>757.05922837649939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12607.466877699526</v>
      </c>
      <c r="D46" s="678">
        <f t="shared" ref="D46:Q46" ca="1" si="5">SUM(D39:D45)</f>
        <v>30.554621848739504</v>
      </c>
      <c r="E46" s="678">
        <f t="shared" ca="1" si="5"/>
        <v>24302.396442768226</v>
      </c>
      <c r="F46" s="678">
        <f t="shared" si="5"/>
        <v>594.21082210215161</v>
      </c>
      <c r="G46" s="678">
        <f t="shared" ca="1" si="5"/>
        <v>12548.457874468075</v>
      </c>
      <c r="H46" s="678">
        <f t="shared" si="5"/>
        <v>0</v>
      </c>
      <c r="I46" s="678">
        <f t="shared" si="5"/>
        <v>0</v>
      </c>
      <c r="J46" s="678">
        <f t="shared" si="5"/>
        <v>0</v>
      </c>
      <c r="K46" s="678">
        <f t="shared" si="5"/>
        <v>81.343342881900398</v>
      </c>
      <c r="L46" s="678">
        <f t="shared" si="5"/>
        <v>0</v>
      </c>
      <c r="M46" s="678">
        <f t="shared" ca="1" si="5"/>
        <v>0</v>
      </c>
      <c r="N46" s="678">
        <f t="shared" si="5"/>
        <v>0</v>
      </c>
      <c r="O46" s="678">
        <f t="shared" ca="1" si="5"/>
        <v>0</v>
      </c>
      <c r="P46" s="678">
        <f t="shared" si="5"/>
        <v>0</v>
      </c>
      <c r="Q46" s="678">
        <f t="shared" si="5"/>
        <v>0</v>
      </c>
      <c r="R46" s="678">
        <f ca="1">SUM(R39:R45)</f>
        <v>50164.429981768626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5.7199654071752946</v>
      </c>
      <c r="D49" s="642">
        <f ca="1">transport!C58</f>
        <v>0</v>
      </c>
      <c r="E49" s="642">
        <f>transport!D58</f>
        <v>0</v>
      </c>
      <c r="F49" s="642">
        <f>transport!E58</f>
        <v>0</v>
      </c>
      <c r="G49" s="642">
        <f>transport!F58</f>
        <v>0</v>
      </c>
      <c r="H49" s="642">
        <f>transport!G58</f>
        <v>581.91327684395867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587.63324225113399</v>
      </c>
    </row>
    <row r="50" spans="1:18">
      <c r="A50" s="778" t="s">
        <v>296</v>
      </c>
      <c r="B50" s="788"/>
      <c r="C50" s="648">
        <f ca="1">transport!B18</f>
        <v>83.502347855419387</v>
      </c>
      <c r="D50" s="648">
        <f>transport!C18</f>
        <v>0</v>
      </c>
      <c r="E50" s="648">
        <f>transport!D18</f>
        <v>141.49144382715932</v>
      </c>
      <c r="F50" s="648">
        <f>transport!E18</f>
        <v>98.944598062993606</v>
      </c>
      <c r="G50" s="648">
        <f>transport!F18</f>
        <v>0</v>
      </c>
      <c r="H50" s="648">
        <f>transport!G18</f>
        <v>52688.336057648856</v>
      </c>
      <c r="I50" s="648">
        <f>transport!H18</f>
        <v>11845.763003901742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64858.037451296172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89.222313262594682</v>
      </c>
      <c r="D52" s="678">
        <f t="shared" ref="D52:Q52" ca="1" si="6">SUM(D48:D51)</f>
        <v>0</v>
      </c>
      <c r="E52" s="678">
        <f t="shared" si="6"/>
        <v>141.49144382715932</v>
      </c>
      <c r="F52" s="678">
        <f t="shared" si="6"/>
        <v>98.944598062993606</v>
      </c>
      <c r="G52" s="678">
        <f t="shared" si="6"/>
        <v>0</v>
      </c>
      <c r="H52" s="678">
        <f t="shared" si="6"/>
        <v>53270.249334492815</v>
      </c>
      <c r="I52" s="678">
        <f t="shared" si="6"/>
        <v>11845.763003901742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65445.670693547305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68.011775989028877</v>
      </c>
      <c r="D54" s="648">
        <f ca="1">+landbouw!C12</f>
        <v>0</v>
      </c>
      <c r="E54" s="648">
        <f>+landbouw!D12</f>
        <v>40.324995857152224</v>
      </c>
      <c r="F54" s="648">
        <f>+landbouw!E12</f>
        <v>2.4297809323499631</v>
      </c>
      <c r="G54" s="648">
        <f>+landbouw!F12</f>
        <v>308.09585405907018</v>
      </c>
      <c r="H54" s="648">
        <f>+landbouw!G12</f>
        <v>0</v>
      </c>
      <c r="I54" s="648">
        <f>+landbouw!H12</f>
        <v>0</v>
      </c>
      <c r="J54" s="648">
        <f>+landbouw!I12</f>
        <v>0</v>
      </c>
      <c r="K54" s="648">
        <f>+landbouw!J12</f>
        <v>32.412304185253326</v>
      </c>
      <c r="L54" s="648">
        <f>+landbouw!K12</f>
        <v>0</v>
      </c>
      <c r="M54" s="648">
        <f>+landbouw!L12</f>
        <v>0</v>
      </c>
      <c r="N54" s="648">
        <f>+landbouw!M12</f>
        <v>0</v>
      </c>
      <c r="O54" s="648">
        <f>+landbouw!N12</f>
        <v>0</v>
      </c>
      <c r="P54" s="648">
        <f>+landbouw!O12</f>
        <v>0</v>
      </c>
      <c r="Q54" s="649">
        <f>+landbouw!P12</f>
        <v>0</v>
      </c>
      <c r="R54" s="677">
        <f ca="1">SUM(C54:Q54)</f>
        <v>451.2747110228546</v>
      </c>
    </row>
    <row r="55" spans="1:18" ht="15" thickBot="1">
      <c r="A55" s="778" t="s">
        <v>672</v>
      </c>
      <c r="B55" s="788"/>
      <c r="C55" s="648">
        <f ca="1">C25*'EF ele_warmte'!B12</f>
        <v>192.19164078749097</v>
      </c>
      <c r="D55" s="648"/>
      <c r="E55" s="648">
        <f>E25*EF_CO2_aardgas</f>
        <v>460.58955358102719</v>
      </c>
      <c r="F55" s="648"/>
      <c r="G55" s="648"/>
      <c r="H55" s="648"/>
      <c r="I55" s="648"/>
      <c r="J55" s="648"/>
      <c r="K55" s="648"/>
      <c r="L55" s="648"/>
      <c r="M55" s="648"/>
      <c r="N55" s="648"/>
      <c r="O55" s="648"/>
      <c r="P55" s="648"/>
      <c r="Q55" s="649"/>
      <c r="R55" s="677">
        <f ca="1">SUM(C55:Q55)</f>
        <v>652.78119436851819</v>
      </c>
    </row>
    <row r="56" spans="1:18" ht="15.75" thickBot="1">
      <c r="A56" s="776" t="s">
        <v>673</v>
      </c>
      <c r="B56" s="789"/>
      <c r="C56" s="678">
        <f ca="1">SUM(C54:C55)</f>
        <v>260.20341677651982</v>
      </c>
      <c r="D56" s="678">
        <f t="shared" ref="D56:Q56" ca="1" si="7">SUM(D54:D55)</f>
        <v>0</v>
      </c>
      <c r="E56" s="678">
        <f t="shared" si="7"/>
        <v>500.91454943817939</v>
      </c>
      <c r="F56" s="678">
        <f t="shared" si="7"/>
        <v>2.4297809323499631</v>
      </c>
      <c r="G56" s="678">
        <f t="shared" si="7"/>
        <v>308.09585405907018</v>
      </c>
      <c r="H56" s="678">
        <f t="shared" si="7"/>
        <v>0</v>
      </c>
      <c r="I56" s="678">
        <f t="shared" si="7"/>
        <v>0</v>
      </c>
      <c r="J56" s="678">
        <f t="shared" si="7"/>
        <v>0</v>
      </c>
      <c r="K56" s="678">
        <f t="shared" si="7"/>
        <v>32.412304185253326</v>
      </c>
      <c r="L56" s="678">
        <f t="shared" si="7"/>
        <v>0</v>
      </c>
      <c r="M56" s="678">
        <f t="shared" si="7"/>
        <v>0</v>
      </c>
      <c r="N56" s="678">
        <f t="shared" si="7"/>
        <v>0</v>
      </c>
      <c r="O56" s="678">
        <f t="shared" si="7"/>
        <v>0</v>
      </c>
      <c r="P56" s="678">
        <f t="shared" si="7"/>
        <v>0</v>
      </c>
      <c r="Q56" s="679">
        <f t="shared" si="7"/>
        <v>0</v>
      </c>
      <c r="R56" s="680">
        <f ca="1">SUM(R54:R55)</f>
        <v>1104.0559053913728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12956.89260773864</v>
      </c>
      <c r="D61" s="686">
        <f t="shared" ref="D61:Q61" ca="1" si="8">D46+D52+D56</f>
        <v>30.554621848739504</v>
      </c>
      <c r="E61" s="686">
        <f t="shared" ca="1" si="8"/>
        <v>24944.802436033566</v>
      </c>
      <c r="F61" s="686">
        <f t="shared" si="8"/>
        <v>695.5852010974952</v>
      </c>
      <c r="G61" s="686">
        <f t="shared" ca="1" si="8"/>
        <v>12856.553728527146</v>
      </c>
      <c r="H61" s="686">
        <f t="shared" si="8"/>
        <v>53270.249334492815</v>
      </c>
      <c r="I61" s="686">
        <f t="shared" si="8"/>
        <v>11845.763003901742</v>
      </c>
      <c r="J61" s="686">
        <f t="shared" si="8"/>
        <v>0</v>
      </c>
      <c r="K61" s="686">
        <f t="shared" si="8"/>
        <v>113.75564706715372</v>
      </c>
      <c r="L61" s="686">
        <f t="shared" si="8"/>
        <v>0</v>
      </c>
      <c r="M61" s="686">
        <f t="shared" ca="1" si="8"/>
        <v>0</v>
      </c>
      <c r="N61" s="686">
        <f t="shared" si="8"/>
        <v>0</v>
      </c>
      <c r="O61" s="686">
        <f t="shared" ca="1" si="8"/>
        <v>0</v>
      </c>
      <c r="P61" s="686">
        <f t="shared" si="8"/>
        <v>0</v>
      </c>
      <c r="Q61" s="686">
        <f t="shared" si="8"/>
        <v>0</v>
      </c>
      <c r="R61" s="686">
        <f ca="1">R46+R52+R56</f>
        <v>116714.15658070731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0.18733200409999864</v>
      </c>
      <c r="D63" s="732">
        <f t="shared" ca="1" si="9"/>
        <v>0.23764705882352946</v>
      </c>
      <c r="E63" s="921">
        <f t="shared" ca="1" si="9"/>
        <v>0.20200000000000004</v>
      </c>
      <c r="F63" s="732">
        <f t="shared" si="9"/>
        <v>0.22699999999999998</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10543.703932436059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v>
      </c>
      <c r="D76" s="904">
        <f>'lokale energieproductie'!C8</f>
        <v>105.88235294117648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21.388235294117649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10543.703932436059</v>
      </c>
      <c r="C78" s="704">
        <f>SUM(C72:C77)</f>
        <v>90</v>
      </c>
      <c r="D78" s="705">
        <f t="shared" ref="D78:H78" si="10">SUM(D76:D77)</f>
        <v>105.88235294117648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21.388235294117649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128.57142857142858</v>
      </c>
      <c r="D87" s="728">
        <f>'lokale energieproductie'!C17</f>
        <v>151.2605042016807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30.554621848739504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128.57142857142858</v>
      </c>
      <c r="D90" s="704">
        <f t="shared" ref="D90:H90" si="12">SUM(D87:D89)</f>
        <v>151.2605042016807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30.554621848739504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42131.642320450701</v>
      </c>
      <c r="C4" s="445">
        <f>huishoudens!C8</f>
        <v>0</v>
      </c>
      <c r="D4" s="445">
        <f>huishoudens!D8</f>
        <v>94590.219653669061</v>
      </c>
      <c r="E4" s="445">
        <f>huishoudens!E8</f>
        <v>2534.0095025068463</v>
      </c>
      <c r="F4" s="445">
        <f>huishoudens!F8</f>
        <v>41526.541712676408</v>
      </c>
      <c r="G4" s="445">
        <f>huishoudens!G8</f>
        <v>0</v>
      </c>
      <c r="H4" s="445">
        <f>huishoudens!H8</f>
        <v>0</v>
      </c>
      <c r="I4" s="445">
        <f>huishoudens!I8</f>
        <v>0</v>
      </c>
      <c r="J4" s="445">
        <f>huishoudens!J8</f>
        <v>229.20569794245466</v>
      </c>
      <c r="K4" s="445">
        <f>huishoudens!K8</f>
        <v>0</v>
      </c>
      <c r="L4" s="445">
        <f>huishoudens!L8</f>
        <v>0</v>
      </c>
      <c r="M4" s="445">
        <f>huishoudens!M8</f>
        <v>0</v>
      </c>
      <c r="N4" s="445">
        <f>huishoudens!N8</f>
        <v>12005.602127826136</v>
      </c>
      <c r="O4" s="445">
        <f>huishoudens!O8</f>
        <v>535.66871923449855</v>
      </c>
      <c r="P4" s="446">
        <f>huishoudens!P8</f>
        <v>1063.9298900761873</v>
      </c>
      <c r="Q4" s="447">
        <f>SUM(B4:P4)</f>
        <v>194616.8196243823</v>
      </c>
    </row>
    <row r="5" spans="1:17">
      <c r="A5" s="444" t="s">
        <v>149</v>
      </c>
      <c r="B5" s="445">
        <f ca="1">tertiair!B16</f>
        <v>21644.319693701818</v>
      </c>
      <c r="C5" s="445">
        <f ca="1">tertiair!C16</f>
        <v>128.57142857142858</v>
      </c>
      <c r="D5" s="445">
        <f ca="1">tertiair!D16</f>
        <v>24295.026732360642</v>
      </c>
      <c r="E5" s="445">
        <f>tertiair!E16</f>
        <v>76.58145050157168</v>
      </c>
      <c r="F5" s="445">
        <f ca="1">tertiair!F16</f>
        <v>4930.4979392622745</v>
      </c>
      <c r="G5" s="445">
        <f>tertiair!G16</f>
        <v>0</v>
      </c>
      <c r="H5" s="445">
        <f>tertiair!H16</f>
        <v>0</v>
      </c>
      <c r="I5" s="445">
        <f>tertiair!I16</f>
        <v>0</v>
      </c>
      <c r="J5" s="445">
        <f>tertiair!J16</f>
        <v>3.5313509702408194E-2</v>
      </c>
      <c r="K5" s="445">
        <f>tertiair!K16</f>
        <v>0</v>
      </c>
      <c r="L5" s="445">
        <f ca="1">tertiair!L16</f>
        <v>0</v>
      </c>
      <c r="M5" s="445">
        <f>tertiair!M16</f>
        <v>0</v>
      </c>
      <c r="N5" s="445">
        <f ca="1">tertiair!N16</f>
        <v>1230.9002434172469</v>
      </c>
      <c r="O5" s="445">
        <f>tertiair!O16</f>
        <v>4.8972607658411542</v>
      </c>
      <c r="P5" s="446">
        <f>tertiair!P16</f>
        <v>52.539138306495019</v>
      </c>
      <c r="Q5" s="444">
        <f t="shared" ref="Q5:Q14" ca="1" si="0">SUM(B5:P5)</f>
        <v>52363.369200397021</v>
      </c>
    </row>
    <row r="6" spans="1:17">
      <c r="A6" s="444" t="s">
        <v>187</v>
      </c>
      <c r="B6" s="445">
        <f>'openbare verlichting'!B8</f>
        <v>1798.585</v>
      </c>
      <c r="C6" s="445"/>
      <c r="D6" s="445"/>
      <c r="E6" s="445"/>
      <c r="F6" s="445"/>
      <c r="G6" s="445"/>
      <c r="H6" s="445"/>
      <c r="I6" s="445"/>
      <c r="J6" s="445"/>
      <c r="K6" s="445"/>
      <c r="L6" s="445"/>
      <c r="M6" s="445"/>
      <c r="N6" s="445"/>
      <c r="O6" s="445"/>
      <c r="P6" s="446"/>
      <c r="Q6" s="444">
        <f t="shared" si="0"/>
        <v>1798.585</v>
      </c>
    </row>
    <row r="7" spans="1:17">
      <c r="A7" s="444" t="s">
        <v>105</v>
      </c>
      <c r="B7" s="445">
        <f>landbouw!B8</f>
        <v>363.05476106860999</v>
      </c>
      <c r="C7" s="445">
        <f>landbouw!C8</f>
        <v>0</v>
      </c>
      <c r="D7" s="445">
        <f>landbouw!D8</f>
        <v>199.6286923621397</v>
      </c>
      <c r="E7" s="445">
        <f>landbouw!E8</f>
        <v>10.703880759250938</v>
      </c>
      <c r="F7" s="445">
        <f>landbouw!F8</f>
        <v>1153.9170564010119</v>
      </c>
      <c r="G7" s="445">
        <f>landbouw!G8</f>
        <v>0</v>
      </c>
      <c r="H7" s="445">
        <f>landbouw!H8</f>
        <v>0</v>
      </c>
      <c r="I7" s="445">
        <f>landbouw!I8</f>
        <v>0</v>
      </c>
      <c r="J7" s="445">
        <f>landbouw!J8</f>
        <v>91.560181314274928</v>
      </c>
      <c r="K7" s="445">
        <f>landbouw!K8</f>
        <v>0</v>
      </c>
      <c r="L7" s="445">
        <f>landbouw!L8</f>
        <v>0</v>
      </c>
      <c r="M7" s="445">
        <f>landbouw!M8</f>
        <v>0</v>
      </c>
      <c r="N7" s="445">
        <f>landbouw!N8</f>
        <v>0</v>
      </c>
      <c r="O7" s="445">
        <f>landbouw!O8</f>
        <v>0</v>
      </c>
      <c r="P7" s="446">
        <f>landbouw!P8</f>
        <v>0</v>
      </c>
      <c r="Q7" s="444">
        <f t="shared" si="0"/>
        <v>1818.8645719052874</v>
      </c>
    </row>
    <row r="8" spans="1:17">
      <c r="A8" s="444" t="s">
        <v>587</v>
      </c>
      <c r="B8" s="445">
        <f>industrie!B18</f>
        <v>1725.5757719657868</v>
      </c>
      <c r="C8" s="445">
        <f>industrie!C18</f>
        <v>0</v>
      </c>
      <c r="D8" s="445">
        <f>industrie!D18</f>
        <v>1423.6468950011003</v>
      </c>
      <c r="E8" s="445">
        <f>industrie!E18</f>
        <v>7.0778668248489485</v>
      </c>
      <c r="F8" s="445">
        <f>industrie!F18</f>
        <v>540.9299153574774</v>
      </c>
      <c r="G8" s="445">
        <f>industrie!G18</f>
        <v>0</v>
      </c>
      <c r="H8" s="445">
        <f>industrie!H18</f>
        <v>0</v>
      </c>
      <c r="I8" s="445">
        <f>industrie!I18</f>
        <v>0</v>
      </c>
      <c r="J8" s="445">
        <f>industrie!J18</f>
        <v>0.54244301648808946</v>
      </c>
      <c r="K8" s="445">
        <f>industrie!K18</f>
        <v>0</v>
      </c>
      <c r="L8" s="445">
        <f>industrie!L18</f>
        <v>0</v>
      </c>
      <c r="M8" s="445">
        <f>industrie!M18</f>
        <v>0</v>
      </c>
      <c r="N8" s="445">
        <f>industrie!N18</f>
        <v>53.507166565863336</v>
      </c>
      <c r="O8" s="445">
        <f>industrie!O18</f>
        <v>0</v>
      </c>
      <c r="P8" s="446">
        <f>industrie!P18</f>
        <v>0</v>
      </c>
      <c r="Q8" s="444">
        <f t="shared" si="0"/>
        <v>3751.2800587315651</v>
      </c>
    </row>
    <row r="9" spans="1:17" s="450" customFormat="1">
      <c r="A9" s="448" t="s">
        <v>536</v>
      </c>
      <c r="B9" s="449">
        <f>transport!B14</f>
        <v>445.74523321090112</v>
      </c>
      <c r="C9" s="449">
        <f>transport!C14</f>
        <v>0</v>
      </c>
      <c r="D9" s="449">
        <f>transport!D14</f>
        <v>700.45269221365993</v>
      </c>
      <c r="E9" s="449">
        <f>transport!E14</f>
        <v>435.87928662111722</v>
      </c>
      <c r="F9" s="449">
        <f>transport!F14</f>
        <v>0</v>
      </c>
      <c r="G9" s="449">
        <f>transport!G14</f>
        <v>197334.59197621292</v>
      </c>
      <c r="H9" s="449">
        <f>transport!H14</f>
        <v>47573.34539719575</v>
      </c>
      <c r="I9" s="449">
        <f>transport!I14</f>
        <v>0</v>
      </c>
      <c r="J9" s="449">
        <f>transport!J14</f>
        <v>0</v>
      </c>
      <c r="K9" s="449">
        <f>transport!K14</f>
        <v>0</v>
      </c>
      <c r="L9" s="449">
        <f>transport!L14</f>
        <v>0</v>
      </c>
      <c r="M9" s="449">
        <f>transport!M14</f>
        <v>14417.34011488226</v>
      </c>
      <c r="N9" s="449">
        <f>transport!N14</f>
        <v>0</v>
      </c>
      <c r="O9" s="449">
        <f>transport!O14</f>
        <v>0</v>
      </c>
      <c r="P9" s="449">
        <f>transport!P14</f>
        <v>0</v>
      </c>
      <c r="Q9" s="448">
        <f>SUM(B9:P9)</f>
        <v>260907.35470033658</v>
      </c>
    </row>
    <row r="10" spans="1:17">
      <c r="A10" s="444" t="s">
        <v>526</v>
      </c>
      <c r="B10" s="445">
        <f>transport!B54</f>
        <v>30.533839824411167</v>
      </c>
      <c r="C10" s="445">
        <f>transport!C54</f>
        <v>0</v>
      </c>
      <c r="D10" s="445">
        <f>transport!D54</f>
        <v>0</v>
      </c>
      <c r="E10" s="445">
        <f>transport!E54</f>
        <v>0</v>
      </c>
      <c r="F10" s="445">
        <f>transport!F54</f>
        <v>0</v>
      </c>
      <c r="G10" s="445">
        <f>transport!G54</f>
        <v>2179.4504750710062</v>
      </c>
      <c r="H10" s="445">
        <f>transport!H54</f>
        <v>0</v>
      </c>
      <c r="I10" s="445">
        <f>transport!I54</f>
        <v>0</v>
      </c>
      <c r="J10" s="445">
        <f>transport!J54</f>
        <v>0</v>
      </c>
      <c r="K10" s="445">
        <f>transport!K54</f>
        <v>0</v>
      </c>
      <c r="L10" s="445">
        <f>transport!L54</f>
        <v>0</v>
      </c>
      <c r="M10" s="445">
        <f>transport!M54</f>
        <v>120.3461906671257</v>
      </c>
      <c r="N10" s="445">
        <f>transport!N54</f>
        <v>0</v>
      </c>
      <c r="O10" s="445">
        <f>transport!O54</f>
        <v>0</v>
      </c>
      <c r="P10" s="446">
        <f>transport!P54</f>
        <v>0</v>
      </c>
      <c r="Q10" s="444">
        <f t="shared" si="0"/>
        <v>2330.3305055625428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1025.94130517548</v>
      </c>
      <c r="C14" s="452"/>
      <c r="D14" s="452">
        <f>'SEAP template'!E25</f>
        <v>2280.1463048565702</v>
      </c>
      <c r="E14" s="452"/>
      <c r="F14" s="452"/>
      <c r="G14" s="452"/>
      <c r="H14" s="452"/>
      <c r="I14" s="452"/>
      <c r="J14" s="452"/>
      <c r="K14" s="452"/>
      <c r="L14" s="452"/>
      <c r="M14" s="452"/>
      <c r="N14" s="452"/>
      <c r="O14" s="452"/>
      <c r="P14" s="453"/>
      <c r="Q14" s="444">
        <f t="shared" si="0"/>
        <v>3306.0876100320502</v>
      </c>
    </row>
    <row r="15" spans="1:17" s="456" customFormat="1">
      <c r="A15" s="454" t="s">
        <v>530</v>
      </c>
      <c r="B15" s="455">
        <f ca="1">SUM(B4:B14)</f>
        <v>69165.397925397701</v>
      </c>
      <c r="C15" s="455">
        <f t="shared" ref="C15:Q15" ca="1" si="1">SUM(C4:C14)</f>
        <v>128.57142857142858</v>
      </c>
      <c r="D15" s="455">
        <f t="shared" ca="1" si="1"/>
        <v>123489.12097046316</v>
      </c>
      <c r="E15" s="455">
        <f t="shared" si="1"/>
        <v>3064.2519872136354</v>
      </c>
      <c r="F15" s="455">
        <f t="shared" ca="1" si="1"/>
        <v>48151.886623697173</v>
      </c>
      <c r="G15" s="455">
        <f t="shared" si="1"/>
        <v>199514.04245128392</v>
      </c>
      <c r="H15" s="455">
        <f t="shared" si="1"/>
        <v>47573.34539719575</v>
      </c>
      <c r="I15" s="455">
        <f t="shared" si="1"/>
        <v>0</v>
      </c>
      <c r="J15" s="455">
        <f t="shared" si="1"/>
        <v>321.3436357829201</v>
      </c>
      <c r="K15" s="455">
        <f t="shared" si="1"/>
        <v>0</v>
      </c>
      <c r="L15" s="455">
        <f t="shared" ca="1" si="1"/>
        <v>0</v>
      </c>
      <c r="M15" s="455">
        <f t="shared" si="1"/>
        <v>14537.686305549385</v>
      </c>
      <c r="N15" s="455">
        <f t="shared" ca="1" si="1"/>
        <v>13290.009537809246</v>
      </c>
      <c r="O15" s="455">
        <f t="shared" si="1"/>
        <v>540.56598000033966</v>
      </c>
      <c r="P15" s="455">
        <f t="shared" si="1"/>
        <v>1116.4690283826824</v>
      </c>
      <c r="Q15" s="455">
        <f t="shared" ca="1" si="1"/>
        <v>520892.69127134734</v>
      </c>
    </row>
    <row r="17" spans="1:17">
      <c r="A17" s="457" t="s">
        <v>531</v>
      </c>
      <c r="B17" s="737">
        <f ca="1">huishoudens!B10</f>
        <v>0.18733200409999864</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7892.604991914347</v>
      </c>
      <c r="C22" s="445">
        <f t="shared" ref="C22:C32" ca="1" si="3">C4*$C$17</f>
        <v>0</v>
      </c>
      <c r="D22" s="445">
        <f t="shared" ref="D22:D32" si="4">D4*$D$17</f>
        <v>19107.224370041153</v>
      </c>
      <c r="E22" s="445">
        <f t="shared" ref="E22:E32" si="5">E4*$E$17</f>
        <v>575.22015706905415</v>
      </c>
      <c r="F22" s="445">
        <f t="shared" ref="F22:F32" si="6">F4*$F$17</f>
        <v>11087.586637284601</v>
      </c>
      <c r="G22" s="445">
        <f t="shared" ref="G22:G32" si="7">G4*$G$17</f>
        <v>0</v>
      </c>
      <c r="H22" s="445">
        <f t="shared" ref="H22:H32" si="8">H4*$H$17</f>
        <v>0</v>
      </c>
      <c r="I22" s="445">
        <f t="shared" ref="I22:I32" si="9">I4*$I$17</f>
        <v>0</v>
      </c>
      <c r="J22" s="445">
        <f t="shared" ref="J22:J32" si="10">J4*$J$17</f>
        <v>81.138817071628949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38743.774973380787</v>
      </c>
    </row>
    <row r="23" spans="1:17">
      <c r="A23" s="444" t="s">
        <v>149</v>
      </c>
      <c r="B23" s="445">
        <f t="shared" ca="1" si="2"/>
        <v>4054.6737856022305</v>
      </c>
      <c r="C23" s="445">
        <f t="shared" ca="1" si="3"/>
        <v>30.554621848739504</v>
      </c>
      <c r="D23" s="445">
        <f t="shared" ca="1" si="4"/>
        <v>4907.5953999368503</v>
      </c>
      <c r="E23" s="445">
        <f t="shared" si="5"/>
        <v>17.383989263856773</v>
      </c>
      <c r="F23" s="445">
        <f t="shared" ca="1" si="6"/>
        <v>1316.4429497830274</v>
      </c>
      <c r="G23" s="445">
        <f t="shared" si="7"/>
        <v>0</v>
      </c>
      <c r="H23" s="445">
        <f t="shared" si="8"/>
        <v>0</v>
      </c>
      <c r="I23" s="445">
        <f t="shared" si="9"/>
        <v>0</v>
      </c>
      <c r="J23" s="445">
        <f t="shared" si="10"/>
        <v>1.2500982434652501E-2</v>
      </c>
      <c r="K23" s="445">
        <f t="shared" si="11"/>
        <v>0</v>
      </c>
      <c r="L23" s="445">
        <f t="shared" ca="1" si="12"/>
        <v>0</v>
      </c>
      <c r="M23" s="445">
        <f t="shared" si="13"/>
        <v>0</v>
      </c>
      <c r="N23" s="445">
        <f t="shared" ca="1" si="14"/>
        <v>0</v>
      </c>
      <c r="O23" s="445">
        <f t="shared" si="15"/>
        <v>0</v>
      </c>
      <c r="P23" s="446">
        <f t="shared" si="16"/>
        <v>0</v>
      </c>
      <c r="Q23" s="444">
        <f t="shared" ref="Q23:Q31" ca="1" si="17">SUM(B23:P23)</f>
        <v>10326.66324741714</v>
      </c>
    </row>
    <row r="24" spans="1:17">
      <c r="A24" s="444" t="s">
        <v>187</v>
      </c>
      <c r="B24" s="445">
        <f t="shared" ca="1" si="2"/>
        <v>336.93253259419606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336.93253259419606</v>
      </c>
    </row>
    <row r="25" spans="1:17">
      <c r="A25" s="444" t="s">
        <v>105</v>
      </c>
      <c r="B25" s="445">
        <f t="shared" ca="1" si="2"/>
        <v>68.011775989028877</v>
      </c>
      <c r="C25" s="445">
        <f t="shared" ca="1" si="3"/>
        <v>0</v>
      </c>
      <c r="D25" s="445">
        <f t="shared" si="4"/>
        <v>40.324995857152224</v>
      </c>
      <c r="E25" s="445">
        <f t="shared" si="5"/>
        <v>2.4297809323499631</v>
      </c>
      <c r="F25" s="445">
        <f t="shared" si="6"/>
        <v>308.09585405907018</v>
      </c>
      <c r="G25" s="445">
        <f t="shared" si="7"/>
        <v>0</v>
      </c>
      <c r="H25" s="445">
        <f t="shared" si="8"/>
        <v>0</v>
      </c>
      <c r="I25" s="445">
        <f t="shared" si="9"/>
        <v>0</v>
      </c>
      <c r="J25" s="445">
        <f t="shared" si="10"/>
        <v>32.412304185253326</v>
      </c>
      <c r="K25" s="445">
        <f t="shared" si="11"/>
        <v>0</v>
      </c>
      <c r="L25" s="445">
        <f t="shared" si="12"/>
        <v>0</v>
      </c>
      <c r="M25" s="445">
        <f t="shared" si="13"/>
        <v>0</v>
      </c>
      <c r="N25" s="445">
        <f t="shared" si="14"/>
        <v>0</v>
      </c>
      <c r="O25" s="445">
        <f t="shared" si="15"/>
        <v>0</v>
      </c>
      <c r="P25" s="446">
        <f t="shared" si="16"/>
        <v>0</v>
      </c>
      <c r="Q25" s="444">
        <f t="shared" ca="1" si="17"/>
        <v>451.2747110228546</v>
      </c>
    </row>
    <row r="26" spans="1:17">
      <c r="A26" s="444" t="s">
        <v>587</v>
      </c>
      <c r="B26" s="445">
        <f t="shared" ca="1" si="2"/>
        <v>323.25556758875308</v>
      </c>
      <c r="C26" s="445">
        <f t="shared" ca="1" si="3"/>
        <v>0</v>
      </c>
      <c r="D26" s="445">
        <f t="shared" si="4"/>
        <v>287.57667279022229</v>
      </c>
      <c r="E26" s="445">
        <f t="shared" si="5"/>
        <v>1.6066757692407114</v>
      </c>
      <c r="F26" s="445">
        <f t="shared" si="6"/>
        <v>144.42828740044646</v>
      </c>
      <c r="G26" s="445">
        <f t="shared" si="7"/>
        <v>0</v>
      </c>
      <c r="H26" s="445">
        <f t="shared" si="8"/>
        <v>0</v>
      </c>
      <c r="I26" s="445">
        <f t="shared" si="9"/>
        <v>0</v>
      </c>
      <c r="J26" s="445">
        <f t="shared" si="10"/>
        <v>0.19202482783678365</v>
      </c>
      <c r="K26" s="445">
        <f t="shared" si="11"/>
        <v>0</v>
      </c>
      <c r="L26" s="445">
        <f t="shared" si="12"/>
        <v>0</v>
      </c>
      <c r="M26" s="445">
        <f t="shared" si="13"/>
        <v>0</v>
      </c>
      <c r="N26" s="445">
        <f t="shared" si="14"/>
        <v>0</v>
      </c>
      <c r="O26" s="445">
        <f t="shared" si="15"/>
        <v>0</v>
      </c>
      <c r="P26" s="446">
        <f t="shared" si="16"/>
        <v>0</v>
      </c>
      <c r="Q26" s="444">
        <f t="shared" ca="1" si="17"/>
        <v>757.05922837649939</v>
      </c>
    </row>
    <row r="27" spans="1:17" s="450" customFormat="1">
      <c r="A27" s="448" t="s">
        <v>536</v>
      </c>
      <c r="B27" s="731">
        <f t="shared" ca="1" si="2"/>
        <v>83.502347855419387</v>
      </c>
      <c r="C27" s="449">
        <f t="shared" ca="1" si="3"/>
        <v>0</v>
      </c>
      <c r="D27" s="449">
        <f t="shared" si="4"/>
        <v>141.49144382715932</v>
      </c>
      <c r="E27" s="449">
        <f t="shared" si="5"/>
        <v>98.944598062993606</v>
      </c>
      <c r="F27" s="449">
        <f t="shared" si="6"/>
        <v>0</v>
      </c>
      <c r="G27" s="449">
        <f t="shared" si="7"/>
        <v>52688.336057648856</v>
      </c>
      <c r="H27" s="449">
        <f t="shared" si="8"/>
        <v>11845.763003901742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64858.037451296172</v>
      </c>
    </row>
    <row r="28" spans="1:17" ht="16.5" customHeight="1">
      <c r="A28" s="444" t="s">
        <v>526</v>
      </c>
      <c r="B28" s="445">
        <f t="shared" ca="1" si="2"/>
        <v>5.7199654071752946</v>
      </c>
      <c r="C28" s="445">
        <f t="shared" ca="1" si="3"/>
        <v>0</v>
      </c>
      <c r="D28" s="445">
        <f t="shared" si="4"/>
        <v>0</v>
      </c>
      <c r="E28" s="445">
        <f t="shared" si="5"/>
        <v>0</v>
      </c>
      <c r="F28" s="445">
        <f t="shared" si="6"/>
        <v>0</v>
      </c>
      <c r="G28" s="445">
        <f t="shared" si="7"/>
        <v>581.91327684395867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587.63324225113399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192.19164078749097</v>
      </c>
      <c r="C32" s="445">
        <f t="shared" ca="1" si="3"/>
        <v>0</v>
      </c>
      <c r="D32" s="445">
        <f t="shared" si="4"/>
        <v>460.58955358102719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652.78119436851819</v>
      </c>
    </row>
    <row r="33" spans="1:17" s="456" customFormat="1">
      <c r="A33" s="454" t="s">
        <v>530</v>
      </c>
      <c r="B33" s="455">
        <f ca="1">SUM(B22:B32)</f>
        <v>12956.89260773864</v>
      </c>
      <c r="C33" s="455">
        <f t="shared" ref="C33:Q33" ca="1" si="19">SUM(C22:C32)</f>
        <v>30.554621848739504</v>
      </c>
      <c r="D33" s="455">
        <f t="shared" ca="1" si="19"/>
        <v>24944.802436033562</v>
      </c>
      <c r="E33" s="455">
        <f t="shared" si="19"/>
        <v>695.5852010974952</v>
      </c>
      <c r="F33" s="455">
        <f t="shared" ca="1" si="19"/>
        <v>12856.553728527146</v>
      </c>
      <c r="G33" s="455">
        <f t="shared" si="19"/>
        <v>53270.249334492815</v>
      </c>
      <c r="H33" s="455">
        <f t="shared" si="19"/>
        <v>11845.763003901742</v>
      </c>
      <c r="I33" s="455">
        <f t="shared" si="19"/>
        <v>0</v>
      </c>
      <c r="J33" s="455">
        <f t="shared" si="19"/>
        <v>113.75564706715373</v>
      </c>
      <c r="K33" s="455">
        <f t="shared" si="19"/>
        <v>0</v>
      </c>
      <c r="L33" s="455">
        <f t="shared" ca="1" si="19"/>
        <v>0</v>
      </c>
      <c r="M33" s="455">
        <f t="shared" si="19"/>
        <v>0</v>
      </c>
      <c r="N33" s="455">
        <f t="shared" ca="1" si="19"/>
        <v>0</v>
      </c>
      <c r="O33" s="455">
        <f t="shared" si="19"/>
        <v>0</v>
      </c>
      <c r="P33" s="455">
        <f t="shared" si="19"/>
        <v>0</v>
      </c>
      <c r="Q33" s="455">
        <f t="shared" ca="1" si="19"/>
        <v>116714.15658070731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10543.703932436059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v>
      </c>
      <c r="D8" s="972">
        <f>'SEAP template'!D76</f>
        <v>105.88235294117648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21.388235294117649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10543.703932436059</v>
      </c>
      <c r="C10" s="974">
        <f>SUM(C4:C9)</f>
        <v>90</v>
      </c>
      <c r="D10" s="974">
        <f t="shared" ref="D10:H10" si="0">SUM(D8:D9)</f>
        <v>105.88235294117648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21.388235294117649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0.18733200409999864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128.57142857142858</v>
      </c>
      <c r="D17" s="973">
        <f>'SEAP template'!D87</f>
        <v>151.2605042016807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128.57142857142858</v>
      </c>
      <c r="D20" s="974">
        <f t="shared" ref="D20:H20" si="2">SUM(D17:D19)</f>
        <v>151.2605042016807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30.554621848739504</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0.18733200409999864</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2022-07-26T09:44:59Z</dcterms:modified>
</cp:coreProperties>
</file>