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B2428FA-CC0C-4BB1-97DF-DE3AAC5E8E8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<sst xmlns="http://schemas.openxmlformats.org/spreadsheetml/2006/main" count="2377" uniqueCount="864">
  <si>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</si>
  <si>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</si>
  <si>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</si>
  <si>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</si>
  <si>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</si>
  <si>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</si>
  <si>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</si>
  <si>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</si>
  <si>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</si>
  <si>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</si>
  <si>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</si>
  <si>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</si>
  <si>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</si>
  <si>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</si>
  <si>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</si>
  <si>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</si>
  <si>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</si>
  <si>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</si>
  <si>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</si>
  <si>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</si>
  <si>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</si>
  <si>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</si>
  <si>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</si>
  <si>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</si>
  <si>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</si>
  <si>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</si>
  <si>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</si>
  <si>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</si>
  <si>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</si>
  <si>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</si>
  <si>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</si>
  <si>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</si>
  <si>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</si>
  <si>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</si>
  <si>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</si>
  <si>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</si>
  <si>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</si>
  <si>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</si>
  <si>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</si>
  <si>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</si>
  <si>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</si>
  <si>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</si>
  <si>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</si>
  <si>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</si>
  <si>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</si>
  <si>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</si>
  <si>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</si>
  <si>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</si>
  <si>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</si>
  <si>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</si>
  <si>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</si>
  <si>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</si>
  <si>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</si>
  <si>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</si>
  <si>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</si>
  <si>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</si>
  <si>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</si>
  <si>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</si>
  <si>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</si>
  <si>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</si>
  <si>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</si>
  <si>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</si>
  <si>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</si>
  <si>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</si>
  <si>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</si>
  <si>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</si>
  <si>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</si>
  <si>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</si>
  <si>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</si>
  <si>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</si>
  <si>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</si>
  <si>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</si>
  <si>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</si>
  <si>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</si>
  <si>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</si>
  <si>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</si>
  <si>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</si>
  <si>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</si>
  <si>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</si>
  <si>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</si>
  <si>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</si>
  <si>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</si>
  <si>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</si>
  <si>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</si>
  <si>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</si>
  <si>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</si>
  <si>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</si>
  <si>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</si>
  <si>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</si>
  <si>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</si>
  <si>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</si>
  <si>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</si>
  <si>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</si>
  <si>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</si>
  <si>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</si>
  <si>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</si>
  <si>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</si>
  <si>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</si>
  <si>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</si>
  <si>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</si>
  <si>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</si>
  <si>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</si>
  <si>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</si>
  <si>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</si>
  <si>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</si>
  <si>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</si>
  <si>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</si>
  <si>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</si>
  <si>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</si>
  <si>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</si>
  <si>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</si>
  <si>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</si>
  <si>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</si>
  <si>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</si>
  <si>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</si>
  <si>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</si>
  <si>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</si>
  <si>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</si>
  <si>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</si>
  <si>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</si>
  <si>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</si>
  <si>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</si>
  <si>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</si>
  <si>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</si>
  <si>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</si>
  <si>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</si>
  <si>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</si>
  <si>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</si>
  <si>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</si>
  <si>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</si>
  <si>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</si>
  <si>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</si>
  <si>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</si>
  <si>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</si>
  <si>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</si>
  <si>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</si>
  <si>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</si>
  <si>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</si>
  <si>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</si>
  <si>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</si>
  <si>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</si>
  <si>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</si>
  <si>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</si>
  <si>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</si>
  <si>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</si>
  <si>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</si>
  <si>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</si>
  <si>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</si>
  <si>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</si>
  <si>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</si>
  <si>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</si>
  <si>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</si>
  <si>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</si>
  <si>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</si>
  <si>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</si>
  <si>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</si>
  <si>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</si>
  <si>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</si>
  <si>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</si>
  <si>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</si>
  <si>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</si>
  <si>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</si>
  <si>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</si>
  <si>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</si>
  <si>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</si>
  <si>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</si>
  <si>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</si>
  <si>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</si>
  <si>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</si>
  <si>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</si>
  <si>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</si>
  <si>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</si>
  <si>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</si>
  <si>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</si>
  <si>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</si>
  <si>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</si>
  <si>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</si>
  <si>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</si>
  <si>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</si>
  <si>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</si>
  <si>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</si>
  <si>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</si>
  <si>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</si>
  <si>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</si>
  <si>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</si>
  <si>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</si>
  <si>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</si>
  <si>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</si>
  <si>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</si>
  <si>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</si>
  <si>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</si>
  <si>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</si>
  <si>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</si>
  <si>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</si>
  <si>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</si>
  <si>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</si>
  <si>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</si>
  <si>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</si>
  <si>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</si>
  <si>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</si>
  <si>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</si>
  <si>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</si>
  <si>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</si>
  <si>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</si>
  <si>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</si>
  <si>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</si>
  <si>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</si>
  <si>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</si>
  <si>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</si>
  <si>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</si>
  <si>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</si>
  <si>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</si>
  <si>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</si>
  <si>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</si>
  <si>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</si>
  <si>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</si>
  <si>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</si>
  <si>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</si>
  <si>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</si>
  <si>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</si>
  <si>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</si>
  <si>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</si>
  <si>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</si>
  <si>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</si>
  <si>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</si>
  <si>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</si>
  <si>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</si>
  <si>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</si>
  <si>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</si>
  <si>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</si>
  <si>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</si>
  <si>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</si>
  <si>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</si>
  <si>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</si>
  <si>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</si>
  <si>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</si>
  <si>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</si>
  <si>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</si>
  <si>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</si>
  <si>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</si>
  <si>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</si>
  <si>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</si>
  <si>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</si>
  <si>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</si>
  <si>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</si>
  <si>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</si>
  <si>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</si>
  <si>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</si>
  <si>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</si>
  <si>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</si>
  <si>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</si>
  <si>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</si>
  <si>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</si>
  <si>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</si>
  <si>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</si>
  <si>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</si>
  <si>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</si>
  <si>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</si>
  <si>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</si>
  <si>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</si>
  <si>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</si>
  <si>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</si>
  <si>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</si>
  <si>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</si>
  <si>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</si>
  <si>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</si>
  <si>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</si>
  <si>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</si>
  <si>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</si>
  <si>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</si>
  <si>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</si>
  <si>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</si>
  <si>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</si>
  <si>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</si>
  <si>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</si>
  <si>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</si>
  <si>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</si>
  <si>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</si>
  <si>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</si>
  <si>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</si>
  <si>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</si>
  <si>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</si>
  <si>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</si>
  <si>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</si>
  <si>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</si>
  <si>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</si>
  <si>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</si>
  <si>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</si>
  <si>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</si>
  <si>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</si>
  <si>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</si>
  <si>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</si>
  <si>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</si>
  <si>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</si>
  <si>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</si>
  <si>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</si>
  <si>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</si>
  <si>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</si>
  <si>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</si>
  <si>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</si>
  <si>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</si>
  <si>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</si>
  <si>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</si>
  <si>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</si>
  <si>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</si>
  <si>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</si>
  <si>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</si>
  <si>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</si>
  <si>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</si>
  <si>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</si>
  <si>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</si>
  <si>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</si>
  <si>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</si>
  <si>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</si>
  <si>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</si>
  <si>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</si>
  <si>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</si>
  <si>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</si>
  <si>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</si>
  <si>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</si>
  <si>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</si>
  <si>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</si>
  <si>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</si>
  <si>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</si>
  <si>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</si>
  <si>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</si>
  <si>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</si>
  <si>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</si>
  <si>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</si>
  <si>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</si>
  <si>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</si>
  <si>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</si>
  <si>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</si>
  <si>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</si>
  <si>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</si>
  <si>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</si>
  <si>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</si>
  <si>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</si>
  <si>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</si>
  <si>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</si>
  <si>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</si>
  <si>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</si>
  <si>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</si>
  <si>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</si>
  <si>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</si>
  <si>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</si>
  <si>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</si>
  <si>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</si>
  <si>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</si>
  <si>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</si>
  <si>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</si>
  <si>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</si>
  <si>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</si>
  <si>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</si>
  <si>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</si>
  <si>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</si>
  <si>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</si>
  <si>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</si>
  <si>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</si>
  <si>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</si>
  <si>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</si>
  <si>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</si>
  <si>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</si>
  <si>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</si>
  <si>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</si>
  <si>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</si>
  <si>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</si>
  <si>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</si>
  <si>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</si>
  <si>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</si>
  <si>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</si>
  <si>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</si>
  <si>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</si>
  <si>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</si>
  <si>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</si>
  <si>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</si>
  <si>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</si>
  <si>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</si>
  <si>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</si>
  <si>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</si>
  <si>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</si>
  <si>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</si>
  <si>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</si>
  <si>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</si>
  <si>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</si>
  <si>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</si>
  <si>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</si>
  <si>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</si>
  <si>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</si>
  <si>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</si>
  <si>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</si>
  <si>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</si>
  <si>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</si>
  <si>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</si>
  <si>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</si>
  <si>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</si>
  <si>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</si>
  <si>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</si>
  <si>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</si>
  <si>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</si>
  <si>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</si>
  <si>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</si>
  <si>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</si>
  <si>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</si>
  <si>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</si>
  <si>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</si>
  <si>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</si>
  <si>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</si>
  <si>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</si>
  <si>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</si>
  <si>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</si>
  <si>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</si>
  <si>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</si>
  <si>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</si>
  <si>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</si>
  <si>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</si>
  <si>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</si>
  <si>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</si>
  <si>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</si>
  <si>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</si>
  <si>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</si>
  <si>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</si>
  <si>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</si>
  <si>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</si>
  <si>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</si>
  <si>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</si>
  <si>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</si>
  <si>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</si>
  <si>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</si>
  <si>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</si>
  <si>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</si>
  <si>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</si>
  <si>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</si>
  <si>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</si>
  <si>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</si>
  <si>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</si>
  <si>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</si>
  <si>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</si>
  <si>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</si>
  <si>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</si>
  <si>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</si>
  <si>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</si>
  <si>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</si>
  <si>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</si>
  <si>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</si>
  <si>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</si>
  <si>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</si>
  <si>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</si>
  <si>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</si>
  <si>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</si>
  <si>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</si>
  <si>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</si>
  <si>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</si>
  <si>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</si>
  <si>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</si>
  <si>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</si>
  <si>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</si>
  <si>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</si>
  <si>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</si>
  <si>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</si>
  <si>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</si>
  <si>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</si>
  <si>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</si>
  <si>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</si>
  <si>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</si>
  <si>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</si>
  <si>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</si>
  <si>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</si>
  <si>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</si>
  <si>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</si>
  <si>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</si>
  <si>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</si>
  <si>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</si>
  <si>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</si>
  <si>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</si>
  <si>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</si>
  <si>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</si>
  <si>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</si>
  <si>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</si>
  <si>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</si>
  <si>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</si>
  <si>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</si>
  <si>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</si>
  <si>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</si>
  <si>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</si>
  <si>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</si>
  <si>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</si>
  <si>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</si>
  <si>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</si>
  <si>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</si>
  <si>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</si>
  <si>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</si>
  <si>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</si>
  <si>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</si>
  <si>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</si>
  <si>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</si>
  <si>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</si>
  <si>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</si>
  <si>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</si>
  <si>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</si>
  <si>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</si>
  <si>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</si>
  <si>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</si>
  <si>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</si>
  <si>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</si>
  <si>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</si>
  <si>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</si>
  <si>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</si>
  <si>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</si>
  <si>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</si>
  <si>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</si>
  <si>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</si>
  <si>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</si>
  <si>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</si>
  <si>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</si>
  <si>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</si>
  <si>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</si>
  <si>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</si>
  <si>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</si>
  <si>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</si>
  <si>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</si>
  <si>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</si>
  <si>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</si>
  <si>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</si>
  <si>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</si>
  <si>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</si>
  <si>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</si>
  <si>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</si>
  <si>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</si>
  <si>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</si>
  <si>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</si>
  <si>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</si>
  <si>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</si>
  <si>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</si>
  <si>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</si>
  <si>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</si>
  <si>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</si>
  <si>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</si>
  <si>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</si>
  <si>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</si>
  <si>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</si>
  <si>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</si>
  <si>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</si>
  <si>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</si>
  <si>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</si>
  <si>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</si>
  <si>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</si>
  <si>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</si>
  <si>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</si>
  <si>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</si>
  <si>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</si>
  <si>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</si>
  <si>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</si>
  <si>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</si>
  <si>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</si>
  <si>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</si>
  <si>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</si>
  <si>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</si>
  <si>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</si>
  <si>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</si>
  <si>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</si>
  <si>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</si>
  <si>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</si>
  <si>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</si>
  <si>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</si>
  <si>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</si>
  <si>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</si>
  <si>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</si>
  <si>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</si>
  <si>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</si>
  <si>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</si>
  <si>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</si>
  <si>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</si>
  <si>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</si>
  <si>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</si>
  <si>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</si>
  <si>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</si>
  <si>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</si>
  <si>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</si>
  <si>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</si>
  <si>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</si>
  <si>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</si>
  <si>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</si>
  <si>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</si>
  <si>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</si>
  <si>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</si>
  <si>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</si>
  <si>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</si>
  <si>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</si>
  <si>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</si>
  <si>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</si>
  <si>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</si>
  <si>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</si>
  <si>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</si>
  <si>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</si>
  <si>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</si>
  <si>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</si>
  <si>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</si>
  <si>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</si>
  <si>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</si>
  <si>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</si>
  <si>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</si>
  <si>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</si>
  <si>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</si>
  <si>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</si>
  <si>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</si>
  <si>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</si>
  <si>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</si>
  <si>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</si>
  <si>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</si>
  <si>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</si>
  <si>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</si>
  <si>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</si>
  <si>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</si>
  <si>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</si>
  <si>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</si>
  <si>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</si>
  <si>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</si>
  <si>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</si>
  <si>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</si>
  <si>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</si>
  <si>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</si>
  <si>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</si>
  <si>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</si>
  <si>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</si>
  <si>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</si>
  <si>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</si>
  <si>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</si>
  <si>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</si>
  <si>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</si>
  <si>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</si>
  <si>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</si>
  <si>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</si>
  <si>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</si>
  <si>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</si>
  <si>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</si>
  <si>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</si>
  <si>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</si>
  <si>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</si>
  <si>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</si>
  <si>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</si>
  <si>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</si>
  <si>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</si>
  <si>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</si>
  <si>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</si>
  <si>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</si>
  <si>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</si>
  <si>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</si>
  <si>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</si>
  <si>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</si>
  <si>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</si>
  <si>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</si>
  <si>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</si>
  <si>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</si>
  <si>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</si>
  <si>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</si>
  <si>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</si>
  <si>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</si>
  <si>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</si>
  <si>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</si>
  <si>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</si>
  <si>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</si>
  <si>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</si>
  <si>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</si>
  <si>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</si>
  <si>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</si>
  <si>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</si>
  <si>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</si>
  <si>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</si>
  <si>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</si>
  <si>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</si>
  <si>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</si>
  <si>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</si>
  <si>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</si>
  <si>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</si>
  <si>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</si>
  <si>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</si>
  <si>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</si>
  <si>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</si>
  <si>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</si>
  <si>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</si>
  <si>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</si>
  <si>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</si>
  <si>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</si>
  <si>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</si>
  <si>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</si>
  <si>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</si>
  <si>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</si>
  <si>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</si>
  <si>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</si>
  <si>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</si>
  <si>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</si>
  <si>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</si>
  <si>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</si>
  <si>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</si>
  <si>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</si>
  <si>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</si>
  <si>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</si>
  <si>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</si>
  <si>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</si>
  <si>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</si>
  <si>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</si>
  <si>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</si>
  <si>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</si>
  <si>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</si>
  <si>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</si>
  <si>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</si>
  <si>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</si>
  <si>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</si>
  <si>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</si>
  <si>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</si>
  <si>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</si>
  <si>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</si>
  <si>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</si>
  <si>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</si>
  <si>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</si>
  <si>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</si>
  <si>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</si>
  <si>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</si>
  <si>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</si>
  <si>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</si>
  <si>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</si>
  <si>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</si>
  <si>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</si>
  <si>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</si>
  <si>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</si>
  <si>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</si>
  <si>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</si>
  <si>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</si>
  <si>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</si>
  <si>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</si>
  <si>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</si>
  <si>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</si>
  <si>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</si>
  <si>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</si>
  <si>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</si>
  <si>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</si>
  <si>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</si>
  <si>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</si>
  <si>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</si>
  <si>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</si>
  <si>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</si>
  <si>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</si>
  <si>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</si>
  <si>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</si>
  <si>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</si>
  <si>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</si>
  <si>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</si>
  <si>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</si>
  <si>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</si>
  <si>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</si>
  <si>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</si>
  <si>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</si>
  <si>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</si>
  <si>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</si>
  <si>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</si>
  <si>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</si>
  <si>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</si>
  <si>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</si>
  <si>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</si>
  <si>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</si>
  <si>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</si>
  <si>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</si>
  <si>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</si>
  <si>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</si>
  <si>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</si>
  <si>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</si>
  <si>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</si>
  <si>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</si>
  <si>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</si>
  <si>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</si>
  <si>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</si>
  <si>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</si>
  <si>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</si>
  <si>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</si>
  <si>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</si>
  <si>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</si>
  <si>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</si>
  <si>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</si>
  <si>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</si>
  <si>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</si>
  <si>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</si>
  <si>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</si>
  <si>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</si>
  <si>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</si>
  <si>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</si>
  <si>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</si>
  <si>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</si>
  <si>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</si>
  <si>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</si>
  <si>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</si>
  <si>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</si>
  <si>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</si>
  <si>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</si>
  <si>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</si>
  <si>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</si>
  <si>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</si>
  <si>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</si>
  <si>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</si>
  <si>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</si>
  <si>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</si>
  <si>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</si>
  <si>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</si>
  <si>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</si>
  <si>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</si>
  <si>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</si>
  <si>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</si>
  <si>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</si>
  <si>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</si>
  <si>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</si>
  <si>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</si>
  <si>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</si>
  <si>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</si>
  <si>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</si>
  <si>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</si>
  <si>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</si>
  <si>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</si>
  <si>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</si>
  <si>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</si>
  <si>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</si>
  <si>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</si>
  <si>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</si>
  <si>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</si>
  <si>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</si>
  <si>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</si>
  <si>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</si>
  <si>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</si>
  <si>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</si>
  <si>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</si>
  <si>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</si>
  <si>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</si>
  <si>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</si>
  <si>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</si>
  <si>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</si>
  <si>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</si>
  <si>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</si>
  <si>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</si>
  <si>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</si>
  <si>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</si>
  <si>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</si>
  <si>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</si>
  <si>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</si>
  <si>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</si>
  <si>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</si>
  <si>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</si>
  <si>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</si>
  <si>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</si>
  <si>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</si>
  <si>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</si>
  <si>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</si>
  <si>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</si>
  <si>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</si>
  <si>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</si>
  <si>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</si>
  <si>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</si>
  <si>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</si>
  <si>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</si>
  <si>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13036</t>
  </si>
  <si>
    <t>RETIE</t>
  </si>
  <si>
    <t>waterkracht</t>
  </si>
  <si>
    <t>vloeibaar gas (MWh)</t>
  </si>
  <si>
    <t>Brandstofcel</t>
  </si>
  <si>
    <t>brandstofcel</t>
  </si>
  <si>
    <t>IVEKA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</si>
</sst>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3D4A1A9-1990-49B1-95F0-2D7D0D15FF8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95577.834073607068</c:v>
                </c:pt>
                <c:pt idx="1">
                  <c:v>22120.472188143609</c:v>
                </c:pt>
                <c:pt idx="2">
                  <c:v>550.29700000000003</c:v>
                </c:pt>
                <c:pt idx="3">
                  <c:v>9949.226864495231</c:v>
                </c:pt>
                <c:pt idx="4">
                  <c:v>5963.168393717785</c:v>
                </c:pt>
                <c:pt idx="5">
                  <c:v>126559.8591535771</c:v>
                </c:pt>
                <c:pt idx="6">
                  <c:v>636.65145673141444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95577.834073607068</c:v>
                </c:pt>
                <c:pt idx="1">
                  <c:v>22120.472188143609</c:v>
                </c:pt>
                <c:pt idx="2">
                  <c:v>550.29700000000003</c:v>
                </c:pt>
                <c:pt idx="3">
                  <c:v>9949.226864495231</c:v>
                </c:pt>
                <c:pt idx="4">
                  <c:v>5963.168393717785</c:v>
                </c:pt>
                <c:pt idx="5">
                  <c:v>126559.8591535771</c:v>
                </c:pt>
                <c:pt idx="6">
                  <c:v>636.65145673141444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18829.191886376011</c:v>
                </c:pt>
                <c:pt idx="1">
                  <c:v>4289.1118634339973</c:v>
                </c:pt>
                <c:pt idx="2">
                  <c:v>100.37406233536952</c:v>
                </c:pt>
                <c:pt idx="3">
                  <c:v>2492.8547663762365</c:v>
                </c:pt>
                <c:pt idx="4">
                  <c:v>1205.9620616109933</c:v>
                </c:pt>
                <c:pt idx="5">
                  <c:v>31507.059081187497</c:v>
                </c:pt>
                <c:pt idx="6">
                  <c:v>160.50155960298275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18829.191886376011</c:v>
                </c:pt>
                <c:pt idx="1">
                  <c:v>4289.1118634339973</c:v>
                </c:pt>
                <c:pt idx="2">
                  <c:v>100.37406233536952</c:v>
                </c:pt>
                <c:pt idx="3">
                  <c:v>2492.8547663762365</c:v>
                </c:pt>
                <c:pt idx="4">
                  <c:v>1205.9620616109933</c:v>
                </c:pt>
                <c:pt idx="5">
                  <c:v>31507.059081187497</c:v>
                </c:pt>
                <c:pt idx="6">
                  <c:v>160.50155960298275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13036</v>
      </c>
      <c r="B6" s="382"/>
      <c r="C6" s="383"/>
    </row>
    <row r="7" spans="1:7" s="380" customFormat="1" ht="15.75" customHeight="1">
      <c r="A7" s="384" t="str">
        <f>txtMunicipality</f>
        <v>RETIE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0.18239979926361494</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0.18239979926361494</v>
      </c>
      <c r="C29" s="494">
        <f ca="1">'EF ele_warmte'!B22</f>
        <v>0.22444444444444442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4524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2776.07</v>
      </c>
      <c r="C14" s="324"/>
      <c r="D14" s="324"/>
      <c r="E14" s="324"/>
      <c r="F14" s="324"/>
    </row>
    <row r="15" spans="1:6">
      <c r="A15" s="1264" t="s">
        <v>177</v>
      </c>
      <c r="B15" s="1265">
        <v>10775</v>
      </c>
      <c r="C15" s="324"/>
      <c r="D15" s="324"/>
      <c r="E15" s="324"/>
      <c r="F15" s="324"/>
    </row>
    <row r="16" spans="1:6">
      <c r="A16" s="1264" t="s">
        <v>6</v>
      </c>
      <c r="B16" s="1265">
        <v>1864</v>
      </c>
      <c r="C16" s="324"/>
      <c r="D16" s="324"/>
      <c r="E16" s="324"/>
      <c r="F16" s="324"/>
    </row>
    <row r="17" spans="1:6">
      <c r="A17" s="1264" t="s">
        <v>7</v>
      </c>
      <c r="B17" s="1265">
        <v>106</v>
      </c>
      <c r="C17" s="324"/>
      <c r="D17" s="324"/>
      <c r="E17" s="324"/>
      <c r="F17" s="324"/>
    </row>
    <row r="18" spans="1:6">
      <c r="A18" s="1264" t="s">
        <v>8</v>
      </c>
      <c r="B18" s="1265">
        <v>966</v>
      </c>
      <c r="C18" s="324"/>
      <c r="D18" s="324"/>
      <c r="E18" s="324"/>
      <c r="F18" s="324"/>
    </row>
    <row r="19" spans="1:6">
      <c r="A19" s="1264" t="s">
        <v>9</v>
      </c>
      <c r="B19" s="1265">
        <v>971</v>
      </c>
      <c r="C19" s="324"/>
      <c r="D19" s="324"/>
      <c r="E19" s="324"/>
      <c r="F19" s="324"/>
    </row>
    <row r="20" spans="1:6">
      <c r="A20" s="1264" t="s">
        <v>10</v>
      </c>
      <c r="B20" s="1265">
        <v>460</v>
      </c>
      <c r="C20" s="324"/>
      <c r="D20" s="324"/>
      <c r="E20" s="324"/>
      <c r="F20" s="324"/>
    </row>
    <row r="21" spans="1:6">
      <c r="A21" s="1264" t="s">
        <v>11</v>
      </c>
      <c r="B21" s="1265">
        <v>4682</v>
      </c>
      <c r="C21" s="324"/>
      <c r="D21" s="324"/>
      <c r="E21" s="324"/>
      <c r="F21" s="324"/>
    </row>
    <row r="22" spans="1:6">
      <c r="A22" s="1264" t="s">
        <v>12</v>
      </c>
      <c r="B22" s="1265">
        <v>14376</v>
      </c>
      <c r="C22" s="324"/>
      <c r="D22" s="324"/>
      <c r="E22" s="324"/>
      <c r="F22" s="324"/>
    </row>
    <row r="23" spans="1:6">
      <c r="A23" s="1264" t="s">
        <v>13</v>
      </c>
      <c r="B23" s="1265">
        <v>195</v>
      </c>
      <c r="C23" s="324"/>
      <c r="D23" s="324"/>
      <c r="E23" s="324"/>
      <c r="F23" s="324"/>
    </row>
    <row r="24" spans="1:6">
      <c r="A24" s="1264" t="s">
        <v>14</v>
      </c>
      <c r="B24" s="1265">
        <v>12</v>
      </c>
      <c r="C24" s="324"/>
      <c r="D24" s="324"/>
      <c r="E24" s="324"/>
      <c r="F24" s="324"/>
    </row>
    <row r="25" spans="1:6">
      <c r="A25" s="1264" t="s">
        <v>15</v>
      </c>
      <c r="B25" s="1265">
        <v>1500</v>
      </c>
      <c r="C25" s="324"/>
      <c r="D25" s="324"/>
      <c r="E25" s="324"/>
      <c r="F25" s="324"/>
    </row>
    <row r="26" spans="1:6">
      <c r="A26" s="1264" t="s">
        <v>16</v>
      </c>
      <c r="B26" s="1265">
        <v>317</v>
      </c>
      <c r="C26" s="324"/>
      <c r="D26" s="324"/>
      <c r="E26" s="324"/>
      <c r="F26" s="324"/>
    </row>
    <row r="27" spans="1:6">
      <c r="A27" s="1264" t="s">
        <v>17</v>
      </c>
      <c r="B27" s="1265">
        <v>1520</v>
      </c>
      <c r="C27" s="324"/>
      <c r="D27" s="324"/>
      <c r="E27" s="324"/>
      <c r="F27" s="324"/>
    </row>
    <row r="28" spans="1:6">
      <c r="A28" s="1264" t="s">
        <v>18</v>
      </c>
      <c r="B28" s="1266">
        <v>56442</v>
      </c>
      <c r="C28" s="324"/>
      <c r="D28" s="324"/>
      <c r="E28" s="324"/>
      <c r="F28" s="324"/>
    </row>
    <row r="29" spans="1:6">
      <c r="A29" s="1264" t="s">
        <v>657</v>
      </c>
      <c r="B29" s="1266">
        <v>148</v>
      </c>
      <c r="C29" s="324"/>
      <c r="D29" s="324"/>
      <c r="E29" s="324"/>
      <c r="F29" s="324"/>
    </row>
    <row r="30" spans="1:6">
      <c r="A30" s="1259" t="s">
        <v>658</v>
      </c>
      <c r="B30" s="1267">
        <v>14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3305.2441467245999</v>
      </c>
    </row>
    <row r="39" spans="1:6">
      <c r="A39" s="1264" t="s">
        <v>29</v>
      </c>
      <c r="B39" s="1264" t="s">
        <v>30</v>
      </c>
      <c r="C39" s="1265">
        <v>2942</v>
      </c>
      <c r="D39" s="1265">
        <v>50549023.876003303</v>
      </c>
      <c r="E39" s="1265">
        <v>4487</v>
      </c>
      <c r="F39" s="1265">
        <v>14795689.658836899</v>
      </c>
    </row>
    <row r="40" spans="1:6">
      <c r="A40" s="1264" t="s">
        <v>29</v>
      </c>
      <c r="B40" s="1264" t="s">
        <v>28</v>
      </c>
      <c r="C40" s="1265">
        <v>0</v>
      </c>
      <c r="D40" s="1265">
        <v>0</v>
      </c>
      <c r="E40" s="1265">
        <v>0</v>
      </c>
      <c r="F40" s="1265">
        <v>0</v>
      </c>
    </row>
    <row r="41" spans="1:6">
      <c r="A41" s="1264" t="s">
        <v>31</v>
      </c>
      <c r="B41" s="1264" t="s">
        <v>32</v>
      </c>
      <c r="C41" s="1265">
        <v>68</v>
      </c>
      <c r="D41" s="1265">
        <v>1625749.7730054101</v>
      </c>
      <c r="E41" s="1265">
        <v>119</v>
      </c>
      <c r="F41" s="1265">
        <v>1603856.1094752599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6</v>
      </c>
      <c r="D44" s="1265">
        <v>205799.46571618301</v>
      </c>
      <c r="E44" s="1265">
        <v>13</v>
      </c>
      <c r="F44" s="1265">
        <v>623437.77843236097</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72603.085066479907</v>
      </c>
      <c r="E47" s="1265">
        <v>3</v>
      </c>
      <c r="F47" s="1265">
        <v>55368.327041582997</v>
      </c>
    </row>
    <row r="48" spans="1:6">
      <c r="A48" s="1264" t="s">
        <v>31</v>
      </c>
      <c r="B48" s="1264" t="s">
        <v>28</v>
      </c>
      <c r="C48" s="1265">
        <v>2</v>
      </c>
      <c r="D48" s="1265">
        <v>32847.116339059699</v>
      </c>
      <c r="E48" s="1265">
        <v>2</v>
      </c>
      <c r="F48" s="1265">
        <v>4882.5881065136</v>
      </c>
    </row>
    <row r="49" spans="1:6">
      <c r="A49" s="1264" t="s">
        <v>31</v>
      </c>
      <c r="B49" s="1264" t="s">
        <v>39</v>
      </c>
      <c r="C49" s="1265">
        <v>0</v>
      </c>
      <c r="D49" s="1265">
        <v>0</v>
      </c>
      <c r="E49" s="1265">
        <v>0</v>
      </c>
      <c r="F49" s="1265">
        <v>0</v>
      </c>
    </row>
    <row r="50" spans="1:6">
      <c r="A50" s="1264" t="s">
        <v>31</v>
      </c>
      <c r="B50" s="1264" t="s">
        <v>40</v>
      </c>
      <c r="C50" s="1265">
        <v>5</v>
      </c>
      <c r="D50" s="1265">
        <v>349046.07777100301</v>
      </c>
      <c r="E50" s="1265">
        <v>9</v>
      </c>
      <c r="F50" s="1265">
        <v>435384.19777983101</v>
      </c>
    </row>
    <row r="51" spans="1:6">
      <c r="A51" s="1264" t="s">
        <v>41</v>
      </c>
      <c r="B51" s="1264" t="s">
        <v>42</v>
      </c>
      <c r="C51" s="1265">
        <v>13</v>
      </c>
      <c r="D51" s="1265">
        <v>462762.38971153798</v>
      </c>
      <c r="E51" s="1265">
        <v>111</v>
      </c>
      <c r="F51" s="1265">
        <v>2137059.16575361</v>
      </c>
    </row>
    <row r="52" spans="1:6">
      <c r="A52" s="1264" t="s">
        <v>41</v>
      </c>
      <c r="B52" s="1264" t="s">
        <v>28</v>
      </c>
      <c r="C52" s="1265">
        <v>0</v>
      </c>
      <c r="D52" s="1265">
        <v>0</v>
      </c>
      <c r="E52" s="1265">
        <v>0</v>
      </c>
      <c r="F52" s="1265">
        <v>0</v>
      </c>
    </row>
    <row r="53" spans="1:6">
      <c r="A53" s="1264" t="s">
        <v>43</v>
      </c>
      <c r="B53" s="1264" t="s">
        <v>44</v>
      </c>
      <c r="C53" s="1265">
        <v>65</v>
      </c>
      <c r="D53" s="1265">
        <v>1037413.59118561</v>
      </c>
      <c r="E53" s="1265">
        <v>166</v>
      </c>
      <c r="F53" s="1265">
        <v>430903.08504195098</v>
      </c>
    </row>
    <row r="54" spans="1:6">
      <c r="A54" s="1264" t="s">
        <v>45</v>
      </c>
      <c r="B54" s="1264" t="s">
        <v>46</v>
      </c>
      <c r="C54" s="1265">
        <v>0</v>
      </c>
      <c r="D54" s="1265">
        <v>0</v>
      </c>
      <c r="E54" s="1265">
        <v>1</v>
      </c>
      <c r="F54" s="1265">
        <v>550297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37</v>
      </c>
      <c r="D57" s="1265">
        <v>2091759.2031868701</v>
      </c>
      <c r="E57" s="1265">
        <v>97</v>
      </c>
      <c r="F57" s="1265">
        <v>1441561.4262494999</v>
      </c>
    </row>
    <row r="58" spans="1:6">
      <c r="A58" s="1264" t="s">
        <v>48</v>
      </c>
      <c r="B58" s="1264" t="s">
        <v>50</v>
      </c>
      <c r="C58" s="1265">
        <v>24</v>
      </c>
      <c r="D58" s="1265">
        <v>1501740.8574558799</v>
      </c>
      <c r="E58" s="1265">
        <v>30</v>
      </c>
      <c r="F58" s="1265">
        <v>480664.690702416</v>
      </c>
    </row>
    <row r="59" spans="1:6">
      <c r="A59" s="1264" t="s">
        <v>48</v>
      </c>
      <c r="B59" s="1264" t="s">
        <v>51</v>
      </c>
      <c r="C59" s="1265">
        <v>65</v>
      </c>
      <c r="D59" s="1265">
        <v>2402738.9288120498</v>
      </c>
      <c r="E59" s="1265">
        <v>127</v>
      </c>
      <c r="F59" s="1265">
        <v>3001325.5316341398</v>
      </c>
    </row>
    <row r="60" spans="1:6">
      <c r="A60" s="1264" t="s">
        <v>48</v>
      </c>
      <c r="B60" s="1264" t="s">
        <v>52</v>
      </c>
      <c r="C60" s="1265">
        <v>45</v>
      </c>
      <c r="D60" s="1265">
        <v>2472692.9987201001</v>
      </c>
      <c r="E60" s="1265">
        <v>62</v>
      </c>
      <c r="F60" s="1265">
        <v>1906031.14481241</v>
      </c>
    </row>
    <row r="61" spans="1:6">
      <c r="A61" s="1264" t="s">
        <v>48</v>
      </c>
      <c r="B61" s="1264" t="s">
        <v>53</v>
      </c>
      <c r="C61" s="1265">
        <v>96</v>
      </c>
      <c r="D61" s="1265">
        <v>2529292.2189224102</v>
      </c>
      <c r="E61" s="1265">
        <v>154</v>
      </c>
      <c r="F61" s="1265">
        <v>1667837.21817393</v>
      </c>
    </row>
    <row r="62" spans="1:6">
      <c r="A62" s="1264" t="s">
        <v>48</v>
      </c>
      <c r="B62" s="1264" t="s">
        <v>54</v>
      </c>
      <c r="C62" s="1265">
        <v>7</v>
      </c>
      <c r="D62" s="1265">
        <v>903826.88116688095</v>
      </c>
      <c r="E62" s="1265">
        <v>11</v>
      </c>
      <c r="F62" s="1265">
        <v>186304.187550667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54948.2318958576</v>
      </c>
      <c r="E65" s="1265">
        <v>0</v>
      </c>
      <c r="F65" s="1265">
        <v>0</v>
      </c>
    </row>
    <row r="66" spans="1:6">
      <c r="A66" s="1264" t="s">
        <v>55</v>
      </c>
      <c r="B66" s="1264" t="s">
        <v>57</v>
      </c>
      <c r="C66" s="1265">
        <v>0</v>
      </c>
      <c r="D66" s="1265">
        <v>0</v>
      </c>
      <c r="E66" s="1265">
        <v>8</v>
      </c>
      <c r="F66" s="1265">
        <v>142517.87171461899</v>
      </c>
    </row>
    <row r="67" spans="1:6">
      <c r="A67" s="1264" t="s">
        <v>55</v>
      </c>
      <c r="B67" s="1264" t="s">
        <v>58</v>
      </c>
      <c r="C67" s="1265">
        <v>0</v>
      </c>
      <c r="D67" s="1265">
        <v>0</v>
      </c>
      <c r="E67" s="1265">
        <v>0</v>
      </c>
      <c r="F67" s="1265">
        <v>0</v>
      </c>
    </row>
    <row r="68" spans="1:6">
      <c r="A68" s="1259" t="s">
        <v>55</v>
      </c>
      <c r="B68" s="1259" t="s">
        <v>59</v>
      </c>
      <c r="C68" s="1267">
        <v>0</v>
      </c>
      <c r="D68" s="1267">
        <v>0</v>
      </c>
      <c r="E68" s="1267">
        <v>4</v>
      </c>
      <c r="F68" s="1267">
        <v>64042.064092842797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78900193</v>
      </c>
      <c r="E73" s="443"/>
      <c r="F73" s="324"/>
    </row>
    <row r="74" spans="1:6">
      <c r="A74" s="1264" t="s">
        <v>63</v>
      </c>
      <c r="B74" s="1264" t="s">
        <v>608</v>
      </c>
      <c r="C74" s="1277" t="s">
        <v>610</v>
      </c>
      <c r="D74" s="1265">
        <v>6317768.8024318479</v>
      </c>
      <c r="E74" s="443"/>
      <c r="F74" s="324"/>
    </row>
    <row r="75" spans="1:6">
      <c r="A75" s="1264" t="s">
        <v>64</v>
      </c>
      <c r="B75" s="1264" t="s">
        <v>607</v>
      </c>
      <c r="C75" s="1277" t="s">
        <v>611</v>
      </c>
      <c r="D75" s="1265">
        <v>14632396</v>
      </c>
      <c r="E75" s="443"/>
      <c r="F75" s="324"/>
    </row>
    <row r="76" spans="1:6">
      <c r="A76" s="1264" t="s">
        <v>64</v>
      </c>
      <c r="B76" s="1264" t="s">
        <v>608</v>
      </c>
      <c r="C76" s="1277" t="s">
        <v>612</v>
      </c>
      <c r="D76" s="1265">
        <v>513692.80243184802</v>
      </c>
      <c r="E76" s="443"/>
      <c r="F76" s="324"/>
    </row>
    <row r="77" spans="1:6">
      <c r="A77" s="1264" t="s">
        <v>65</v>
      </c>
      <c r="B77" s="1264" t="s">
        <v>607</v>
      </c>
      <c r="C77" s="1277" t="s">
        <v>613</v>
      </c>
      <c r="D77" s="1265">
        <v>27002302</v>
      </c>
      <c r="E77" s="443"/>
      <c r="F77" s="324"/>
    </row>
    <row r="78" spans="1:6">
      <c r="A78" s="1259" t="s">
        <v>65</v>
      </c>
      <c r="B78" s="1259" t="s">
        <v>608</v>
      </c>
      <c r="C78" s="1259" t="s">
        <v>614</v>
      </c>
      <c r="D78" s="1267">
        <v>10217778</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176322.395136304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5380.1188795577164</v>
      </c>
      <c r="C91" s="324"/>
      <c r="D91" s="324"/>
      <c r="E91" s="324"/>
      <c r="F91" s="324"/>
    </row>
    <row r="92" spans="1:6">
      <c r="A92" s="1259" t="s">
        <v>68</v>
      </c>
      <c r="B92" s="1260">
        <v>717.52935233947062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1341</v>
      </c>
      <c r="C97" s="324"/>
      <c r="D97" s="324"/>
      <c r="E97" s="324"/>
      <c r="F97" s="324"/>
    </row>
    <row r="98" spans="1:6">
      <c r="A98" s="1264" t="s">
        <v>71</v>
      </c>
      <c r="B98" s="1265">
        <v>4</v>
      </c>
      <c r="C98" s="324"/>
      <c r="D98" s="324"/>
      <c r="E98" s="324"/>
      <c r="F98" s="324"/>
    </row>
    <row r="99" spans="1:6">
      <c r="A99" s="1264" t="s">
        <v>72</v>
      </c>
      <c r="B99" s="1265">
        <v>27</v>
      </c>
      <c r="C99" s="324"/>
      <c r="D99" s="324"/>
      <c r="E99" s="324"/>
      <c r="F99" s="324"/>
    </row>
    <row r="100" spans="1:6">
      <c r="A100" s="1264" t="s">
        <v>73</v>
      </c>
      <c r="B100" s="1265">
        <v>137</v>
      </c>
      <c r="C100" s="324"/>
      <c r="D100" s="324"/>
      <c r="E100" s="324"/>
      <c r="F100" s="324"/>
    </row>
    <row r="101" spans="1:6">
      <c r="A101" s="1264" t="s">
        <v>74</v>
      </c>
      <c r="B101" s="1265">
        <v>112</v>
      </c>
      <c r="C101" s="324"/>
      <c r="D101" s="324"/>
      <c r="E101" s="324"/>
      <c r="F101" s="324"/>
    </row>
    <row r="102" spans="1:6">
      <c r="A102" s="1264" t="s">
        <v>75</v>
      </c>
      <c r="B102" s="1265">
        <v>26</v>
      </c>
      <c r="C102" s="324"/>
      <c r="D102" s="324"/>
      <c r="E102" s="324"/>
      <c r="F102" s="324"/>
    </row>
    <row r="103" spans="1:6">
      <c r="A103" s="1264" t="s">
        <v>76</v>
      </c>
      <c r="B103" s="1265">
        <v>61</v>
      </c>
      <c r="C103" s="324"/>
      <c r="D103" s="324"/>
      <c r="E103" s="324"/>
      <c r="F103" s="324"/>
    </row>
    <row r="104" spans="1:6">
      <c r="A104" s="1264" t="s">
        <v>77</v>
      </c>
      <c r="B104" s="1265">
        <v>1935</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48</v>
      </c>
      <c r="C123" s="1265">
        <v>43</v>
      </c>
      <c r="D123" s="324"/>
      <c r="E123" s="324"/>
      <c r="F123" s="324"/>
    </row>
    <row r="124" spans="1:6">
      <c r="A124" s="1264" t="s">
        <v>88</v>
      </c>
      <c r="B124" s="1265">
        <v>1</v>
      </c>
      <c r="C124" s="1265">
        <v>1</v>
      </c>
      <c r="D124" s="324"/>
      <c r="E124" s="324"/>
      <c r="F124" s="324"/>
    </row>
    <row r="125" spans="1:6">
      <c r="A125" s="1259" t="s">
        <v>793</v>
      </c>
      <c r="B125" s="1265">
        <v>1</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191</v>
      </c>
      <c r="C129" s="324"/>
      <c r="D129" s="324"/>
      <c r="E129" s="324"/>
      <c r="F129" s="324"/>
    </row>
    <row r="130" spans="1:6">
      <c r="A130" s="1264" t="s">
        <v>284</v>
      </c>
      <c r="B130" s="1265">
        <v>5</v>
      </c>
      <c r="C130" s="324"/>
      <c r="D130" s="324"/>
      <c r="E130" s="324"/>
      <c r="F130" s="324"/>
    </row>
    <row r="131" spans="1:6">
      <c r="A131" s="1264" t="s">
        <v>285</v>
      </c>
      <c r="B131" s="1265">
        <v>2</v>
      </c>
      <c r="C131" s="324"/>
      <c r="D131" s="324"/>
      <c r="E131" s="324"/>
      <c r="F131" s="324"/>
    </row>
    <row r="132" spans="1:6">
      <c r="A132" s="1259" t="s">
        <v>286</v>
      </c>
      <c r="B132" s="1260">
        <v>44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34909.707151432762</v>
      </c>
      <c r="C3" s="43" t="s">
        <v>163</v>
      </c>
      <c r="D3" s="43"/>
      <c r="E3" s="153"/>
      <c r="F3" s="43"/>
      <c r="G3" s="43"/>
      <c r="H3" s="43"/>
      <c r="I3" s="43"/>
      <c r="J3" s="43"/>
      <c r="K3" s="96"/>
    </row>
    <row r="4" spans="1:11">
      <c r="A4" s="350" t="s">
        <v>164</v>
      </c>
      <c r="B4" s="49">
        <f>IF(ISERROR('SEAP template'!B78+'SEAP template'!C78),0,'SEAP template'!B78+'SEAP template'!C78)</f>
        <v>6114.6482318971866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3.8155555555555551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0.18239979926361494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5.4655255255255248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24.351351351351351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550.29700000000003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550.29700000000003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0.18239979926361494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100.37406233536952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14795.6896588369</v>
      </c>
      <c r="C5" s="17">
        <f>IF(ISERROR('Eigen informatie GS &amp; warmtenet'!B59),0,'Eigen informatie GS &amp; warmtenet'!B59)</f>
        <v>0</v>
      </c>
      <c r="D5" s="30">
        <f>(SUM(HH_hh_gas_kWh,HH_rest_gas_kWh)/1000)*0.903</f>
        <v>45645.768560030985</v>
      </c>
      <c r="E5" s="17">
        <f>B32*B41</f>
        <v>1279.2412438061808</v>
      </c>
      <c r="F5" s="17">
        <f>B36*B45</f>
        <v>20963.798604125361</v>
      </c>
      <c r="G5" s="18"/>
      <c r="H5" s="17"/>
      <c r="I5" s="17"/>
      <c r="J5" s="17">
        <f>B35*B44+C35*C44</f>
        <v>115.7096616383258</v>
      </c>
      <c r="K5" s="17"/>
      <c r="L5" s="17"/>
      <c r="M5" s="17"/>
      <c r="N5" s="17">
        <f>B34*B43+C34*C43</f>
        <v>5951.6190684409512</v>
      </c>
      <c r="O5" s="17">
        <f>B52*B53*B54</f>
        <v>466.23018155595247</v>
      </c>
      <c r="P5" s="17">
        <f>B60*B61*B62/1000-B60*B61*B62/1000/B63</f>
        <v>979.65821561470705</v>
      </c>
    </row>
    <row r="6" spans="1:16">
      <c r="A6" s="16" t="s">
        <v>573</v>
      </c>
      <c r="B6" s="739">
        <f>kWh_PV_kleiner_dan_10kW</f>
        <v>5380.1188795577164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20175.808538394616</v>
      </c>
      <c r="C8" s="21">
        <f>C5</f>
        <v>0</v>
      </c>
      <c r="D8" s="21">
        <f>D5</f>
        <v>45645.768560030985</v>
      </c>
      <c r="E8" s="21">
        <f>E5</f>
        <v>1279.2412438061808</v>
      </c>
      <c r="F8" s="21">
        <f>F5</f>
        <v>20963.798604125361</v>
      </c>
      <c r="G8" s="21"/>
      <c r="H8" s="21"/>
      <c r="I8" s="21"/>
      <c r="J8" s="21">
        <f>J5</f>
        <v>115.7096616383258</v>
      </c>
      <c r="K8" s="21"/>
      <c r="L8" s="21">
        <f>L5</f>
        <v>0</v>
      </c>
      <c r="M8" s="21">
        <f>M5</f>
        <v>0</v>
      </c>
      <c r="N8" s="21">
        <f>N5</f>
        <v>5951.6190684409512</v>
      </c>
      <c r="O8" s="21">
        <f>O5</f>
        <v>466.23018155595247</v>
      </c>
      <c r="P8" s="21">
        <f>P5</f>
        <v>979.65821561470705</v>
      </c>
    </row>
    <row r="9" spans="1:16">
      <c r="B9" s="19"/>
      <c r="C9" s="19"/>
      <c r="D9" s="253"/>
      <c r="E9" s="19"/>
      <c r="F9" s="19"/>
      <c r="G9" s="19"/>
      <c r="H9" s="19"/>
      <c r="I9" s="19"/>
      <c r="J9" s="19"/>
      <c r="K9" s="19"/>
      <c r="L9" s="19"/>
      <c r="M9" s="19"/>
      <c r="N9" s="19"/>
      <c r="O9" s="19"/>
      <c r="P9" s="19"/>
    </row>
    <row r="10" spans="1:16">
      <c r="A10" s="24" t="s">
        <v>207</v>
      </c>
      <c r="B10" s="25">
        <f ca="1">'EF ele_warmte'!B12</f>
        <v>0.18239979926361494</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3680.0634273843061</v>
      </c>
      <c r="C12" s="23">
        <f ca="1">C10*C8</f>
        <v>0</v>
      </c>
      <c r="D12" s="23">
        <f>D8*D10</f>
        <v>9220.44524912626</v>
      </c>
      <c r="E12" s="23">
        <f>E10*E8</f>
        <v>290.38776234400308</v>
      </c>
      <c r="F12" s="23">
        <f>F10*F8</f>
        <v>5597.3342273014714</v>
      </c>
      <c r="G12" s="23"/>
      <c r="H12" s="23"/>
      <c r="I12" s="23"/>
      <c r="J12" s="23">
        <f>J10*J8</f>
        <v>40.961220219967331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4524</v>
      </c>
      <c r="C26" s="36"/>
      <c r="D26" s="224"/>
    </row>
    <row r="27" spans="1:5" s="15" customFormat="1">
      <c r="A27" s="226" t="s">
        <v>784</v>
      </c>
      <c r="B27" s="37">
        <f>SUM(HH_hh_gas_aantal,HH_rest_gas_aantal)</f>
        <v>2942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2794.9</v>
      </c>
      <c r="C31" s="34" t="s">
        <v>104</v>
      </c>
      <c r="D31" s="170"/>
    </row>
    <row r="32" spans="1:5">
      <c r="A32" s="167" t="s">
        <v>72</v>
      </c>
      <c r="B32" s="33">
        <f>IF((B21*($B$26-($B$27-0.05*$B$27)-$B$60))&lt;0,0,B21*($B$26-($B$27-0.05*$B$27)-$B$60))</f>
        <v>25.236780632033373</v>
      </c>
      <c r="C32" s="34" t="s">
        <v>104</v>
      </c>
      <c r="D32" s="170"/>
    </row>
    <row r="33" spans="1:6">
      <c r="A33" s="167" t="s">
        <v>73</v>
      </c>
      <c r="B33" s="33">
        <f>IF((B22*($B$26-($B$27-0.05*$B$27)-$B$60))&lt;0,0,B22*($B$26-($B$27-0.05*$B$27)-$B$60))</f>
        <v>409.79533547158354</v>
      </c>
      <c r="C33" s="34" t="s">
        <v>104</v>
      </c>
      <c r="D33" s="170"/>
    </row>
    <row r="34" spans="1:6">
      <c r="A34" s="167" t="s">
        <v>74</v>
      </c>
      <c r="B34" s="33">
        <f>IF((B24*($B$26-($B$27-0.05*$B$27)-$B$60))&lt;0,0,B24*($B$26-($B$27-0.05*$B$27)-$B$60))</f>
        <v>179.1868098596876</v>
      </c>
      <c r="C34" s="33">
        <f>B26*C24</f>
        <v>760.03169152014959</v>
      </c>
      <c r="D34" s="229"/>
    </row>
    <row r="35" spans="1:6">
      <c r="A35" s="167" t="s">
        <v>76</v>
      </c>
      <c r="B35" s="33">
        <f>IF((B19*($B$26-($B$27-0.05*$B$27)-$B$60))&lt;0,0,B19*($B$26-($B$27-0.05*$B$27)-$B$60))</f>
        <v>10.970368374613052</v>
      </c>
      <c r="C35" s="33">
        <f>B35/2</f>
        <v>5.4851841873065261</v>
      </c>
      <c r="D35" s="229"/>
    </row>
    <row r="36" spans="1:6">
      <c r="A36" s="167" t="s">
        <v>77</v>
      </c>
      <c r="B36" s="33">
        <f>IF((B18*($B$26-($B$27-0.05*$B$27)-$B$60))&lt;0,0,B18*($B$26-($B$27-0.05*$B$27)-$B$60))</f>
        <v>1010.9107056620819</v>
      </c>
      <c r="C36" s="34" t="s">
        <v>104</v>
      </c>
      <c r="D36" s="170"/>
    </row>
    <row r="37" spans="1:6">
      <c r="A37" s="167" t="s">
        <v>78</v>
      </c>
      <c r="B37" s="33">
        <f>B60</f>
        <v>93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235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8683.7241991230621</v>
      </c>
      <c r="C5" s="17">
        <f>IF(ISERROR('Eigen informatie GS &amp; warmtenet'!B60),0,'Eigen informatie GS &amp; warmtenet'!B60)</f>
        <v>0</v>
      </c>
      <c r="D5" s="30">
        <f>SUM(D6:D12)</f>
        <v>10747.552132702564</v>
      </c>
      <c r="E5" s="17">
        <f>SUM(E6:E12)</f>
        <v>31.703957334137108</v>
      </c>
      <c r="F5" s="17">
        <f>SUM(F6:F12)</f>
        <v>1976.4408342464276</v>
      </c>
      <c r="G5" s="18"/>
      <c r="H5" s="17"/>
      <c r="I5" s="17"/>
      <c r="J5" s="17">
        <f>SUM(J6:J12)</f>
        <v>1.4236601318987966E-2</v>
      </c>
      <c r="K5" s="17"/>
      <c r="L5" s="17"/>
      <c r="M5" s="17"/>
      <c r="N5" s="17">
        <f>SUM(N6:N12)</f>
        <v>503.52770398200215</v>
      </c>
      <c r="O5" s="17">
        <f>B38*B39*B40</f>
        <v>24.486303829205774</v>
      </c>
      <c r="P5" s="17">
        <f>B46*B47*B48/1000-B46*B47*B48/1000/B49</f>
        <v>157.61741491948504</v>
      </c>
      <c r="R5" s="32"/>
    </row>
    <row r="6" spans="1:18">
      <c r="A6" s="32" t="s">
        <v>53</v>
      </c>
      <c r="B6" s="37">
        <f>B26</f>
        <v>1667.8372181739301</v>
      </c>
      <c r="C6" s="33"/>
      <c r="D6" s="37">
        <f>IF(ISERROR(TER_kantoor_gas_kWh/1000),0,TER_kantoor_gas_kWh/1000)*0.903</f>
        <v>2283.9508736869361</v>
      </c>
      <c r="E6" s="33">
        <f>$C$26*'E Balans VL '!I12/100/3.6*1000000</f>
        <v>0.40562981565236583</v>
      </c>
      <c r="F6" s="33">
        <f>$C$26*('E Balans VL '!L12+'E Balans VL '!N12)/100/3.6*1000000</f>
        <v>159.70597461457777</v>
      </c>
      <c r="G6" s="34"/>
      <c r="H6" s="33"/>
      <c r="I6" s="33"/>
      <c r="J6" s="33">
        <f>$C$26*('E Balans VL '!D12+'E Balans VL '!E12)/100/3.6*1000000</f>
        <v>0</v>
      </c>
      <c r="K6" s="33"/>
      <c r="L6" s="33"/>
      <c r="M6" s="33"/>
      <c r="N6" s="33">
        <f>$C$26*'E Balans VL '!Y12/100/3.6*1000000</f>
        <v>0.84671761676336355</v>
      </c>
      <c r="O6" s="33"/>
      <c r="P6" s="33"/>
      <c r="R6" s="32"/>
    </row>
    <row r="7" spans="1:18">
      <c r="A7" s="32" t="s">
        <v>52</v>
      </c>
      <c r="B7" s="37">
        <f t="shared" ref="B7:B12" si="0">B27</f>
        <v>1906.03114481241</v>
      </c>
      <c r="C7" s="33"/>
      <c r="D7" s="37">
        <f>IF(ISERROR(TER_horeca_gas_kWh/1000),0,TER_horeca_gas_kWh/1000)*0.903</f>
        <v>2232.8417778442504</v>
      </c>
      <c r="E7" s="33">
        <f>$C$27*'E Balans VL '!I9/100/3.6*1000000</f>
        <v>0</v>
      </c>
      <c r="F7" s="33">
        <f>$C$27*('E Balans VL '!L9+'E Balans VL '!N9)/100/3.6*1000000</f>
        <v>156.33093819214503</v>
      </c>
      <c r="G7" s="34"/>
      <c r="H7" s="33"/>
      <c r="I7" s="33"/>
      <c r="J7" s="33">
        <f>$C$27*('E Balans VL '!D9+'E Balans VL '!E9)/100/3.6*1000000</f>
        <v>0</v>
      </c>
      <c r="K7" s="33"/>
      <c r="L7" s="33"/>
      <c r="M7" s="33"/>
      <c r="N7" s="33">
        <f>$C$27*'E Balans VL '!Y9/100/3.6*1000000</f>
        <v>12.518434886037877</v>
      </c>
      <c r="O7" s="33"/>
      <c r="P7" s="33"/>
      <c r="R7" s="32"/>
    </row>
    <row r="8" spans="1:18">
      <c r="A8" s="6" t="s">
        <v>51</v>
      </c>
      <c r="B8" s="37">
        <f t="shared" si="0"/>
        <v>3001.3255316341397</v>
      </c>
      <c r="C8" s="33"/>
      <c r="D8" s="37">
        <f>IF(ISERROR(TER_handel_gas_kWh/1000),0,TER_handel_gas_kWh/1000)*0.903</f>
        <v>2169.6732527172812</v>
      </c>
      <c r="E8" s="33">
        <f>$C$28*'E Balans VL '!I13/100/3.6*1000000</f>
        <v>10.609841238853495</v>
      </c>
      <c r="F8" s="33">
        <f>$C$28*('E Balans VL '!L13+'E Balans VL '!N13)/100/3.6*1000000</f>
        <v>276.35787847413764</v>
      </c>
      <c r="G8" s="34"/>
      <c r="H8" s="33"/>
      <c r="I8" s="33"/>
      <c r="J8" s="33">
        <f>$C$28*('E Balans VL '!D13+'E Balans VL '!E13)/100/3.6*1000000</f>
        <v>0</v>
      </c>
      <c r="K8" s="33"/>
      <c r="L8" s="33"/>
      <c r="M8" s="33"/>
      <c r="N8" s="33">
        <f>$C$28*'E Balans VL '!Y13/100/3.6*1000000</f>
        <v>1.0869508956580403</v>
      </c>
      <c r="O8" s="33"/>
      <c r="P8" s="33"/>
      <c r="R8" s="32"/>
    </row>
    <row r="9" spans="1:18">
      <c r="A9" s="32" t="s">
        <v>50</v>
      </c>
      <c r="B9" s="37">
        <f t="shared" si="0"/>
        <v>480.66469070241601</v>
      </c>
      <c r="C9" s="33"/>
      <c r="D9" s="37">
        <f>IF(ISERROR(TER_gezond_gas_kWh/1000),0,TER_gezond_gas_kWh/1000)*0.903</f>
        <v>1356.0719942826595</v>
      </c>
      <c r="E9" s="33">
        <f>$C$29*'E Balans VL '!I10/100/3.6*1000000</f>
        <v>0</v>
      </c>
      <c r="F9" s="33">
        <f>$C$29*('E Balans VL '!L10+'E Balans VL '!N10)/100/3.6*1000000</f>
        <v>59.047694871679163</v>
      </c>
      <c r="G9" s="34"/>
      <c r="H9" s="33"/>
      <c r="I9" s="33"/>
      <c r="J9" s="33">
        <f>$C$29*('E Balans VL '!D10+'E Balans VL '!E10)/100/3.6*1000000</f>
        <v>0</v>
      </c>
      <c r="K9" s="33"/>
      <c r="L9" s="33"/>
      <c r="M9" s="33"/>
      <c r="N9" s="33">
        <f>$C$29*'E Balans VL '!Y10/100/3.6*1000000</f>
        <v>3.5445671404164316</v>
      </c>
      <c r="O9" s="33"/>
      <c r="P9" s="33"/>
      <c r="R9" s="32"/>
    </row>
    <row r="10" spans="1:18">
      <c r="A10" s="32" t="s">
        <v>49</v>
      </c>
      <c r="B10" s="37">
        <f t="shared" si="0"/>
        <v>1441.5614262494998</v>
      </c>
      <c r="C10" s="33"/>
      <c r="D10" s="37">
        <f>IF(ISERROR(TER_ander_gas_kWh/1000),0,TER_ander_gas_kWh/1000)*0.903</f>
        <v>1888.858560477744</v>
      </c>
      <c r="E10" s="33">
        <f>$C$30*'E Balans VL '!I14/100/3.6*1000000</f>
        <v>20.688486279631245</v>
      </c>
      <c r="F10" s="33">
        <f>$C$30*('E Balans VL '!L14+'E Balans VL '!N14)/100/3.6*1000000</f>
        <v>1303.2171699820453</v>
      </c>
      <c r="G10" s="34"/>
      <c r="H10" s="33"/>
      <c r="I10" s="33"/>
      <c r="J10" s="33">
        <f>$C$30*('E Balans VL '!D14+'E Balans VL '!E14)/100/3.6*1000000</f>
        <v>1.4236601318987966E-2</v>
      </c>
      <c r="K10" s="33"/>
      <c r="L10" s="33"/>
      <c r="M10" s="33"/>
      <c r="N10" s="33">
        <f>$C$30*'E Balans VL '!Y14/100/3.6*1000000</f>
        <v>485.00642224452042</v>
      </c>
      <c r="O10" s="33"/>
      <c r="P10" s="33"/>
      <c r="R10" s="32"/>
    </row>
    <row r="11" spans="1:18">
      <c r="A11" s="32" t="s">
        <v>54</v>
      </c>
      <c r="B11" s="37">
        <f t="shared" si="0"/>
        <v>186.304187550667</v>
      </c>
      <c r="C11" s="33"/>
      <c r="D11" s="37">
        <f>IF(ISERROR(TER_onderwijs_gas_kWh/1000),0,TER_onderwijs_gas_kWh/1000)*0.903</f>
        <v>816.15567369369353</v>
      </c>
      <c r="E11" s="33">
        <f>$C$31*'E Balans VL '!I11/100/3.6*1000000</f>
        <v>0</v>
      </c>
      <c r="F11" s="33">
        <f>$C$31*('E Balans VL '!L11+'E Balans VL '!N11)/100/3.6*1000000</f>
        <v>21.781178111842522</v>
      </c>
      <c r="G11" s="34"/>
      <c r="H11" s="33"/>
      <c r="I11" s="33"/>
      <c r="J11" s="33">
        <f>$C$31*('E Balans VL '!D11+'E Balans VL '!E11)/100/3.6*1000000</f>
        <v>0</v>
      </c>
      <c r="K11" s="33"/>
      <c r="L11" s="33"/>
      <c r="M11" s="33"/>
      <c r="N11" s="33">
        <f>$C$31*'E Balans VL '!Y11/100/3.6*1000000</f>
        <v>0.52461119860603556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17</v>
      </c>
      <c r="C13" s="242">
        <f ca="1">'lokale energieproductie'!O38+'lokale energieproductie'!O31</f>
        <v>24.351351351351351</v>
      </c>
      <c r="D13" s="302">
        <f ca="1">('lokale energieproductie'!P31+'lokale energieproductie'!P38)*(-1)</f>
        <v>-45.945945945945944</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8700.7241991230621</v>
      </c>
      <c r="C16" s="21">
        <f t="shared" ca="1" si="1"/>
        <v>24.351351351351351</v>
      </c>
      <c r="D16" s="21">
        <f t="shared" ca="1" si="1"/>
        <v>10701.606186756617</v>
      </c>
      <c r="E16" s="21">
        <f t="shared" si="1"/>
        <v>31.703957334137108</v>
      </c>
      <c r="F16" s="21">
        <f t="shared" ca="1" si="1"/>
        <v>1976.4408342464276</v>
      </c>
      <c r="G16" s="21">
        <f t="shared" si="1"/>
        <v>0</v>
      </c>
      <c r="H16" s="21">
        <f t="shared" si="1"/>
        <v>0</v>
      </c>
      <c r="I16" s="21">
        <f t="shared" si="1"/>
        <v>0</v>
      </c>
      <c r="J16" s="21">
        <f t="shared" si="1"/>
        <v>1.4236601318987966E-2</v>
      </c>
      <c r="K16" s="21">
        <f t="shared" si="1"/>
        <v>0</v>
      </c>
      <c r="L16" s="21">
        <f t="shared" ca="1" si="1"/>
        <v>0</v>
      </c>
      <c r="M16" s="21">
        <f t="shared" si="1"/>
        <v>0</v>
      </c>
      <c r="N16" s="21">
        <f t="shared" ca="1" si="1"/>
        <v>503.52770398200215</v>
      </c>
      <c r="O16" s="21">
        <f>O5</f>
        <v>24.486303829205774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0.18239979926361494</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1587.0103473681233</v>
      </c>
      <c r="C20" s="23">
        <f t="shared" ref="C20:P20" ca="1" si="2">C16*C18</f>
        <v>5.4655255255255248</v>
      </c>
      <c r="D20" s="23">
        <f t="shared" ca="1" si="2"/>
        <v>2161.7244497248366</v>
      </c>
      <c r="E20" s="23">
        <f t="shared" si="2"/>
        <v>7.1967983148491239</v>
      </c>
      <c r="F20" s="23">
        <f t="shared" ca="1" si="2"/>
        <v>527.70970274379624</v>
      </c>
      <c r="G20" s="23">
        <f t="shared" si="2"/>
        <v>0</v>
      </c>
      <c r="H20" s="23">
        <f t="shared" si="2"/>
        <v>0</v>
      </c>
      <c r="I20" s="23">
        <f t="shared" si="2"/>
        <v>0</v>
      </c>
      <c r="J20" s="23">
        <f t="shared" si="2"/>
        <v>5.0397568669217395E-3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1667.8372181739301</v>
      </c>
      <c r="C26" s="39">
        <f>IF(ISERROR(B26*3.6/1000000/'E Balans VL '!Z12*100),0,B26*3.6/1000000/'E Balans VL '!Z12*100)</f>
        <v>4.7012028839330609E-2</v>
      </c>
      <c r="D26" s="232" t="s">
        <v>660</v>
      </c>
      <c r="F26" s="6"/>
    </row>
    <row r="27" spans="1:18">
      <c r="A27" s="227" t="s">
        <v>52</v>
      </c>
      <c r="B27" s="33">
        <f>IF(ISERROR(TER_horeca_ele_kWh/1000),0,TER_horeca_ele_kWh/1000)</f>
        <v>1906.03114481241</v>
      </c>
      <c r="C27" s="39">
        <f>IF(ISERROR(B27*3.6/1000000/'E Balans VL '!Z9*100),0,B27*3.6/1000000/'E Balans VL '!Z9*100)</f>
        <v>0.14130879441043526</v>
      </c>
      <c r="D27" s="232" t="s">
        <v>660</v>
      </c>
      <c r="F27" s="6"/>
    </row>
    <row r="28" spans="1:18">
      <c r="A28" s="167" t="s">
        <v>51</v>
      </c>
      <c r="B28" s="33">
        <f>IF(ISERROR(TER_handel_ele_kWh/1000),0,TER_handel_ele_kWh/1000)</f>
        <v>3001.3255316341397</v>
      </c>
      <c r="C28" s="39">
        <f>IF(ISERROR(B28*3.6/1000000/'E Balans VL '!Z13*100),0,B28*3.6/1000000/'E Balans VL '!Z13*100)</f>
        <v>8.9912577009882158E-2</v>
      </c>
      <c r="D28" s="232" t="s">
        <v>660</v>
      </c>
      <c r="F28" s="6"/>
    </row>
    <row r="29" spans="1:18">
      <c r="A29" s="227" t="s">
        <v>50</v>
      </c>
      <c r="B29" s="33">
        <f>IF(ISERROR(TER_gezond_ele_kWh/1000),0,TER_gezond_ele_kWh/1000)</f>
        <v>480.66469070241601</v>
      </c>
      <c r="C29" s="39">
        <f>IF(ISERROR(B29*3.6/1000000/'E Balans VL '!Z10*100),0,B29*3.6/1000000/'E Balans VL '!Z10*100)</f>
        <v>4.752831301227288E-2</v>
      </c>
      <c r="D29" s="232" t="s">
        <v>660</v>
      </c>
      <c r="F29" s="6"/>
    </row>
    <row r="30" spans="1:18">
      <c r="A30" s="227" t="s">
        <v>49</v>
      </c>
      <c r="B30" s="33">
        <f>IF(ISERROR(TER_ander_ele_kWh/1000),0,TER_ander_ele_kWh/1000)</f>
        <v>1441.5614262494998</v>
      </c>
      <c r="C30" s="39">
        <f>IF(ISERROR(B30*3.6/1000000/'E Balans VL '!Z14*100),0,B30*3.6/1000000/'E Balans VL '!Z14*100)</f>
        <v>5.8306899599950709E-2</v>
      </c>
      <c r="D30" s="232" t="s">
        <v>660</v>
      </c>
      <c r="F30" s="6"/>
    </row>
    <row r="31" spans="1:18">
      <c r="A31" s="227" t="s">
        <v>54</v>
      </c>
      <c r="B31" s="33">
        <f>IF(ISERROR(TER_onderwijs_ele_kWh/1000),0,TER_onderwijs_ele_kWh/1000)</f>
        <v>186.304187550667</v>
      </c>
      <c r="C31" s="39">
        <f>IF(ISERROR(B31*3.6/1000000/'E Balans VL '!Z11*100),0,B31*3.6/1000000/'E Balans VL '!Z11*100)</f>
        <v>5.1185908266003194E-2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5</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2722.9290008355488</v>
      </c>
      <c r="C5" s="17">
        <f>IF(ISERROR('Eigen informatie GS &amp; warmtenet'!B61),0,'Eigen informatie GS &amp; warmtenet'!B61)</f>
        <v>0</v>
      </c>
      <c r="D5" s="30">
        <f>SUM(D6:D15)</f>
        <v>2064.2991026620166</v>
      </c>
      <c r="E5" s="17">
        <f>SUM(E6:E15)</f>
        <v>10.56930863466533</v>
      </c>
      <c r="F5" s="17">
        <f>SUM(F6:F15)</f>
        <v>1084.9575125636538</v>
      </c>
      <c r="G5" s="18"/>
      <c r="H5" s="17"/>
      <c r="I5" s="17"/>
      <c r="J5" s="17">
        <f>SUM(J6:J15)</f>
        <v>0.64703615034349482</v>
      </c>
      <c r="K5" s="17"/>
      <c r="L5" s="17"/>
      <c r="M5" s="17"/>
      <c r="N5" s="17">
        <f>SUM(N6:N15)</f>
        <v>79.766432871556205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623.43777843236091</v>
      </c>
      <c r="C8" s="33"/>
      <c r="D8" s="37">
        <f>IF( ISERROR(IND_metaal_Gas_kWH/1000),0,IND_metaal_Gas_kWH/1000)*0.903</f>
        <v>185.83691754171326</v>
      </c>
      <c r="E8" s="33">
        <f>C30*'E Balans VL '!I18/100/3.6*1000000</f>
        <v>3.4073582538764873</v>
      </c>
      <c r="F8" s="33">
        <f>C30*'E Balans VL '!L18/100/3.6*1000000+C30*'E Balans VL '!N18/100/3.6*1000000</f>
        <v>42.673387513683473</v>
      </c>
      <c r="G8" s="34"/>
      <c r="H8" s="33"/>
      <c r="I8" s="33"/>
      <c r="J8" s="40">
        <f>C30*'E Balans VL '!D18/100/3.6*1000000+C30*'E Balans VL '!E18/100/3.6*1000000</f>
        <v>0.62129777461305735</v>
      </c>
      <c r="K8" s="33"/>
      <c r="L8" s="33"/>
      <c r="M8" s="33"/>
      <c r="N8" s="33">
        <f>C30*'E Balans VL '!Y18/100/3.6*1000000</f>
        <v>9.2209449478168395</v>
      </c>
      <c r="O8" s="33"/>
      <c r="P8" s="33"/>
      <c r="R8" s="32"/>
    </row>
    <row r="9" spans="1:18">
      <c r="A9" s="6" t="s">
        <v>32</v>
      </c>
      <c r="B9" s="37">
        <f t="shared" si="0"/>
        <v>1603.8561094752599</v>
      </c>
      <c r="C9" s="33"/>
      <c r="D9" s="37">
        <f>IF( ISERROR(IND_andere_gas_kWh/1000),0,IND_andere_gas_kWh/1000)*0.903</f>
        <v>1468.0520450238853</v>
      </c>
      <c r="E9" s="33">
        <f>C31*'E Balans VL '!I19/100/3.6*1000000</f>
        <v>6.0357346691265912</v>
      </c>
      <c r="F9" s="33">
        <f>C31*'E Balans VL '!L19/100/3.6*1000000+C31*'E Balans VL '!N19/100/3.6*1000000</f>
        <v>1032.2851642877333</v>
      </c>
      <c r="G9" s="34"/>
      <c r="H9" s="33"/>
      <c r="I9" s="33"/>
      <c r="J9" s="40">
        <f>C31*'E Balans VL '!D19/100/3.6*1000000+C31*'E Balans VL '!E19/100/3.6*1000000</f>
        <v>0</v>
      </c>
      <c r="K9" s="33"/>
      <c r="L9" s="33"/>
      <c r="M9" s="33"/>
      <c r="N9" s="33">
        <f>C31*'E Balans VL '!Y19/100/3.6*1000000</f>
        <v>57.940375158618458</v>
      </c>
      <c r="O9" s="33"/>
      <c r="P9" s="33"/>
      <c r="R9" s="32"/>
    </row>
    <row r="10" spans="1:18">
      <c r="A10" s="6" t="s">
        <v>40</v>
      </c>
      <c r="B10" s="37">
        <f t="shared" si="0"/>
        <v>435.38419777983103</v>
      </c>
      <c r="C10" s="33"/>
      <c r="D10" s="37">
        <f>IF( ISERROR(IND_voed_gas_kWh/1000),0,IND_voed_gas_kWh/1000)*0.903</f>
        <v>315.18860822721575</v>
      </c>
      <c r="E10" s="33">
        <f>C32*'E Balans VL '!I20/100/3.6*1000000</f>
        <v>0.86187562996654288</v>
      </c>
      <c r="F10" s="33">
        <f>C32*'E Balans VL '!L20/100/3.6*1000000+C32*'E Balans VL '!N20/100/3.6*1000000</f>
        <v>9.2470264094129053</v>
      </c>
      <c r="G10" s="34"/>
      <c r="H10" s="33"/>
      <c r="I10" s="33"/>
      <c r="J10" s="40">
        <f>C32*'E Balans VL '!D20/100/3.6*1000000+C32*'E Balans VL '!E20/100/3.6*1000000</f>
        <v>0</v>
      </c>
      <c r="K10" s="33"/>
      <c r="L10" s="33"/>
      <c r="M10" s="33"/>
      <c r="N10" s="33">
        <f>C32*'E Balans VL '!Y20/100/3.6*1000000</f>
        <v>17.547637613125197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55.368327041583001</v>
      </c>
      <c r="C13" s="33"/>
      <c r="D13" s="37">
        <f>IF( ISERROR(IND_papier_gas_kWh/1000),0,IND_papier_gas_kWh/1000)*0.903</f>
        <v>65.560585815031359</v>
      </c>
      <c r="E13" s="33">
        <f>C35*'E Balans VL '!I23/100/3.6*1000000</f>
        <v>0</v>
      </c>
      <c r="F13" s="33">
        <f>C35*'E Balans VL '!L23/100/3.6*1000000+C35*'E Balans VL '!N23/100/3.6*1000000</f>
        <v>6.7829695587265136E-3</v>
      </c>
      <c r="G13" s="34"/>
      <c r="H13" s="33"/>
      <c r="I13" s="33"/>
      <c r="J13" s="40">
        <f>C35*'E Balans VL '!D23/100/3.6*1000000+C35*'E Balans VL '!E23/100/3.6*1000000</f>
        <v>4.3140143456548586E-3</v>
      </c>
      <c r="K13" s="33"/>
      <c r="L13" s="33"/>
      <c r="M13" s="33"/>
      <c r="N13" s="33">
        <f>C35*'E Balans VL '!Y23/100/3.6*1000000</f>
        <v>-5.0809295699059494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4.8825881065135999</v>
      </c>
      <c r="C15" s="33"/>
      <c r="D15" s="37">
        <f>IF( ISERROR(IND_rest_gas_kWh/1000),0,IND_rest_gas_kWh/1000)*0.903</f>
        <v>29.660946054170914</v>
      </c>
      <c r="E15" s="33">
        <f>C37*'E Balans VL '!I15/100/3.6*1000000</f>
        <v>0.2643400816957085</v>
      </c>
      <c r="F15" s="33">
        <f>C37*'E Balans VL '!L15/100/3.6*1000000+C37*'E Balans VL '!N15/100/3.6*1000000</f>
        <v>0.74515138326522445</v>
      </c>
      <c r="G15" s="34"/>
      <c r="H15" s="33"/>
      <c r="I15" s="33"/>
      <c r="J15" s="40">
        <f>C37*'E Balans VL '!D15/100/3.6*1000000+C37*'E Balans VL '!E15/100/3.6*1000000</f>
        <v>2.1424361384782695E-2</v>
      </c>
      <c r="K15" s="33"/>
      <c r="L15" s="33"/>
      <c r="M15" s="33"/>
      <c r="N15" s="33">
        <f>C37*'E Balans VL '!Y15/100/3.6*1000000</f>
        <v>0.13840472190166356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2722.9290008355488</v>
      </c>
      <c r="C18" s="21">
        <f>C5+C16</f>
        <v>0</v>
      </c>
      <c r="D18" s="21">
        <f>MAX((D5+D16),0)</f>
        <v>2064.2991026620166</v>
      </c>
      <c r="E18" s="21">
        <f>MAX((E5+E16),0)</f>
        <v>10.56930863466533</v>
      </c>
      <c r="F18" s="21">
        <f>MAX((F5+F16),0)</f>
        <v>1084.9575125636538</v>
      </c>
      <c r="G18" s="21"/>
      <c r="H18" s="21"/>
      <c r="I18" s="21"/>
      <c r="J18" s="21">
        <f>MAX((J5+J16),0)</f>
        <v>0.64703615034349482</v>
      </c>
      <c r="K18" s="21"/>
      <c r="L18" s="21">
        <f>MAX((L5+L16),0)</f>
        <v>0</v>
      </c>
      <c r="M18" s="21"/>
      <c r="N18" s="21">
        <f>MAX((N5+N16),0)</f>
        <v>79.766432871556205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0.18239979926361494</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496.66170316147969</v>
      </c>
      <c r="C22" s="23">
        <f ca="1">C18*C20</f>
        <v>0</v>
      </c>
      <c r="D22" s="23">
        <f>D18*D20</f>
        <v>416.98841873772739</v>
      </c>
      <c r="E22" s="23">
        <f>E18*E20</f>
        <v>2.3992330600690299</v>
      </c>
      <c r="F22" s="23">
        <f>F18*F20</f>
        <v>289.68365585449561</v>
      </c>
      <c r="G22" s="23"/>
      <c r="H22" s="23"/>
      <c r="I22" s="23"/>
      <c r="J22" s="23">
        <f>J18*J20</f>
        <v>0.22905079722159716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623.43777843236091</v>
      </c>
      <c r="C30" s="39">
        <f>IF(ISERROR(B30*3.6/1000000/'E Balans VL '!Z18*100),0,B30*3.6/1000000/'E Balans VL '!Z18*100)</f>
        <v>3.478494539046656E-2</v>
      </c>
      <c r="D30" s="232" t="s">
        <v>660</v>
      </c>
    </row>
    <row r="31" spans="1:18">
      <c r="A31" s="6" t="s">
        <v>32</v>
      </c>
      <c r="B31" s="37">
        <f>IF( ISERROR(IND_ander_ele_kWh/1000),0,IND_ander_ele_kWh/1000)</f>
        <v>1603.8561094752599</v>
      </c>
      <c r="C31" s="39">
        <f>IF(ISERROR(B31*3.6/1000000/'E Balans VL '!Z19*100),0,B31*3.6/1000000/'E Balans VL '!Z19*100)</f>
        <v>6.5281892754270238E-2</v>
      </c>
      <c r="D31" s="232" t="s">
        <v>660</v>
      </c>
    </row>
    <row r="32" spans="1:18">
      <c r="A32" s="167" t="s">
        <v>40</v>
      </c>
      <c r="B32" s="37">
        <f>IF( ISERROR(IND_voed_ele_kWh/1000),0,IND_voed_ele_kWh/1000)</f>
        <v>435.38419777983103</v>
      </c>
      <c r="C32" s="39">
        <f>IF(ISERROR(B32*3.6/1000000/'E Balans VL '!Z20*100),0,B32*3.6/1000000/'E Balans VL '!Z20*100)</f>
        <v>1.2663080221149672E-2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55.368327041583001</v>
      </c>
      <c r="C35" s="39">
        <f>IF(ISERROR(B35*3.6/1000000/'E Balans VL '!Z22*100),0,B35*3.6/1000000/'E Balans VL '!Z22*100)</f>
        <v>2.2211490206604522E-2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4.8825881065135999</v>
      </c>
      <c r="C37" s="39">
        <f>IF(ISERROR(B37*3.6/1000000/'E Balans VL '!Z15*100),0,B37*3.6/1000000/'E Balans VL '!Z15*100)</f>
        <v>3.9327006629753866E-5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2137.0591657536102</v>
      </c>
      <c r="C5" s="17">
        <f>'Eigen informatie GS &amp; warmtenet'!B62</f>
        <v>0</v>
      </c>
      <c r="D5" s="30">
        <f>IF(ISERROR(SUM(LB_lb_gas_kWh,LB_rest_gas_kWh)/1000),0,SUM(LB_lb_gas_kWh,LB_rest_gas_kWh)/1000)*0.903</f>
        <v>417.8744379095188</v>
      </c>
      <c r="E5" s="17">
        <f>B17*'E Balans VL '!I25/3.6*1000000/100</f>
        <v>63.006545950152237</v>
      </c>
      <c r="F5" s="17">
        <f>B17*('E Balans VL '!L25/3.6*1000000+'E Balans VL '!N25/3.6*1000000)/100</f>
        <v>6792.3335164173359</v>
      </c>
      <c r="G5" s="18"/>
      <c r="H5" s="17"/>
      <c r="I5" s="17"/>
      <c r="J5" s="17">
        <f>('E Balans VL '!D25+'E Balans VL '!E25)/3.6*1000000*landbouw!B17/100</f>
        <v>538.95319846461405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2137.0591657536102</v>
      </c>
      <c r="C8" s="21">
        <f>C5+C6</f>
        <v>0</v>
      </c>
      <c r="D8" s="21">
        <f>MAX((D5+D6),0)</f>
        <v>417.8744379095188</v>
      </c>
      <c r="E8" s="21">
        <f>MAX((E5+E6),0)</f>
        <v>63.006545950152237</v>
      </c>
      <c r="F8" s="21">
        <f>MAX((F5+F6),0)</f>
        <v>6792.3335164173359</v>
      </c>
      <c r="G8" s="21"/>
      <c r="H8" s="21"/>
      <c r="I8" s="21"/>
      <c r="J8" s="21">
        <f>MAX((J5+J6),0)</f>
        <v>538.95319846461405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0.18239979926361494</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389.79916284792688</v>
      </c>
      <c r="C12" s="23">
        <f ca="1">C8*C10</f>
        <v>0</v>
      </c>
      <c r="D12" s="23">
        <f>D8*D10</f>
        <v>84.410636457722802</v>
      </c>
      <c r="E12" s="23">
        <f>E8*E10</f>
        <v>14.302485930684558</v>
      </c>
      <c r="F12" s="23">
        <f>F8*F10</f>
        <v>1813.5530488834288</v>
      </c>
      <c r="G12" s="23"/>
      <c r="H12" s="23"/>
      <c r="I12" s="23"/>
      <c r="J12" s="23">
        <f>J8*J10</f>
        <v>190.78943225647336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0.2935194997211415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437.30124442251866</v>
      </c>
      <c r="C26" s="242">
        <f>B26*'GWP N2O_CH4'!B5</f>
        <v>9183.3261328728913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212.93253876072797</v>
      </c>
      <c r="C27" s="242">
        <f>B27*'GWP N2O_CH4'!B5</f>
        <v>4471.5833139752876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14.345029142947805</v>
      </c>
      <c r="C28" s="242">
        <f>B28*'GWP N2O_CH4'!B4</f>
        <v>4446.9590343138198</v>
      </c>
      <c r="D28" s="50"/>
    </row>
    <row r="29" spans="1:4">
      <c r="A29" s="41" t="s">
        <v>266</v>
      </c>
      <c r="B29" s="242">
        <f>B34*'ha_N2O bodem landbouw'!B4</f>
        <v>18.021385447288978</v>
      </c>
      <c r="C29" s="242">
        <f>B29*'GWP N2O_CH4'!B4</f>
        <v>5586.6294886595833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4.1071252091237432E-3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6.6111929855751622E-4</v>
      </c>
      <c r="C5" s="430" t="s">
        <v>204</v>
      </c>
      <c r="D5" s="415">
        <f>SUM(D6:D11)</f>
        <v>1.1400131354153227E-3</v>
      </c>
      <c r="E5" s="415">
        <f>SUM(E6:E11)</f>
        <v>6.5155208288796907E-4</v>
      </c>
      <c r="F5" s="428" t="s">
        <v>204</v>
      </c>
      <c r="G5" s="415">
        <f>SUM(G6:G11)</f>
        <v>0.35220511965734436</v>
      </c>
      <c r="H5" s="415">
        <f>SUM(H6:H11)</f>
        <v>7.5854910603407169E-2</v>
      </c>
      <c r="I5" s="430" t="s">
        <v>204</v>
      </c>
      <c r="J5" s="430" t="s">
        <v>204</v>
      </c>
      <c r="K5" s="430" t="s">
        <v>204</v>
      </c>
      <c r="L5" s="430" t="s">
        <v>204</v>
      </c>
      <c r="M5" s="415">
        <f>SUM(M6:M11)</f>
        <v>2.5102778175265218E-2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3.9381012163090519E-4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6.8725628960479926E-4</v>
      </c>
      <c r="E6" s="844">
        <f>vkm_GW_PW*SUMIFS(TableVerdeelsleutelVkm[LPG],TableVerdeelsleutelVkm[Voertuigtype],"Lichte voertuigen")*SUMIFS(TableECFTransport[EnergieConsumptieFactor (PJ per km)],TableECFTransport[Index],CONCATENATE($A6,"_LPG_LPG"))</f>
        <v>3.7787455660000019E-4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0.11630008488939154</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4.5375505586610708E-2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9.7022387415335292E-3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1.4624496835534648E-6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6.0527056269766011E-2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6.6334647221834009E-7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3.4077698914594576E-3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9.6741011487931877E-5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2.1642714777342866E-4</v>
      </c>
      <c r="E8" s="418">
        <f>vkm_NGW_PW*SUMIFS(TableVerdeelsleutelVkm[LPG],TableVerdeelsleutelVkm[Voertuigtype],"Lichte voertuigen")*SUMIFS(TableECFTransport[EnergieConsumptieFactor (PJ per km)],TableECFTransport[Index],CONCATENATE($A8,"_LPG_LPG"))</f>
        <v>1.1365659770371614E-4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3.2325629951301588E-2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1.406644972379947E-2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2.7978414728753271E-3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1.189106312454764E-7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6.3376260267911733E-3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6.5102343439457815E-8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3.5681815974703712E-4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1.6662157355716524E-4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2.3632969803709486E-4</v>
      </c>
      <c r="E10" s="418">
        <f>vkm_SW_PW*SUMIFS(TableVerdeelsleutelVkm[LPG],TableVerdeelsleutelVkm[Voertuigtype],"Lichte voertuigen")*SUMIFS(TableECFTransport[EnergieConsumptieFactor (PJ per km)],TableECFTransport[Index],CONCATENATE($A10,"_LPG_LPG"))</f>
        <v>1.6002092858425279E-4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4.4235137665895929E-2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1.6411122603871432E-2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3.6313553448418766E-3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2.3652315667150828E-6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9.2479584854198132E-2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1.1042403098963719E-6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5.2067545648079886E-3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183.64424959931006</v>
      </c>
      <c r="C14" s="21"/>
      <c r="D14" s="21">
        <f t="shared" ref="D14:M14" si="0">((D5)*10^9/3600)+D12</f>
        <v>316.67031539314519</v>
      </c>
      <c r="E14" s="21">
        <f t="shared" si="0"/>
        <v>180.98668969110253</v>
      </c>
      <c r="F14" s="21"/>
      <c r="G14" s="21">
        <f t="shared" si="0"/>
        <v>97834.755460373432</v>
      </c>
      <c r="H14" s="21">
        <f t="shared" si="0"/>
        <v>21070.808500946438</v>
      </c>
      <c r="I14" s="21"/>
      <c r="J14" s="21"/>
      <c r="K14" s="21"/>
      <c r="L14" s="21"/>
      <c r="M14" s="21">
        <f t="shared" si="0"/>
        <v>6972.9939375736722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0.18239979926361494</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33.496674262831355</v>
      </c>
      <c r="C18" s="23"/>
      <c r="D18" s="23">
        <f t="shared" ref="D18:M18" si="1">D14*D16</f>
        <v>63.967403709415329</v>
      </c>
      <c r="E18" s="23">
        <f t="shared" si="1"/>
        <v>41.083978559880272</v>
      </c>
      <c r="F18" s="23"/>
      <c r="G18" s="23">
        <f t="shared" si="1"/>
        <v>26121.879707919707</v>
      </c>
      <c r="H18" s="23">
        <f t="shared" si="1"/>
        <v>5246.6313167356629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3.0030885664795651E-5</v>
      </c>
      <c r="C50" s="313">
        <f t="shared" ref="C50:P50" si="2">SUM(C51:C52)</f>
        <v>0</v>
      </c>
      <c r="D50" s="313">
        <f t="shared" si="2"/>
        <v>0</v>
      </c>
      <c r="E50" s="313">
        <f t="shared" si="2"/>
        <v>0</v>
      </c>
      <c r="F50" s="313">
        <f t="shared" si="2"/>
        <v>0</v>
      </c>
      <c r="G50" s="313">
        <f t="shared" si="2"/>
        <v>2.1435505133100023E-3</v>
      </c>
      <c r="H50" s="313">
        <f t="shared" si="2"/>
        <v>0</v>
      </c>
      <c r="I50" s="313">
        <f t="shared" si="2"/>
        <v>0</v>
      </c>
      <c r="J50" s="313">
        <f t="shared" si="2"/>
        <v>0</v>
      </c>
      <c r="K50" s="313">
        <f t="shared" si="2"/>
        <v>0</v>
      </c>
      <c r="L50" s="313">
        <f t="shared" si="2"/>
        <v>0</v>
      </c>
      <c r="M50" s="313">
        <f t="shared" si="2"/>
        <v>1.1836384525829435E-4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3.0030885664795651E-5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2.1435505133100023E-3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1.1836384525829435E-4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8.3419126846654592</v>
      </c>
      <c r="C54" s="21">
        <f t="shared" ref="C54:P54" si="3">(C50)*10^9/3600</f>
        <v>0</v>
      </c>
      <c r="D54" s="21">
        <f t="shared" si="3"/>
        <v>0</v>
      </c>
      <c r="E54" s="21">
        <f t="shared" si="3"/>
        <v>0</v>
      </c>
      <c r="F54" s="21">
        <f t="shared" si="3"/>
        <v>0</v>
      </c>
      <c r="G54" s="21">
        <f t="shared" si="3"/>
        <v>595.43069814166722</v>
      </c>
      <c r="H54" s="21">
        <f t="shared" si="3"/>
        <v>0</v>
      </c>
      <c r="I54" s="21">
        <f t="shared" si="3"/>
        <v>0</v>
      </c>
      <c r="J54" s="21">
        <f t="shared" si="3"/>
        <v>0</v>
      </c>
      <c r="K54" s="21">
        <f t="shared" si="3"/>
        <v>0</v>
      </c>
      <c r="L54" s="21">
        <f t="shared" si="3"/>
        <v>0</v>
      </c>
      <c r="M54" s="21">
        <f t="shared" si="3"/>
        <v>32.878845905081768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0.18239979926361494</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1.5215631991575829</v>
      </c>
      <c r="C58" s="23">
        <f t="shared" ref="C58:P58" ca="1" si="4">C54*C56</f>
        <v>0</v>
      </c>
      <c r="D58" s="23">
        <f t="shared" si="4"/>
        <v>0</v>
      </c>
      <c r="E58" s="23">
        <f t="shared" si="4"/>
        <v>0</v>
      </c>
      <c r="F58" s="23">
        <f t="shared" si="4"/>
        <v>0</v>
      </c>
      <c r="G58" s="23">
        <f t="shared" si="4"/>
        <v>158.97999640382517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6097.6482318971866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17</v>
      </c>
      <c r="C8" s="540">
        <f>B48</f>
        <v>18.888888888888886</v>
      </c>
      <c r="D8" s="541"/>
      <c r="E8" s="541">
        <f>E48</f>
        <v>0</v>
      </c>
      <c r="F8" s="542"/>
      <c r="G8" s="543"/>
      <c r="H8" s="541">
        <f>I48</f>
        <v>0</v>
      </c>
      <c r="I8" s="541">
        <f>G48+F48</f>
        <v>0</v>
      </c>
      <c r="J8" s="541">
        <f>H48+D48+C48</f>
        <v>0</v>
      </c>
      <c r="K8" s="541"/>
      <c r="L8" s="541"/>
      <c r="M8" s="541"/>
      <c r="N8" s="544"/>
      <c r="O8" s="545">
        <f>C8*$C$12+D8*$D$12+E8*$E$12+F8*$F$12+G8*$G$12+H8*$H$12+I8*$I$12+J8*$J$12</f>
        <v>3.8155555555555551</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6114.6482318971866</v>
      </c>
      <c r="C10" s="555">
        <f t="shared" ref="C10:L10" si="0">SUM(C8:C9)</f>
        <v>18.888888888888886</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3.8155555555555551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24.351351351351351</v>
      </c>
      <c r="C17" s="571">
        <f>B49</f>
        <v>27.057057057057051</v>
      </c>
      <c r="D17" s="572"/>
      <c r="E17" s="572">
        <f>E49</f>
        <v>0</v>
      </c>
      <c r="F17" s="573"/>
      <c r="G17" s="574"/>
      <c r="H17" s="571">
        <f>I49</f>
        <v>0</v>
      </c>
      <c r="I17" s="572">
        <f>G49+F49</f>
        <v>0</v>
      </c>
      <c r="J17" s="572">
        <f>H49+D49+C49</f>
        <v>0</v>
      </c>
      <c r="K17" s="572"/>
      <c r="L17" s="572"/>
      <c r="M17" s="572"/>
      <c r="N17" s="918"/>
      <c r="O17" s="575">
        <f>C17*$C$22+E17*$E$22+H17*$H$22+I17*$I$22+J17*$J$22+D17*$D$22+F17*$F$22+G17*$G$22+K17*$K$22+L17*$L$22</f>
        <v>5.4655255255255248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24.351351351351351</v>
      </c>
      <c r="C20" s="554">
        <f>SUM(C17:C19)</f>
        <v>27.057057057057051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5.4655255255255248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v>13036</v>
      </c>
      <c r="C28" s="746">
        <v>2470</v>
      </c>
      <c r="D28" s="632"/>
      <c r="E28" s="631"/>
      <c r="F28" s="631"/>
      <c r="G28" s="631" t="s">
        <v>861</v>
      </c>
      <c r="H28" s="631" t="s">
        <v>862</v>
      </c>
      <c r="I28" s="631"/>
      <c r="J28" s="745"/>
      <c r="K28" s="745"/>
      <c r="L28" s="631" t="s">
        <v>863</v>
      </c>
      <c r="M28" s="631">
        <v>3.4</v>
      </c>
      <c r="N28" s="631">
        <v>17</v>
      </c>
      <c r="O28" s="631">
        <v>24.351351351351351</v>
      </c>
      <c r="P28" s="631">
        <v>45.945945945945944</v>
      </c>
      <c r="Q28" s="631">
        <v>0</v>
      </c>
      <c r="R28" s="631">
        <v>0</v>
      </c>
      <c r="S28" s="631">
        <v>0</v>
      </c>
      <c r="T28" s="631">
        <v>0</v>
      </c>
      <c r="U28" s="631">
        <v>0</v>
      </c>
      <c r="V28" s="631">
        <v>0</v>
      </c>
      <c r="W28" s="631">
        <v>0</v>
      </c>
      <c r="X28" s="631"/>
      <c r="Y28" s="631">
        <v>1100</v>
      </c>
      <c r="Z28" s="631" t="s">
        <v>154</v>
      </c>
      <c r="AA28" s="633" t="s">
        <v>149</v>
      </c>
    </row>
    <row r="29" spans="1:27" s="565" customFormat="1" hidden="1">
      <c r="A29" s="587" t="s">
        <v>269</v>
      </c>
      <c r="B29" s="588"/>
      <c r="C29" s="588"/>
      <c r="D29" s="588"/>
      <c r="E29" s="588"/>
      <c r="F29" s="588"/>
      <c r="G29" s="588"/>
      <c r="H29" s="588"/>
      <c r="I29" s="588"/>
      <c r="J29" s="588"/>
      <c r="K29" s="588"/>
      <c r="L29" s="589"/>
      <c r="M29" s="589">
        <f>SUM(M28:M28)</f>
        <v>3.4</v>
      </c>
      <c r="N29" s="589">
        <f>SUM(N28:N28)</f>
        <v>17</v>
      </c>
      <c r="O29" s="589">
        <f>SUM(O28:O28)</f>
        <v>24.351351351351351</v>
      </c>
      <c r="P29" s="589">
        <f>SUM(P28:P28)</f>
        <v>45.945945945945944</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3.4</v>
      </c>
      <c r="N31" s="589">
        <f ca="1">SUMIF($AA$28:AE28,"tertiair",N28:N28)</f>
        <v>17</v>
      </c>
      <c r="O31" s="589">
        <f ca="1">SUMIF($AA$28:AF28,"tertiair",O28:O28)</f>
        <v>24.351351351351351</v>
      </c>
      <c r="P31" s="589">
        <f ca="1">SUMIF($AA$28:AG28,"tertiair",P28:P28)</f>
        <v>45.945945945945944</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0.5888888888888888</v>
      </c>
      <c r="C45" s="614">
        <f>IF(ISERROR(N29/(O29+N29)),0,N29/(N29+O29))</f>
        <v>0.41111111111111109</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18.888888888888886</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27.057057057057051</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9251.0211991230626</v>
      </c>
      <c r="D10" s="642">
        <f ca="1">tertiair!C16</f>
        <v>24.351351351351351</v>
      </c>
      <c r="E10" s="642">
        <f ca="1">tertiair!D16</f>
        <v>10701.606186756617</v>
      </c>
      <c r="F10" s="642">
        <f>tertiair!E16</f>
        <v>31.703957334137108</v>
      </c>
      <c r="G10" s="642">
        <f ca="1">tertiair!F16</f>
        <v>1976.4408342464276</v>
      </c>
      <c r="H10" s="642">
        <f>tertiair!G16</f>
        <v>0</v>
      </c>
      <c r="I10" s="642">
        <f>tertiair!H16</f>
        <v>0</v>
      </c>
      <c r="J10" s="642">
        <f>tertiair!I16</f>
        <v>0</v>
      </c>
      <c r="K10" s="642">
        <f>tertiair!J16</f>
        <v>1.4236601318987966E-2</v>
      </c>
      <c r="L10" s="642">
        <f>tertiair!K16</f>
        <v>0</v>
      </c>
      <c r="M10" s="642">
        <f ca="1">tertiair!L16</f>
        <v>0</v>
      </c>
      <c r="N10" s="642">
        <f>tertiair!M16</f>
        <v>0</v>
      </c>
      <c r="O10" s="642">
        <f ca="1">tertiair!N16</f>
        <v>503.52770398200215</v>
      </c>
      <c r="P10" s="642">
        <f>tertiair!O16</f>
        <v>24.486303829205774</v>
      </c>
      <c r="Q10" s="643">
        <f>tertiair!P16</f>
        <v>157.61741491948504</v>
      </c>
      <c r="R10" s="645">
        <f ca="1">SUM(C10:Q10)</f>
        <v>22670.769188143608</v>
      </c>
      <c r="S10" s="67"/>
    </row>
    <row r="11" spans="1:19" s="441" customFormat="1">
      <c r="A11" s="762" t="s">
        <v>214</v>
      </c>
      <c r="B11" s="767"/>
      <c r="C11" s="642">
        <f>huishoudens!B8</f>
        <v>20175.808538394616</v>
      </c>
      <c r="D11" s="642">
        <f>huishoudens!C8</f>
        <v>0</v>
      </c>
      <c r="E11" s="642">
        <f>huishoudens!D8</f>
        <v>45645.768560030985</v>
      </c>
      <c r="F11" s="642">
        <f>huishoudens!E8</f>
        <v>1279.2412438061808</v>
      </c>
      <c r="G11" s="642">
        <f>huishoudens!F8</f>
        <v>20963.798604125361</v>
      </c>
      <c r="H11" s="642">
        <f>huishoudens!G8</f>
        <v>0</v>
      </c>
      <c r="I11" s="642">
        <f>huishoudens!H8</f>
        <v>0</v>
      </c>
      <c r="J11" s="642">
        <f>huishoudens!I8</f>
        <v>0</v>
      </c>
      <c r="K11" s="642">
        <f>huishoudens!J8</f>
        <v>115.7096616383258</v>
      </c>
      <c r="L11" s="642">
        <f>huishoudens!K8</f>
        <v>0</v>
      </c>
      <c r="M11" s="642">
        <f>huishoudens!L8</f>
        <v>0</v>
      </c>
      <c r="N11" s="642">
        <f>huishoudens!M8</f>
        <v>0</v>
      </c>
      <c r="O11" s="642">
        <f>huishoudens!N8</f>
        <v>5951.6190684409512</v>
      </c>
      <c r="P11" s="642">
        <f>huishoudens!O8</f>
        <v>466.23018155595247</v>
      </c>
      <c r="Q11" s="643">
        <f>huishoudens!P8</f>
        <v>979.65821561470705</v>
      </c>
      <c r="R11" s="645">
        <f>SUM(C11:Q11)</f>
        <v>95577.834073607068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2722.9290008355488</v>
      </c>
      <c r="D13" s="642">
        <f>industrie!C18</f>
        <v>0</v>
      </c>
      <c r="E13" s="642">
        <f>industrie!D18</f>
        <v>2064.2991026620166</v>
      </c>
      <c r="F13" s="642">
        <f>industrie!E18</f>
        <v>10.56930863466533</v>
      </c>
      <c r="G13" s="642">
        <f>industrie!F18</f>
        <v>1084.9575125636538</v>
      </c>
      <c r="H13" s="642">
        <f>industrie!G18</f>
        <v>0</v>
      </c>
      <c r="I13" s="642">
        <f>industrie!H18</f>
        <v>0</v>
      </c>
      <c r="J13" s="642">
        <f>industrie!I18</f>
        <v>0</v>
      </c>
      <c r="K13" s="642">
        <f>industrie!J18</f>
        <v>0.64703615034349482</v>
      </c>
      <c r="L13" s="642">
        <f>industrie!K18</f>
        <v>0</v>
      </c>
      <c r="M13" s="642">
        <f>industrie!L18</f>
        <v>0</v>
      </c>
      <c r="N13" s="642">
        <f>industrie!M18</f>
        <v>0</v>
      </c>
      <c r="O13" s="642">
        <f>industrie!N18</f>
        <v>79.766432871556205</v>
      </c>
      <c r="P13" s="642">
        <f>industrie!O18</f>
        <v>0</v>
      </c>
      <c r="Q13" s="643">
        <f>industrie!P18</f>
        <v>0</v>
      </c>
      <c r="R13" s="645">
        <f>SUM(C13:Q13)</f>
        <v>5963.168393717785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32149.758738353226</v>
      </c>
      <c r="D16" s="678">
        <f t="shared" ref="D16:R16" ca="1" si="0">SUM(D9:D15)</f>
        <v>24.351351351351351</v>
      </c>
      <c r="E16" s="678">
        <f t="shared" ca="1" si="0"/>
        <v>58411.673849449617</v>
      </c>
      <c r="F16" s="678">
        <f t="shared" si="0"/>
        <v>1321.5145097749833</v>
      </c>
      <c r="G16" s="678">
        <f t="shared" ca="1" si="0"/>
        <v>24025.196950935442</v>
      </c>
      <c r="H16" s="678">
        <f t="shared" si="0"/>
        <v>0</v>
      </c>
      <c r="I16" s="678">
        <f t="shared" si="0"/>
        <v>0</v>
      </c>
      <c r="J16" s="678">
        <f t="shared" si="0"/>
        <v>0</v>
      </c>
      <c r="K16" s="678">
        <f t="shared" si="0"/>
        <v>116.37093438998828</v>
      </c>
      <c r="L16" s="678">
        <f t="shared" si="0"/>
        <v>0</v>
      </c>
      <c r="M16" s="678">
        <f t="shared" ca="1" si="0"/>
        <v>0</v>
      </c>
      <c r="N16" s="678">
        <f t="shared" si="0"/>
        <v>0</v>
      </c>
      <c r="O16" s="678">
        <f t="shared" ca="1" si="0"/>
        <v>6534.9132052945097</v>
      </c>
      <c r="P16" s="678">
        <f t="shared" si="0"/>
        <v>490.71648538515825</v>
      </c>
      <c r="Q16" s="678">
        <f t="shared" si="0"/>
        <v>1137.275630534192</v>
      </c>
      <c r="R16" s="678">
        <f t="shared" ca="1" si="0"/>
        <v>124211.77165546846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8.3419126846654592</v>
      </c>
      <c r="D19" s="642">
        <f>transport!C54</f>
        <v>0</v>
      </c>
      <c r="E19" s="642">
        <f>transport!D54</f>
        <v>0</v>
      </c>
      <c r="F19" s="642">
        <f>transport!E54</f>
        <v>0</v>
      </c>
      <c r="G19" s="642">
        <f>transport!F54</f>
        <v>0</v>
      </c>
      <c r="H19" s="642">
        <f>transport!G54</f>
        <v>595.43069814166722</v>
      </c>
      <c r="I19" s="642">
        <f>transport!H54</f>
        <v>0</v>
      </c>
      <c r="J19" s="642">
        <f>transport!I54</f>
        <v>0</v>
      </c>
      <c r="K19" s="642">
        <f>transport!J54</f>
        <v>0</v>
      </c>
      <c r="L19" s="642">
        <f>transport!K54</f>
        <v>0</v>
      </c>
      <c r="M19" s="642">
        <f>transport!L54</f>
        <v>0</v>
      </c>
      <c r="N19" s="642">
        <f>transport!M54</f>
        <v>32.878845905081768</v>
      </c>
      <c r="O19" s="642">
        <f>transport!N54</f>
        <v>0</v>
      </c>
      <c r="P19" s="642">
        <f>transport!O54</f>
        <v>0</v>
      </c>
      <c r="Q19" s="643">
        <f>transport!P54</f>
        <v>0</v>
      </c>
      <c r="R19" s="645">
        <f>SUM(C19:Q19)</f>
        <v>636.65145673141444</v>
      </c>
      <c r="S19" s="67"/>
    </row>
    <row r="20" spans="1:19" s="441" customFormat="1">
      <c r="A20" s="762" t="s">
        <v>296</v>
      </c>
      <c r="B20" s="767"/>
      <c r="C20" s="642">
        <f>transport!B14</f>
        <v>183.64424959931006</v>
      </c>
      <c r="D20" s="642">
        <f>transport!C14</f>
        <v>0</v>
      </c>
      <c r="E20" s="642">
        <f>transport!D14</f>
        <v>316.67031539314519</v>
      </c>
      <c r="F20" s="642">
        <f>transport!E14</f>
        <v>180.98668969110253</v>
      </c>
      <c r="G20" s="642">
        <f>transport!F14</f>
        <v>0</v>
      </c>
      <c r="H20" s="642">
        <f>transport!G14</f>
        <v>97834.755460373432</v>
      </c>
      <c r="I20" s="642">
        <f>transport!H14</f>
        <v>21070.808500946438</v>
      </c>
      <c r="J20" s="642">
        <f>transport!I14</f>
        <v>0</v>
      </c>
      <c r="K20" s="642">
        <f>transport!J14</f>
        <v>0</v>
      </c>
      <c r="L20" s="642">
        <f>transport!K14</f>
        <v>0</v>
      </c>
      <c r="M20" s="642">
        <f>transport!L14</f>
        <v>0</v>
      </c>
      <c r="N20" s="642">
        <f>transport!M14</f>
        <v>6972.9939375736722</v>
      </c>
      <c r="O20" s="642">
        <f>transport!N14</f>
        <v>0</v>
      </c>
      <c r="P20" s="642">
        <f>transport!O14</f>
        <v>0</v>
      </c>
      <c r="Q20" s="643">
        <f>transport!P14</f>
        <v>0</v>
      </c>
      <c r="R20" s="645">
        <f>SUM(C20:Q20)</f>
        <v>126559.8591535771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191.98616228397552</v>
      </c>
      <c r="D22" s="765">
        <f t="shared" ref="D22:R22" si="1">SUM(D18:D21)</f>
        <v>0</v>
      </c>
      <c r="E22" s="765">
        <f t="shared" si="1"/>
        <v>316.67031539314519</v>
      </c>
      <c r="F22" s="765">
        <f t="shared" si="1"/>
        <v>180.98668969110253</v>
      </c>
      <c r="G22" s="765">
        <f t="shared" si="1"/>
        <v>0</v>
      </c>
      <c r="H22" s="765">
        <f t="shared" si="1"/>
        <v>98430.186158515105</v>
      </c>
      <c r="I22" s="765">
        <f t="shared" si="1"/>
        <v>21070.808500946438</v>
      </c>
      <c r="J22" s="765">
        <f t="shared" si="1"/>
        <v>0</v>
      </c>
      <c r="K22" s="765">
        <f t="shared" si="1"/>
        <v>0</v>
      </c>
      <c r="L22" s="765">
        <f t="shared" si="1"/>
        <v>0</v>
      </c>
      <c r="M22" s="765">
        <f t="shared" si="1"/>
        <v>0</v>
      </c>
      <c r="N22" s="765">
        <f t="shared" si="1"/>
        <v>7005.8727834787542</v>
      </c>
      <c r="O22" s="765">
        <f t="shared" si="1"/>
        <v>0</v>
      </c>
      <c r="P22" s="765">
        <f t="shared" si="1"/>
        <v>0</v>
      </c>
      <c r="Q22" s="765">
        <f t="shared" si="1"/>
        <v>0</v>
      </c>
      <c r="R22" s="765">
        <f t="shared" si="1"/>
        <v>127196.51061030851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2137.0591657536102</v>
      </c>
      <c r="D24" s="642">
        <f>+landbouw!C8</f>
        <v>0</v>
      </c>
      <c r="E24" s="642">
        <f>+landbouw!D8</f>
        <v>417.8744379095188</v>
      </c>
      <c r="F24" s="642">
        <f>+landbouw!E8</f>
        <v>63.006545950152237</v>
      </c>
      <c r="G24" s="642">
        <f>+landbouw!F8</f>
        <v>6792.3335164173359</v>
      </c>
      <c r="H24" s="642">
        <f>+landbouw!G8</f>
        <v>0</v>
      </c>
      <c r="I24" s="642">
        <f>+landbouw!H8</f>
        <v>0</v>
      </c>
      <c r="J24" s="642">
        <f>+landbouw!I8</f>
        <v>0</v>
      </c>
      <c r="K24" s="642">
        <f>+landbouw!J8</f>
        <v>538.95319846461405</v>
      </c>
      <c r="L24" s="642">
        <f>+landbouw!K8</f>
        <v>0</v>
      </c>
      <c r="M24" s="642">
        <f>+landbouw!L8</f>
        <v>0</v>
      </c>
      <c r="N24" s="642">
        <f>+landbouw!M8</f>
        <v>0</v>
      </c>
      <c r="O24" s="642">
        <f>+landbouw!N8</f>
        <v>0</v>
      </c>
      <c r="P24" s="642">
        <f>+landbouw!O8</f>
        <v>0</v>
      </c>
      <c r="Q24" s="643">
        <f>+landbouw!P8</f>
        <v>0</v>
      </c>
      <c r="R24" s="645">
        <f>SUM(C24:Q24)</f>
        <v>9949.226864495231</v>
      </c>
      <c r="S24" s="67"/>
    </row>
    <row r="25" spans="1:19" s="441" customFormat="1" ht="15" thickBot="1">
      <c r="A25" s="784" t="s">
        <v>672</v>
      </c>
      <c r="B25" s="895"/>
      <c r="C25" s="896">
        <f>IF(Onbekend_ele_kWh="---",0,Onbekend_ele_kWh)/1000+IF(REST_rest_ele_kWh="---",0,REST_rest_ele_kWh)/1000</f>
        <v>430.90308504195099</v>
      </c>
      <c r="D25" s="896"/>
      <c r="E25" s="896">
        <f>IF(onbekend_gas_kWh="---",0,onbekend_gas_kWh)/1000+IF(REST_rest_gas_kWh="---",0,REST_rest_gas_kWh)/1000</f>
        <v>1037.4135911856101</v>
      </c>
      <c r="F25" s="896"/>
      <c r="G25" s="896"/>
      <c r="H25" s="896"/>
      <c r="I25" s="896"/>
      <c r="J25" s="896"/>
      <c r="K25" s="896"/>
      <c r="L25" s="896"/>
      <c r="M25" s="896"/>
      <c r="N25" s="896"/>
      <c r="O25" s="896"/>
      <c r="P25" s="896"/>
      <c r="Q25" s="897"/>
      <c r="R25" s="645">
        <f>SUM(C25:Q25)</f>
        <v>1468.3166762275612</v>
      </c>
      <c r="S25" s="67"/>
    </row>
    <row r="26" spans="1:19" s="441" customFormat="1" ht="15.75" thickBot="1">
      <c r="A26" s="650" t="s">
        <v>673</v>
      </c>
      <c r="B26" s="770"/>
      <c r="C26" s="765">
        <f>SUM(C24:C25)</f>
        <v>2567.962250795561</v>
      </c>
      <c r="D26" s="765">
        <f t="shared" ref="D26:R26" si="2">SUM(D24:D25)</f>
        <v>0</v>
      </c>
      <c r="E26" s="765">
        <f t="shared" si="2"/>
        <v>1455.2880290951289</v>
      </c>
      <c r="F26" s="765">
        <f t="shared" si="2"/>
        <v>63.006545950152237</v>
      </c>
      <c r="G26" s="765">
        <f t="shared" si="2"/>
        <v>6792.3335164173359</v>
      </c>
      <c r="H26" s="765">
        <f t="shared" si="2"/>
        <v>0</v>
      </c>
      <c r="I26" s="765">
        <f t="shared" si="2"/>
        <v>0</v>
      </c>
      <c r="J26" s="765">
        <f t="shared" si="2"/>
        <v>0</v>
      </c>
      <c r="K26" s="765">
        <f t="shared" si="2"/>
        <v>538.95319846461405</v>
      </c>
      <c r="L26" s="765">
        <f t="shared" si="2"/>
        <v>0</v>
      </c>
      <c r="M26" s="765">
        <f t="shared" si="2"/>
        <v>0</v>
      </c>
      <c r="N26" s="765">
        <f t="shared" si="2"/>
        <v>0</v>
      </c>
      <c r="O26" s="765">
        <f t="shared" si="2"/>
        <v>0</v>
      </c>
      <c r="P26" s="765">
        <f t="shared" si="2"/>
        <v>0</v>
      </c>
      <c r="Q26" s="765">
        <f t="shared" si="2"/>
        <v>0</v>
      </c>
      <c r="R26" s="765">
        <f t="shared" si="2"/>
        <v>11417.543540722792</v>
      </c>
      <c r="S26" s="67"/>
    </row>
    <row r="27" spans="1:19" s="441" customFormat="1" ht="17.25" thickTop="1" thickBot="1">
      <c r="A27" s="651" t="s">
        <v>109</v>
      </c>
      <c r="B27" s="757"/>
      <c r="C27" s="652">
        <f ca="1">C22+C16+C26</f>
        <v>34909.707151432762</v>
      </c>
      <c r="D27" s="652">
        <f t="shared" ref="D27:R27" ca="1" si="3">D22+D16+D26</f>
        <v>24.351351351351351</v>
      </c>
      <c r="E27" s="652">
        <f t="shared" ca="1" si="3"/>
        <v>60183.63219393789</v>
      </c>
      <c r="F27" s="652">
        <f t="shared" si="3"/>
        <v>1565.5077454162381</v>
      </c>
      <c r="G27" s="652">
        <f t="shared" ca="1" si="3"/>
        <v>30817.530467352779</v>
      </c>
      <c r="H27" s="652">
        <f t="shared" si="3"/>
        <v>98430.186158515105</v>
      </c>
      <c r="I27" s="652">
        <f t="shared" si="3"/>
        <v>21070.808500946438</v>
      </c>
      <c r="J27" s="652">
        <f t="shared" si="3"/>
        <v>0</v>
      </c>
      <c r="K27" s="652">
        <f t="shared" si="3"/>
        <v>655.32413285460234</v>
      </c>
      <c r="L27" s="652">
        <f t="shared" si="3"/>
        <v>0</v>
      </c>
      <c r="M27" s="652">
        <f t="shared" ca="1" si="3"/>
        <v>0</v>
      </c>
      <c r="N27" s="652">
        <f t="shared" si="3"/>
        <v>7005.8727834787542</v>
      </c>
      <c r="O27" s="652">
        <f t="shared" ca="1" si="3"/>
        <v>6534.9132052945097</v>
      </c>
      <c r="P27" s="652">
        <f t="shared" si="3"/>
        <v>490.71648538515825</v>
      </c>
      <c r="Q27" s="652">
        <f t="shared" si="3"/>
        <v>1137.275630534192</v>
      </c>
      <c r="R27" s="652">
        <f t="shared" ca="1" si="3"/>
        <v>262825.82580649975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1687.3844097034928</v>
      </c>
      <c r="D40" s="642">
        <f ca="1">tertiair!C20</f>
        <v>5.4655255255255248</v>
      </c>
      <c r="E40" s="642">
        <f ca="1">tertiair!D20</f>
        <v>2161.7244497248366</v>
      </c>
      <c r="F40" s="642">
        <f>tertiair!E20</f>
        <v>7.1967983148491239</v>
      </c>
      <c r="G40" s="642">
        <f ca="1">tertiair!F20</f>
        <v>527.70970274379624</v>
      </c>
      <c r="H40" s="642">
        <f>tertiair!G20</f>
        <v>0</v>
      </c>
      <c r="I40" s="642">
        <f>tertiair!H20</f>
        <v>0</v>
      </c>
      <c r="J40" s="642">
        <f>tertiair!I20</f>
        <v>0</v>
      </c>
      <c r="K40" s="642">
        <f>tertiair!J20</f>
        <v>5.0397568669217395E-3</v>
      </c>
      <c r="L40" s="642">
        <f>tertiair!K20</f>
        <v>0</v>
      </c>
      <c r="M40" s="642">
        <f ca="1">tertiair!L20</f>
        <v>0</v>
      </c>
      <c r="N40" s="642">
        <f>tertiair!M20</f>
        <v>0</v>
      </c>
      <c r="O40" s="642">
        <f ca="1">tertiair!N20</f>
        <v>0</v>
      </c>
      <c r="P40" s="642">
        <f>tertiair!O20</f>
        <v>0</v>
      </c>
      <c r="Q40" s="725">
        <f>tertiair!P20</f>
        <v>0</v>
      </c>
      <c r="R40" s="803">
        <f t="shared" ca="1" si="4"/>
        <v>4389.485925769367</v>
      </c>
    </row>
    <row r="41" spans="1:18">
      <c r="A41" s="775" t="s">
        <v>214</v>
      </c>
      <c r="B41" s="782"/>
      <c r="C41" s="642">
        <f ca="1">huishoudens!B12</f>
        <v>3680.0634273843061</v>
      </c>
      <c r="D41" s="642">
        <f ca="1">huishoudens!C12</f>
        <v>0</v>
      </c>
      <c r="E41" s="642">
        <f>huishoudens!D12</f>
        <v>9220.44524912626</v>
      </c>
      <c r="F41" s="642">
        <f>huishoudens!E12</f>
        <v>290.38776234400308</v>
      </c>
      <c r="G41" s="642">
        <f>huishoudens!F12</f>
        <v>5597.3342273014714</v>
      </c>
      <c r="H41" s="642">
        <f>huishoudens!G12</f>
        <v>0</v>
      </c>
      <c r="I41" s="642">
        <f>huishoudens!H12</f>
        <v>0</v>
      </c>
      <c r="J41" s="642">
        <f>huishoudens!I12</f>
        <v>0</v>
      </c>
      <c r="K41" s="642">
        <f>huishoudens!J12</f>
        <v>40.961220219967331</v>
      </c>
      <c r="L41" s="642">
        <f>huishoudens!K12</f>
        <v>0</v>
      </c>
      <c r="M41" s="642">
        <f>huishoudens!L12</f>
        <v>0</v>
      </c>
      <c r="N41" s="642">
        <f>huishoudens!M12</f>
        <v>0</v>
      </c>
      <c r="O41" s="642">
        <f>huishoudens!N12</f>
        <v>0</v>
      </c>
      <c r="P41" s="642">
        <f>huishoudens!O12</f>
        <v>0</v>
      </c>
      <c r="Q41" s="725">
        <f>huishoudens!P12</f>
        <v>0</v>
      </c>
      <c r="R41" s="803">
        <f t="shared" ca="1" si="4"/>
        <v>18829.191886376011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496.66170316147969</v>
      </c>
      <c r="D43" s="642">
        <f ca="1">industrie!C22</f>
        <v>0</v>
      </c>
      <c r="E43" s="642">
        <f>industrie!D22</f>
        <v>416.98841873772739</v>
      </c>
      <c r="F43" s="642">
        <f>industrie!E22</f>
        <v>2.3992330600690299</v>
      </c>
      <c r="G43" s="642">
        <f>industrie!F22</f>
        <v>289.68365585449561</v>
      </c>
      <c r="H43" s="642">
        <f>industrie!G22</f>
        <v>0</v>
      </c>
      <c r="I43" s="642">
        <f>industrie!H22</f>
        <v>0</v>
      </c>
      <c r="J43" s="642">
        <f>industrie!I22</f>
        <v>0</v>
      </c>
      <c r="K43" s="642">
        <f>industrie!J22</f>
        <v>0.22905079722159716</v>
      </c>
      <c r="L43" s="642">
        <f>industrie!K22</f>
        <v>0</v>
      </c>
      <c r="M43" s="642">
        <f>industrie!L22</f>
        <v>0</v>
      </c>
      <c r="N43" s="642">
        <f>industrie!M22</f>
        <v>0</v>
      </c>
      <c r="O43" s="642">
        <f>industrie!N22</f>
        <v>0</v>
      </c>
      <c r="P43" s="642">
        <f>industrie!O22</f>
        <v>0</v>
      </c>
      <c r="Q43" s="725">
        <f>industrie!P22</f>
        <v>0</v>
      </c>
      <c r="R43" s="802">
        <f t="shared" ca="1" si="4"/>
        <v>1205.9620616109933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5864.1095402492783</v>
      </c>
      <c r="D46" s="678">
        <f t="shared" ref="D46:Q46" ca="1" si="5">SUM(D39:D45)</f>
        <v>5.4655255255255248</v>
      </c>
      <c r="E46" s="678">
        <f t="shared" ca="1" si="5"/>
        <v>11799.158117588822</v>
      </c>
      <c r="F46" s="678">
        <f t="shared" si="5"/>
        <v>299.98379371892122</v>
      </c>
      <c r="G46" s="678">
        <f t="shared" ca="1" si="5"/>
        <v>6414.7275858997627</v>
      </c>
      <c r="H46" s="678">
        <f t="shared" si="5"/>
        <v>0</v>
      </c>
      <c r="I46" s="678">
        <f t="shared" si="5"/>
        <v>0</v>
      </c>
      <c r="J46" s="678">
        <f t="shared" si="5"/>
        <v>0</v>
      </c>
      <c r="K46" s="678">
        <f t="shared" si="5"/>
        <v>41.195310774055848</v>
      </c>
      <c r="L46" s="678">
        <f t="shared" si="5"/>
        <v>0</v>
      </c>
      <c r="M46" s="678">
        <f t="shared" ca="1" si="5"/>
        <v>0</v>
      </c>
      <c r="N46" s="678">
        <f t="shared" si="5"/>
        <v>0</v>
      </c>
      <c r="O46" s="678">
        <f t="shared" ca="1" si="5"/>
        <v>0</v>
      </c>
      <c r="P46" s="678">
        <f t="shared" si="5"/>
        <v>0</v>
      </c>
      <c r="Q46" s="678">
        <f t="shared" si="5"/>
        <v>0</v>
      </c>
      <c r="R46" s="678">
        <f ca="1">SUM(R39:R45)</f>
        <v>24424.639873756372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1.5215631991575829</v>
      </c>
      <c r="D49" s="642">
        <f ca="1">transport!C58</f>
        <v>0</v>
      </c>
      <c r="E49" s="642">
        <f>transport!D58</f>
        <v>0</v>
      </c>
      <c r="F49" s="642">
        <f>transport!E58</f>
        <v>0</v>
      </c>
      <c r="G49" s="642">
        <f>transport!F58</f>
        <v>0</v>
      </c>
      <c r="H49" s="642">
        <f>transport!G58</f>
        <v>158.97999640382517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160.50155960298275</v>
      </c>
    </row>
    <row r="50" spans="1:18">
      <c r="A50" s="778" t="s">
        <v>296</v>
      </c>
      <c r="B50" s="788"/>
      <c r="C50" s="648">
        <f ca="1">transport!B18</f>
        <v>33.496674262831355</v>
      </c>
      <c r="D50" s="648">
        <f>transport!C18</f>
        <v>0</v>
      </c>
      <c r="E50" s="648">
        <f>transport!D18</f>
        <v>63.967403709415329</v>
      </c>
      <c r="F50" s="648">
        <f>transport!E18</f>
        <v>41.083978559880272</v>
      </c>
      <c r="G50" s="648">
        <f>transport!F18</f>
        <v>0</v>
      </c>
      <c r="H50" s="648">
        <f>transport!G18</f>
        <v>26121.879707919707</v>
      </c>
      <c r="I50" s="648">
        <f>transport!H18</f>
        <v>5246.6313167356629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31507.059081187497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35.018237461988939</v>
      </c>
      <c r="D52" s="678">
        <f t="shared" ref="D52:Q52" ca="1" si="6">SUM(D48:D51)</f>
        <v>0</v>
      </c>
      <c r="E52" s="678">
        <f t="shared" si="6"/>
        <v>63.967403709415329</v>
      </c>
      <c r="F52" s="678">
        <f t="shared" si="6"/>
        <v>41.083978559880272</v>
      </c>
      <c r="G52" s="678">
        <f t="shared" si="6"/>
        <v>0</v>
      </c>
      <c r="H52" s="678">
        <f t="shared" si="6"/>
        <v>26280.859704323531</v>
      </c>
      <c r="I52" s="678">
        <f t="shared" si="6"/>
        <v>5246.6313167356629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31667.560640790482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389.79916284792688</v>
      </c>
      <c r="D54" s="648">
        <f ca="1">+landbouw!C12</f>
        <v>0</v>
      </c>
      <c r="E54" s="648">
        <f>+landbouw!D12</f>
        <v>84.410636457722802</v>
      </c>
      <c r="F54" s="648">
        <f>+landbouw!E12</f>
        <v>14.302485930684558</v>
      </c>
      <c r="G54" s="648">
        <f>+landbouw!F12</f>
        <v>1813.5530488834288</v>
      </c>
      <c r="H54" s="648">
        <f>+landbouw!G12</f>
        <v>0</v>
      </c>
      <c r="I54" s="648">
        <f>+landbouw!H12</f>
        <v>0</v>
      </c>
      <c r="J54" s="648">
        <f>+landbouw!I12</f>
        <v>0</v>
      </c>
      <c r="K54" s="648">
        <f>+landbouw!J12</f>
        <v>190.78943225647336</v>
      </c>
      <c r="L54" s="648">
        <f>+landbouw!K12</f>
        <v>0</v>
      </c>
      <c r="M54" s="648">
        <f>+landbouw!L12</f>
        <v>0</v>
      </c>
      <c r="N54" s="648">
        <f>+landbouw!M12</f>
        <v>0</v>
      </c>
      <c r="O54" s="648">
        <f>+landbouw!N12</f>
        <v>0</v>
      </c>
      <c r="P54" s="648">
        <f>+landbouw!O12</f>
        <v>0</v>
      </c>
      <c r="Q54" s="649">
        <f>+landbouw!P12</f>
        <v>0</v>
      </c>
      <c r="R54" s="677">
        <f ca="1">SUM(C54:Q54)</f>
        <v>2492.8547663762365</v>
      </c>
    </row>
    <row r="55" spans="1:18" ht="15" thickBot="1">
      <c r="A55" s="778" t="s">
        <v>672</v>
      </c>
      <c r="B55" s="788"/>
      <c r="C55" s="648">
        <f ca="1">C25*'EF ele_warmte'!B12</f>
        <v>78.596636213724253</v>
      </c>
      <c r="D55" s="648"/>
      <c r="E55" s="648">
        <f>E25*EF_CO2_aardgas</f>
        <v>209.55754541949327</v>
      </c>
      <c r="F55" s="648"/>
      <c r="G55" s="648"/>
      <c r="H55" s="648"/>
      <c r="I55" s="648"/>
      <c r="J55" s="648"/>
      <c r="K55" s="648"/>
      <c r="L55" s="648"/>
      <c r="M55" s="648"/>
      <c r="N55" s="648"/>
      <c r="O55" s="648"/>
      <c r="P55" s="648"/>
      <c r="Q55" s="649"/>
      <c r="R55" s="677">
        <f ca="1">SUM(C55:Q55)</f>
        <v>288.15418163321749</v>
      </c>
    </row>
    <row r="56" spans="1:18" ht="15.75" thickBot="1">
      <c r="A56" s="776" t="s">
        <v>673</v>
      </c>
      <c r="B56" s="789"/>
      <c r="C56" s="678">
        <f ca="1">SUM(C54:C55)</f>
        <v>468.39579906165113</v>
      </c>
      <c r="D56" s="678">
        <f t="shared" ref="D56:Q56" ca="1" si="7">SUM(D54:D55)</f>
        <v>0</v>
      </c>
      <c r="E56" s="678">
        <f t="shared" si="7"/>
        <v>293.96818187721607</v>
      </c>
      <c r="F56" s="678">
        <f t="shared" si="7"/>
        <v>14.302485930684558</v>
      </c>
      <c r="G56" s="678">
        <f t="shared" si="7"/>
        <v>1813.5530488834288</v>
      </c>
      <c r="H56" s="678">
        <f t="shared" si="7"/>
        <v>0</v>
      </c>
      <c r="I56" s="678">
        <f t="shared" si="7"/>
        <v>0</v>
      </c>
      <c r="J56" s="678">
        <f t="shared" si="7"/>
        <v>0</v>
      </c>
      <c r="K56" s="678">
        <f t="shared" si="7"/>
        <v>190.78943225647336</v>
      </c>
      <c r="L56" s="678">
        <f t="shared" si="7"/>
        <v>0</v>
      </c>
      <c r="M56" s="678">
        <f t="shared" si="7"/>
        <v>0</v>
      </c>
      <c r="N56" s="678">
        <f t="shared" si="7"/>
        <v>0</v>
      </c>
      <c r="O56" s="678">
        <f t="shared" si="7"/>
        <v>0</v>
      </c>
      <c r="P56" s="678">
        <f t="shared" si="7"/>
        <v>0</v>
      </c>
      <c r="Q56" s="679">
        <f t="shared" si="7"/>
        <v>0</v>
      </c>
      <c r="R56" s="680">
        <f ca="1">SUM(R54:R55)</f>
        <v>2781.0089480094539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6367.5235767729182</v>
      </c>
      <c r="D61" s="686">
        <f t="shared" ref="D61:Q61" ca="1" si="8">D46+D52+D56</f>
        <v>5.4655255255255248</v>
      </c>
      <c r="E61" s="686">
        <f t="shared" ca="1" si="8"/>
        <v>12157.093703175455</v>
      </c>
      <c r="F61" s="686">
        <f t="shared" si="8"/>
        <v>355.37025820948605</v>
      </c>
      <c r="G61" s="686">
        <f t="shared" ca="1" si="8"/>
        <v>8228.280634783192</v>
      </c>
      <c r="H61" s="686">
        <f t="shared" si="8"/>
        <v>26280.859704323531</v>
      </c>
      <c r="I61" s="686">
        <f t="shared" si="8"/>
        <v>5246.6313167356629</v>
      </c>
      <c r="J61" s="686">
        <f t="shared" si="8"/>
        <v>0</v>
      </c>
      <c r="K61" s="686">
        <f t="shared" si="8"/>
        <v>231.98474303052922</v>
      </c>
      <c r="L61" s="686">
        <f t="shared" si="8"/>
        <v>0</v>
      </c>
      <c r="M61" s="686">
        <f t="shared" ca="1" si="8"/>
        <v>0</v>
      </c>
      <c r="N61" s="686">
        <f t="shared" si="8"/>
        <v>0</v>
      </c>
      <c r="O61" s="686">
        <f t="shared" ca="1" si="8"/>
        <v>0</v>
      </c>
      <c r="P61" s="686">
        <f t="shared" si="8"/>
        <v>0</v>
      </c>
      <c r="Q61" s="686">
        <f t="shared" si="8"/>
        <v>0</v>
      </c>
      <c r="R61" s="686">
        <f ca="1">R46+R52+R56</f>
        <v>58873.209462556311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0.18239979926361494</v>
      </c>
      <c r="D63" s="732">
        <f t="shared" ca="1" si="9"/>
        <v>0.22444444444444442</v>
      </c>
      <c r="E63" s="921">
        <f t="shared" ca="1" si="9"/>
        <v>0.20200000000000001</v>
      </c>
      <c r="F63" s="732">
        <f t="shared" si="9"/>
        <v>0.22700000000000001</v>
      </c>
      <c r="G63" s="732">
        <f t="shared" ca="1" si="9"/>
        <v>0.26700000000000002</v>
      </c>
      <c r="H63" s="732">
        <f t="shared" si="9"/>
        <v>0.26699999999999996</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6097.6482318971866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17</v>
      </c>
      <c r="D76" s="904">
        <f>'lokale energieproductie'!C8</f>
        <v>18.888888888888886</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3.8155555555555551</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6097.6482318971866</v>
      </c>
      <c r="C78" s="704">
        <f>SUM(C72:C77)</f>
        <v>17</v>
      </c>
      <c r="D78" s="705">
        <f t="shared" ref="D78:H78" si="10">SUM(D76:D77)</f>
        <v>18.888888888888886</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3.8155555555555551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24.351351351351351</v>
      </c>
      <c r="D87" s="728">
        <f>'lokale energieproductie'!C17</f>
        <v>27.057057057057051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5.4655255255255248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24.351351351351351</v>
      </c>
      <c r="D90" s="704">
        <f t="shared" ref="D90:H90" si="12">SUM(D87:D89)</f>
        <v>27.057057057057051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5.4655255255255248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20175.808538394616</v>
      </c>
      <c r="C4" s="445">
        <f>huishoudens!C8</f>
        <v>0</v>
      </c>
      <c r="D4" s="445">
        <f>huishoudens!D8</f>
        <v>45645.768560030985</v>
      </c>
      <c r="E4" s="445">
        <f>huishoudens!E8</f>
        <v>1279.2412438061808</v>
      </c>
      <c r="F4" s="445">
        <f>huishoudens!F8</f>
        <v>20963.798604125361</v>
      </c>
      <c r="G4" s="445">
        <f>huishoudens!G8</f>
        <v>0</v>
      </c>
      <c r="H4" s="445">
        <f>huishoudens!H8</f>
        <v>0</v>
      </c>
      <c r="I4" s="445">
        <f>huishoudens!I8</f>
        <v>0</v>
      </c>
      <c r="J4" s="445">
        <f>huishoudens!J8</f>
        <v>115.7096616383258</v>
      </c>
      <c r="K4" s="445">
        <f>huishoudens!K8</f>
        <v>0</v>
      </c>
      <c r="L4" s="445">
        <f>huishoudens!L8</f>
        <v>0</v>
      </c>
      <c r="M4" s="445">
        <f>huishoudens!M8</f>
        <v>0</v>
      </c>
      <c r="N4" s="445">
        <f>huishoudens!N8</f>
        <v>5951.6190684409512</v>
      </c>
      <c r="O4" s="445">
        <f>huishoudens!O8</f>
        <v>466.23018155595247</v>
      </c>
      <c r="P4" s="446">
        <f>huishoudens!P8</f>
        <v>979.65821561470705</v>
      </c>
      <c r="Q4" s="447">
        <f>SUM(B4:P4)</f>
        <v>95577.834073607068</v>
      </c>
    </row>
    <row r="5" spans="1:17">
      <c r="A5" s="444" t="s">
        <v>149</v>
      </c>
      <c r="B5" s="445">
        <f ca="1">tertiair!B16</f>
        <v>8700.7241991230621</v>
      </c>
      <c r="C5" s="445">
        <f ca="1">tertiair!C16</f>
        <v>24.351351351351351</v>
      </c>
      <c r="D5" s="445">
        <f ca="1">tertiair!D16</f>
        <v>10701.606186756617</v>
      </c>
      <c r="E5" s="445">
        <f>tertiair!E16</f>
        <v>31.703957334137108</v>
      </c>
      <c r="F5" s="445">
        <f ca="1">tertiair!F16</f>
        <v>1976.4408342464276</v>
      </c>
      <c r="G5" s="445">
        <f>tertiair!G16</f>
        <v>0</v>
      </c>
      <c r="H5" s="445">
        <f>tertiair!H16</f>
        <v>0</v>
      </c>
      <c r="I5" s="445">
        <f>tertiair!I16</f>
        <v>0</v>
      </c>
      <c r="J5" s="445">
        <f>tertiair!J16</f>
        <v>1.4236601318987966E-2</v>
      </c>
      <c r="K5" s="445">
        <f>tertiair!K16</f>
        <v>0</v>
      </c>
      <c r="L5" s="445">
        <f ca="1">tertiair!L16</f>
        <v>0</v>
      </c>
      <c r="M5" s="445">
        <f>tertiair!M16</f>
        <v>0</v>
      </c>
      <c r="N5" s="445">
        <f ca="1">tertiair!N16</f>
        <v>503.52770398200215</v>
      </c>
      <c r="O5" s="445">
        <f>tertiair!O16</f>
        <v>24.486303829205774</v>
      </c>
      <c r="P5" s="446">
        <f>tertiair!P16</f>
        <v>157.61741491948504</v>
      </c>
      <c r="Q5" s="444">
        <f t="shared" ref="Q5:Q14" ca="1" si="0">SUM(B5:P5)</f>
        <v>22120.472188143609</v>
      </c>
    </row>
    <row r="6" spans="1:17">
      <c r="A6" s="444" t="s">
        <v>187</v>
      </c>
      <c r="B6" s="445">
        <f>'openbare verlichting'!B8</f>
        <v>550.29700000000003</v>
      </c>
      <c r="C6" s="445"/>
      <c r="D6" s="445"/>
      <c r="E6" s="445"/>
      <c r="F6" s="445"/>
      <c r="G6" s="445"/>
      <c r="H6" s="445"/>
      <c r="I6" s="445"/>
      <c r="J6" s="445"/>
      <c r="K6" s="445"/>
      <c r="L6" s="445"/>
      <c r="M6" s="445"/>
      <c r="N6" s="445"/>
      <c r="O6" s="445"/>
      <c r="P6" s="446"/>
      <c r="Q6" s="444">
        <f t="shared" si="0"/>
        <v>550.29700000000003</v>
      </c>
    </row>
    <row r="7" spans="1:17">
      <c r="A7" s="444" t="s">
        <v>105</v>
      </c>
      <c r="B7" s="445">
        <f>landbouw!B8</f>
        <v>2137.0591657536102</v>
      </c>
      <c r="C7" s="445">
        <f>landbouw!C8</f>
        <v>0</v>
      </c>
      <c r="D7" s="445">
        <f>landbouw!D8</f>
        <v>417.8744379095188</v>
      </c>
      <c r="E7" s="445">
        <f>landbouw!E8</f>
        <v>63.006545950152237</v>
      </c>
      <c r="F7" s="445">
        <f>landbouw!F8</f>
        <v>6792.3335164173359</v>
      </c>
      <c r="G7" s="445">
        <f>landbouw!G8</f>
        <v>0</v>
      </c>
      <c r="H7" s="445">
        <f>landbouw!H8</f>
        <v>0</v>
      </c>
      <c r="I7" s="445">
        <f>landbouw!I8</f>
        <v>0</v>
      </c>
      <c r="J7" s="445">
        <f>landbouw!J8</f>
        <v>538.95319846461405</v>
      </c>
      <c r="K7" s="445">
        <f>landbouw!K8</f>
        <v>0</v>
      </c>
      <c r="L7" s="445">
        <f>landbouw!L8</f>
        <v>0</v>
      </c>
      <c r="M7" s="445">
        <f>landbouw!M8</f>
        <v>0</v>
      </c>
      <c r="N7" s="445">
        <f>landbouw!N8</f>
        <v>0</v>
      </c>
      <c r="O7" s="445">
        <f>landbouw!O8</f>
        <v>0</v>
      </c>
      <c r="P7" s="446">
        <f>landbouw!P8</f>
        <v>0</v>
      </c>
      <c r="Q7" s="444">
        <f t="shared" si="0"/>
        <v>9949.226864495231</v>
      </c>
    </row>
    <row r="8" spans="1:17">
      <c r="A8" s="444" t="s">
        <v>587</v>
      </c>
      <c r="B8" s="445">
        <f>industrie!B18</f>
        <v>2722.9290008355488</v>
      </c>
      <c r="C8" s="445">
        <f>industrie!C18</f>
        <v>0</v>
      </c>
      <c r="D8" s="445">
        <f>industrie!D18</f>
        <v>2064.2991026620166</v>
      </c>
      <c r="E8" s="445">
        <f>industrie!E18</f>
        <v>10.56930863466533</v>
      </c>
      <c r="F8" s="445">
        <f>industrie!F18</f>
        <v>1084.9575125636538</v>
      </c>
      <c r="G8" s="445">
        <f>industrie!G18</f>
        <v>0</v>
      </c>
      <c r="H8" s="445">
        <f>industrie!H18</f>
        <v>0</v>
      </c>
      <c r="I8" s="445">
        <f>industrie!I18</f>
        <v>0</v>
      </c>
      <c r="J8" s="445">
        <f>industrie!J18</f>
        <v>0.64703615034349482</v>
      </c>
      <c r="K8" s="445">
        <f>industrie!K18</f>
        <v>0</v>
      </c>
      <c r="L8" s="445">
        <f>industrie!L18</f>
        <v>0</v>
      </c>
      <c r="M8" s="445">
        <f>industrie!M18</f>
        <v>0</v>
      </c>
      <c r="N8" s="445">
        <f>industrie!N18</f>
        <v>79.766432871556205</v>
      </c>
      <c r="O8" s="445">
        <f>industrie!O18</f>
        <v>0</v>
      </c>
      <c r="P8" s="446">
        <f>industrie!P18</f>
        <v>0</v>
      </c>
      <c r="Q8" s="444">
        <f t="shared" si="0"/>
        <v>5963.168393717785</v>
      </c>
    </row>
    <row r="9" spans="1:17" s="450" customFormat="1">
      <c r="A9" s="448" t="s">
        <v>536</v>
      </c>
      <c r="B9" s="449">
        <f>transport!B14</f>
        <v>183.64424959931006</v>
      </c>
      <c r="C9" s="449">
        <f>transport!C14</f>
        <v>0</v>
      </c>
      <c r="D9" s="449">
        <f>transport!D14</f>
        <v>316.67031539314519</v>
      </c>
      <c r="E9" s="449">
        <f>transport!E14</f>
        <v>180.98668969110253</v>
      </c>
      <c r="F9" s="449">
        <f>transport!F14</f>
        <v>0</v>
      </c>
      <c r="G9" s="449">
        <f>transport!G14</f>
        <v>97834.755460373432</v>
      </c>
      <c r="H9" s="449">
        <f>transport!H14</f>
        <v>21070.808500946438</v>
      </c>
      <c r="I9" s="449">
        <f>transport!I14</f>
        <v>0</v>
      </c>
      <c r="J9" s="449">
        <f>transport!J14</f>
        <v>0</v>
      </c>
      <c r="K9" s="449">
        <f>transport!K14</f>
        <v>0</v>
      </c>
      <c r="L9" s="449">
        <f>transport!L14</f>
        <v>0</v>
      </c>
      <c r="M9" s="449">
        <f>transport!M14</f>
        <v>6972.9939375736722</v>
      </c>
      <c r="N9" s="449">
        <f>transport!N14</f>
        <v>0</v>
      </c>
      <c r="O9" s="449">
        <f>transport!O14</f>
        <v>0</v>
      </c>
      <c r="P9" s="449">
        <f>transport!P14</f>
        <v>0</v>
      </c>
      <c r="Q9" s="448">
        <f>SUM(B9:P9)</f>
        <v>126559.8591535771</v>
      </c>
    </row>
    <row r="10" spans="1:17">
      <c r="A10" s="444" t="s">
        <v>526</v>
      </c>
      <c r="B10" s="445">
        <f>transport!B54</f>
        <v>8.3419126846654592</v>
      </c>
      <c r="C10" s="445">
        <f>transport!C54</f>
        <v>0</v>
      </c>
      <c r="D10" s="445">
        <f>transport!D54</f>
        <v>0</v>
      </c>
      <c r="E10" s="445">
        <f>transport!E54</f>
        <v>0</v>
      </c>
      <c r="F10" s="445">
        <f>transport!F54</f>
        <v>0</v>
      </c>
      <c r="G10" s="445">
        <f>transport!G54</f>
        <v>595.43069814166722</v>
      </c>
      <c r="H10" s="445">
        <f>transport!H54</f>
        <v>0</v>
      </c>
      <c r="I10" s="445">
        <f>transport!I54</f>
        <v>0</v>
      </c>
      <c r="J10" s="445">
        <f>transport!J54</f>
        <v>0</v>
      </c>
      <c r="K10" s="445">
        <f>transport!K54</f>
        <v>0</v>
      </c>
      <c r="L10" s="445">
        <f>transport!L54</f>
        <v>0</v>
      </c>
      <c r="M10" s="445">
        <f>transport!M54</f>
        <v>32.878845905081768</v>
      </c>
      <c r="N10" s="445">
        <f>transport!N54</f>
        <v>0</v>
      </c>
      <c r="O10" s="445">
        <f>transport!O54</f>
        <v>0</v>
      </c>
      <c r="P10" s="446">
        <f>transport!P54</f>
        <v>0</v>
      </c>
      <c r="Q10" s="444">
        <f t="shared" si="0"/>
        <v>636.65145673141444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430.90308504195099</v>
      </c>
      <c r="C14" s="452"/>
      <c r="D14" s="452">
        <f>'SEAP template'!E25</f>
        <v>1037.4135911856101</v>
      </c>
      <c r="E14" s="452"/>
      <c r="F14" s="452"/>
      <c r="G14" s="452"/>
      <c r="H14" s="452"/>
      <c r="I14" s="452"/>
      <c r="J14" s="452"/>
      <c r="K14" s="452"/>
      <c r="L14" s="452"/>
      <c r="M14" s="452"/>
      <c r="N14" s="452"/>
      <c r="O14" s="452"/>
      <c r="P14" s="453"/>
      <c r="Q14" s="444">
        <f t="shared" si="0"/>
        <v>1468.3166762275612</v>
      </c>
    </row>
    <row r="15" spans="1:17" s="456" customFormat="1">
      <c r="A15" s="454" t="s">
        <v>530</v>
      </c>
      <c r="B15" s="455">
        <f ca="1">SUM(B4:B14)</f>
        <v>34909.707151432762</v>
      </c>
      <c r="C15" s="455">
        <f t="shared" ref="C15:Q15" ca="1" si="1">SUM(C4:C14)</f>
        <v>24.351351351351351</v>
      </c>
      <c r="D15" s="455">
        <f t="shared" ca="1" si="1"/>
        <v>60183.632193937898</v>
      </c>
      <c r="E15" s="455">
        <f t="shared" si="1"/>
        <v>1565.5077454162381</v>
      </c>
      <c r="F15" s="455">
        <f t="shared" ca="1" si="1"/>
        <v>30817.530467352779</v>
      </c>
      <c r="G15" s="455">
        <f t="shared" si="1"/>
        <v>98430.186158515105</v>
      </c>
      <c r="H15" s="455">
        <f t="shared" si="1"/>
        <v>21070.808500946438</v>
      </c>
      <c r="I15" s="455">
        <f t="shared" si="1"/>
        <v>0</v>
      </c>
      <c r="J15" s="455">
        <f t="shared" si="1"/>
        <v>655.32413285460234</v>
      </c>
      <c r="K15" s="455">
        <f t="shared" si="1"/>
        <v>0</v>
      </c>
      <c r="L15" s="455">
        <f t="shared" ca="1" si="1"/>
        <v>0</v>
      </c>
      <c r="M15" s="455">
        <f t="shared" si="1"/>
        <v>7005.8727834787542</v>
      </c>
      <c r="N15" s="455">
        <f t="shared" ca="1" si="1"/>
        <v>6534.9132052945097</v>
      </c>
      <c r="O15" s="455">
        <f t="shared" si="1"/>
        <v>490.71648538515825</v>
      </c>
      <c r="P15" s="455">
        <f t="shared" si="1"/>
        <v>1137.275630534192</v>
      </c>
      <c r="Q15" s="455">
        <f t="shared" ca="1" si="1"/>
        <v>262825.82580649975</v>
      </c>
    </row>
    <row r="17" spans="1:17">
      <c r="A17" s="457" t="s">
        <v>531</v>
      </c>
      <c r="B17" s="737">
        <f ca="1">huishoudens!B10</f>
        <v>0.18239979926361494</v>
      </c>
      <c r="C17" s="737">
        <f ca="1">huishoudens!C10</f>
        <v>0.22444444444444442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3680.0634273843061</v>
      </c>
      <c r="C22" s="445">
        <f t="shared" ref="C22:C32" ca="1" si="3">C4*$C$17</f>
        <v>0</v>
      </c>
      <c r="D22" s="445">
        <f t="shared" ref="D22:D32" si="4">D4*$D$17</f>
        <v>9220.44524912626</v>
      </c>
      <c r="E22" s="445">
        <f t="shared" ref="E22:E32" si="5">E4*$E$17</f>
        <v>290.38776234400308</v>
      </c>
      <c r="F22" s="445">
        <f t="shared" ref="F22:F32" si="6">F4*$F$17</f>
        <v>5597.3342273014714</v>
      </c>
      <c r="G22" s="445">
        <f t="shared" ref="G22:G32" si="7">G4*$G$17</f>
        <v>0</v>
      </c>
      <c r="H22" s="445">
        <f t="shared" ref="H22:H32" si="8">H4*$H$17</f>
        <v>0</v>
      </c>
      <c r="I22" s="445">
        <f t="shared" ref="I22:I32" si="9">I4*$I$17</f>
        <v>0</v>
      </c>
      <c r="J22" s="445">
        <f t="shared" ref="J22:J32" si="10">J4*$J$17</f>
        <v>40.961220219967331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18829.191886376011</v>
      </c>
    </row>
    <row r="23" spans="1:17">
      <c r="A23" s="444" t="s">
        <v>149</v>
      </c>
      <c r="B23" s="445">
        <f t="shared" ca="1" si="2"/>
        <v>1587.0103473681233</v>
      </c>
      <c r="C23" s="445">
        <f t="shared" ca="1" si="3"/>
        <v>5.4655255255255248</v>
      </c>
      <c r="D23" s="445">
        <f t="shared" ca="1" si="4"/>
        <v>2161.7244497248366</v>
      </c>
      <c r="E23" s="445">
        <f t="shared" si="5"/>
        <v>7.1967983148491239</v>
      </c>
      <c r="F23" s="445">
        <f t="shared" ca="1" si="6"/>
        <v>527.70970274379624</v>
      </c>
      <c r="G23" s="445">
        <f t="shared" si="7"/>
        <v>0</v>
      </c>
      <c r="H23" s="445">
        <f t="shared" si="8"/>
        <v>0</v>
      </c>
      <c r="I23" s="445">
        <f t="shared" si="9"/>
        <v>0</v>
      </c>
      <c r="J23" s="445">
        <f t="shared" si="10"/>
        <v>5.0397568669217395E-3</v>
      </c>
      <c r="K23" s="445">
        <f t="shared" si="11"/>
        <v>0</v>
      </c>
      <c r="L23" s="445">
        <f t="shared" ca="1" si="12"/>
        <v>0</v>
      </c>
      <c r="M23" s="445">
        <f t="shared" si="13"/>
        <v>0</v>
      </c>
      <c r="N23" s="445">
        <f t="shared" ca="1" si="14"/>
        <v>0</v>
      </c>
      <c r="O23" s="445">
        <f t="shared" si="15"/>
        <v>0</v>
      </c>
      <c r="P23" s="446">
        <f t="shared" si="16"/>
        <v>0</v>
      </c>
      <c r="Q23" s="444">
        <f t="shared" ref="Q23:Q31" ca="1" si="17">SUM(B23:P23)</f>
        <v>4289.1118634339973</v>
      </c>
    </row>
    <row r="24" spans="1:17">
      <c r="A24" s="444" t="s">
        <v>187</v>
      </c>
      <c r="B24" s="445">
        <f t="shared" ca="1" si="2"/>
        <v>100.37406233536952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100.37406233536952</v>
      </c>
    </row>
    <row r="25" spans="1:17">
      <c r="A25" s="444" t="s">
        <v>105</v>
      </c>
      <c r="B25" s="445">
        <f t="shared" ca="1" si="2"/>
        <v>389.79916284792688</v>
      </c>
      <c r="C25" s="445">
        <f t="shared" ca="1" si="3"/>
        <v>0</v>
      </c>
      <c r="D25" s="445">
        <f t="shared" si="4"/>
        <v>84.410636457722802</v>
      </c>
      <c r="E25" s="445">
        <f t="shared" si="5"/>
        <v>14.302485930684558</v>
      </c>
      <c r="F25" s="445">
        <f t="shared" si="6"/>
        <v>1813.5530488834288</v>
      </c>
      <c r="G25" s="445">
        <f t="shared" si="7"/>
        <v>0</v>
      </c>
      <c r="H25" s="445">
        <f t="shared" si="8"/>
        <v>0</v>
      </c>
      <c r="I25" s="445">
        <f t="shared" si="9"/>
        <v>0</v>
      </c>
      <c r="J25" s="445">
        <f t="shared" si="10"/>
        <v>190.78943225647336</v>
      </c>
      <c r="K25" s="445">
        <f t="shared" si="11"/>
        <v>0</v>
      </c>
      <c r="L25" s="445">
        <f t="shared" si="12"/>
        <v>0</v>
      </c>
      <c r="M25" s="445">
        <f t="shared" si="13"/>
        <v>0</v>
      </c>
      <c r="N25" s="445">
        <f t="shared" si="14"/>
        <v>0</v>
      </c>
      <c r="O25" s="445">
        <f t="shared" si="15"/>
        <v>0</v>
      </c>
      <c r="P25" s="446">
        <f t="shared" si="16"/>
        <v>0</v>
      </c>
      <c r="Q25" s="444">
        <f t="shared" ca="1" si="17"/>
        <v>2492.8547663762365</v>
      </c>
    </row>
    <row r="26" spans="1:17">
      <c r="A26" s="444" t="s">
        <v>587</v>
      </c>
      <c r="B26" s="445">
        <f t="shared" ca="1" si="2"/>
        <v>496.66170316147969</v>
      </c>
      <c r="C26" s="445">
        <f t="shared" ca="1" si="3"/>
        <v>0</v>
      </c>
      <c r="D26" s="445">
        <f t="shared" si="4"/>
        <v>416.98841873772739</v>
      </c>
      <c r="E26" s="445">
        <f t="shared" si="5"/>
        <v>2.3992330600690299</v>
      </c>
      <c r="F26" s="445">
        <f t="shared" si="6"/>
        <v>289.68365585449561</v>
      </c>
      <c r="G26" s="445">
        <f t="shared" si="7"/>
        <v>0</v>
      </c>
      <c r="H26" s="445">
        <f t="shared" si="8"/>
        <v>0</v>
      </c>
      <c r="I26" s="445">
        <f t="shared" si="9"/>
        <v>0</v>
      </c>
      <c r="J26" s="445">
        <f t="shared" si="10"/>
        <v>0.22905079722159716</v>
      </c>
      <c r="K26" s="445">
        <f t="shared" si="11"/>
        <v>0</v>
      </c>
      <c r="L26" s="445">
        <f t="shared" si="12"/>
        <v>0</v>
      </c>
      <c r="M26" s="445">
        <f t="shared" si="13"/>
        <v>0</v>
      </c>
      <c r="N26" s="445">
        <f t="shared" si="14"/>
        <v>0</v>
      </c>
      <c r="O26" s="445">
        <f t="shared" si="15"/>
        <v>0</v>
      </c>
      <c r="P26" s="446">
        <f t="shared" si="16"/>
        <v>0</v>
      </c>
      <c r="Q26" s="444">
        <f t="shared" ca="1" si="17"/>
        <v>1205.9620616109933</v>
      </c>
    </row>
    <row r="27" spans="1:17" s="450" customFormat="1">
      <c r="A27" s="448" t="s">
        <v>536</v>
      </c>
      <c r="B27" s="731">
        <f t="shared" ca="1" si="2"/>
        <v>33.496674262831355</v>
      </c>
      <c r="C27" s="449">
        <f t="shared" ca="1" si="3"/>
        <v>0</v>
      </c>
      <c r="D27" s="449">
        <f t="shared" si="4"/>
        <v>63.967403709415329</v>
      </c>
      <c r="E27" s="449">
        <f t="shared" si="5"/>
        <v>41.083978559880272</v>
      </c>
      <c r="F27" s="449">
        <f t="shared" si="6"/>
        <v>0</v>
      </c>
      <c r="G27" s="449">
        <f t="shared" si="7"/>
        <v>26121.879707919707</v>
      </c>
      <c r="H27" s="449">
        <f t="shared" si="8"/>
        <v>5246.6313167356629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31507.059081187497</v>
      </c>
    </row>
    <row r="28" spans="1:17" ht="16.5" customHeight="1">
      <c r="A28" s="444" t="s">
        <v>526</v>
      </c>
      <c r="B28" s="445">
        <f t="shared" ca="1" si="2"/>
        <v>1.5215631991575829</v>
      </c>
      <c r="C28" s="445">
        <f t="shared" ca="1" si="3"/>
        <v>0</v>
      </c>
      <c r="D28" s="445">
        <f t="shared" si="4"/>
        <v>0</v>
      </c>
      <c r="E28" s="445">
        <f t="shared" si="5"/>
        <v>0</v>
      </c>
      <c r="F28" s="445">
        <f t="shared" si="6"/>
        <v>0</v>
      </c>
      <c r="G28" s="445">
        <f t="shared" si="7"/>
        <v>158.97999640382517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160.50155960298275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78.596636213724253</v>
      </c>
      <c r="C32" s="445">
        <f t="shared" ca="1" si="3"/>
        <v>0</v>
      </c>
      <c r="D32" s="445">
        <f t="shared" si="4"/>
        <v>209.55754541949327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288.15418163321749</v>
      </c>
    </row>
    <row r="33" spans="1:17" s="456" customFormat="1">
      <c r="A33" s="454" t="s">
        <v>530</v>
      </c>
      <c r="B33" s="455">
        <f ca="1">SUM(B22:B32)</f>
        <v>6367.5235767729182</v>
      </c>
      <c r="C33" s="455">
        <f t="shared" ref="C33:Q33" ca="1" si="19">SUM(C22:C32)</f>
        <v>5.4655255255255248</v>
      </c>
      <c r="D33" s="455">
        <f t="shared" ca="1" si="19"/>
        <v>12157.093703175453</v>
      </c>
      <c r="E33" s="455">
        <f t="shared" si="19"/>
        <v>355.37025820948605</v>
      </c>
      <c r="F33" s="455">
        <f t="shared" ca="1" si="19"/>
        <v>8228.280634783192</v>
      </c>
      <c r="G33" s="455">
        <f t="shared" si="19"/>
        <v>26280.859704323531</v>
      </c>
      <c r="H33" s="455">
        <f t="shared" si="19"/>
        <v>5246.6313167356629</v>
      </c>
      <c r="I33" s="455">
        <f t="shared" si="19"/>
        <v>0</v>
      </c>
      <c r="J33" s="455">
        <f t="shared" si="19"/>
        <v>231.98474303052922</v>
      </c>
      <c r="K33" s="455">
        <f t="shared" si="19"/>
        <v>0</v>
      </c>
      <c r="L33" s="455">
        <f t="shared" ca="1" si="19"/>
        <v>0</v>
      </c>
      <c r="M33" s="455">
        <f t="shared" si="19"/>
        <v>0</v>
      </c>
      <c r="N33" s="455">
        <f t="shared" ca="1" si="19"/>
        <v>0</v>
      </c>
      <c r="O33" s="455">
        <f t="shared" si="19"/>
        <v>0</v>
      </c>
      <c r="P33" s="455">
        <f t="shared" si="19"/>
        <v>0</v>
      </c>
      <c r="Q33" s="455">
        <f t="shared" ca="1" si="19"/>
        <v>58873.209462556304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6097.6482318971866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17</v>
      </c>
      <c r="D8" s="972">
        <f>'SEAP template'!D76</f>
        <v>18.888888888888886</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3.8155555555555551</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6097.6482318971866</v>
      </c>
      <c r="C10" s="974">
        <f>SUM(C4:C9)</f>
        <v>17</v>
      </c>
      <c r="D10" s="974">
        <f t="shared" ref="D10:H10" si="0">SUM(D8:D9)</f>
        <v>18.888888888888886</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3.8155555555555551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0.18239979926361494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24.351351351351351</v>
      </c>
      <c r="D17" s="973">
        <f>'SEAP template'!D87</f>
        <v>27.057057057057051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5.4655255255255248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24.351351351351351</v>
      </c>
      <c r="D20" s="974">
        <f t="shared" ref="D20:H20" si="2">SUM(D17:D19)</f>
        <v>27.057057057057051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5.4655255255255248</v>
      </c>
    </row>
    <row r="21" spans="1:16">
      <c r="B21" s="841"/>
    </row>
    <row r="22" spans="1:16">
      <c r="A22" s="457" t="s">
        <v>730</v>
      </c>
      <c r="B22" s="737" t="s">
        <v>728</v>
      </c>
      <c r="C22" s="737">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0.18239979926361494</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2022-07-26T09:42:09Z</dcterms:modified>
</cp:coreProperties>
</file>