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923ECFC8-58F4-4FFB-A1AD-19C62A714C7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48"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57" i="18"/>
  <c r="V57" i="18"/>
  <c r="U57" i="18"/>
  <c r="T57" i="18"/>
  <c r="S57" i="18"/>
  <c r="R57" i="18"/>
  <c r="Q57" i="18"/>
  <c r="P57" i="18"/>
  <c r="O57" i="18"/>
  <c r="N57" i="18"/>
  <c r="M57" i="18"/>
  <c r="W56" i="18"/>
  <c r="V56" i="18"/>
  <c r="U56" i="18"/>
  <c r="T56" i="18"/>
  <c r="S56" i="18"/>
  <c r="R56" i="18"/>
  <c r="Q56" i="18"/>
  <c r="P56" i="18"/>
  <c r="O56" i="18"/>
  <c r="N56" i="18"/>
  <c r="M56" i="18"/>
  <c r="W55" i="18"/>
  <c r="V55" i="18"/>
  <c r="U55" i="18"/>
  <c r="T55" i="18"/>
  <c r="S55" i="18"/>
  <c r="R55" i="18"/>
  <c r="Q55" i="18"/>
  <c r="P55" i="18"/>
  <c r="O55" i="18"/>
  <c r="N55" i="18"/>
  <c r="M55" i="18"/>
  <c r="W54" i="18"/>
  <c r="H9" i="18"/>
  <c r="M77" i="14"/>
  <c r="M9" i="59"/>
  <c r="V54" i="18"/>
  <c r="U54" i="18"/>
  <c r="T54" i="18"/>
  <c r="S54" i="18"/>
  <c r="E9" i="18"/>
  <c r="F77" i="14"/>
  <c r="F9" i="59"/>
  <c r="R54" i="18"/>
  <c r="Q54" i="18"/>
  <c r="P54" i="18"/>
  <c r="O54" i="18"/>
  <c r="N54" i="18"/>
  <c r="B9" i="18"/>
  <c r="M54" i="18"/>
  <c r="W50" i="18"/>
  <c r="V50" i="18"/>
  <c r="U50" i="18"/>
  <c r="T50" i="18"/>
  <c r="L6" i="17"/>
  <c r="L5" i="17"/>
  <c r="S50" i="18"/>
  <c r="F6" i="17"/>
  <c r="R50" i="18"/>
  <c r="Q50" i="18"/>
  <c r="P50" i="18"/>
  <c r="O50" i="18"/>
  <c r="N50" i="18"/>
  <c r="M50" i="18"/>
  <c r="W49" i="18"/>
  <c r="V49" i="18"/>
  <c r="U49" i="18"/>
  <c r="T49" i="18"/>
  <c r="S49" i="18"/>
  <c r="R49" i="18"/>
  <c r="Q49" i="18"/>
  <c r="P49" i="18"/>
  <c r="O49" i="18"/>
  <c r="C13" i="15"/>
  <c r="N49" i="18"/>
  <c r="B13" i="15"/>
  <c r="M49" i="18"/>
  <c r="W48" i="18"/>
  <c r="V48" i="18"/>
  <c r="U48" i="18"/>
  <c r="T48" i="18"/>
  <c r="S48" i="18"/>
  <c r="F16" i="16"/>
  <c r="R48" i="18"/>
  <c r="Q48" i="18"/>
  <c r="P48" i="18"/>
  <c r="O48" i="18"/>
  <c r="N48" i="18"/>
  <c r="W47" i="18"/>
  <c r="V47" i="18"/>
  <c r="U47" i="18"/>
  <c r="T47" i="18"/>
  <c r="S47" i="18"/>
  <c r="R47" i="18"/>
  <c r="Q47" i="18"/>
  <c r="P47" i="18"/>
  <c r="O47" i="18"/>
  <c r="B17" i="18"/>
  <c r="N47" i="18"/>
  <c r="B8" i="18"/>
  <c r="M47"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63" i="18"/>
  <c r="B67" i="18"/>
  <c r="B16" i="16"/>
  <c r="K9" i="14"/>
  <c r="H77" i="14"/>
  <c r="J11" i="48"/>
  <c r="J29" i="48"/>
  <c r="M9" i="14"/>
  <c r="L11" i="48"/>
  <c r="O19" i="14"/>
  <c r="O22" i="14"/>
  <c r="N10" i="48"/>
  <c r="N28" i="48"/>
  <c r="J19" i="14"/>
  <c r="J22" i="14"/>
  <c r="I10" i="48"/>
  <c r="I28" i="48"/>
  <c r="J19" i="19"/>
  <c r="K39" i="14"/>
  <c r="N19" i="19"/>
  <c r="O39" i="14"/>
  <c r="C63" i="18"/>
  <c r="I66"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66" i="18"/>
  <c r="E8" i="18"/>
  <c r="F76" i="14"/>
  <c r="F7" i="48"/>
  <c r="F25" i="48"/>
  <c r="D66" i="18"/>
  <c r="O9" i="18"/>
  <c r="M29" i="48"/>
  <c r="F12" i="17"/>
  <c r="G54" i="14"/>
  <c r="G56" i="14"/>
  <c r="C67" i="18"/>
  <c r="C66" i="18"/>
  <c r="B10" i="18"/>
  <c r="E67" i="18"/>
  <c r="E17" i="18"/>
  <c r="F87" i="14"/>
  <c r="G67" i="18"/>
  <c r="D7" i="48"/>
  <c r="D25" i="48"/>
  <c r="H66" i="18"/>
  <c r="G66" i="18"/>
  <c r="D67" i="18"/>
  <c r="L28" i="48"/>
  <c r="H67" i="18"/>
  <c r="I67" i="18"/>
  <c r="H17" i="18"/>
  <c r="F67" i="18"/>
  <c r="F66" i="18"/>
  <c r="H10" i="18"/>
  <c r="M78" i="14"/>
  <c r="B66"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<sst xmlns="http://schemas.openxmlformats.org/spreadsheetml/2006/main" count="2472" uniqueCount="871">
  <si>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</si>
  <si>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</si>
  <si>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</si>
  <si>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</si>
  <si>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</si>
  <si>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</si>
  <si>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</si>
  <si>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</si>
  <si>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</si>
  <si>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</si>
  <si>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</si>
  <si>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</si>
  <si>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</si>
  <si>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</si>
  <si>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</si>
  <si>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</si>
  <si>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</si>
  <si>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</si>
  <si>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</si>
  <si>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</si>
  <si>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</si>
  <si>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</si>
  <si>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</si>
  <si>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</si>
  <si>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</si>
  <si>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</si>
  <si>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</si>
  <si>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</si>
  <si>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</si>
  <si>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</si>
  <si>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</si>
  <si>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</si>
  <si>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</si>
  <si>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</si>
  <si>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</si>
  <si>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</si>
  <si>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</si>
  <si>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</si>
  <si>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</si>
  <si>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</si>
  <si>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</si>
  <si>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</si>
  <si>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</si>
  <si>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</si>
  <si>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</si>
  <si>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</si>
  <si>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</si>
  <si>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</si>
  <si>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</si>
  <si>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</si>
  <si>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</si>
  <si>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</si>
  <si>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</si>
  <si>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</si>
  <si>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</si>
  <si>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</si>
  <si>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</si>
  <si>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</si>
  <si>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</si>
  <si>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</si>
  <si>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</si>
  <si>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</si>
  <si>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</si>
  <si>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</si>
  <si>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</si>
  <si>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</si>
  <si>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</si>
  <si>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</si>
  <si>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</si>
  <si>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</si>
  <si>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</si>
  <si>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</si>
  <si>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</si>
  <si>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</si>
  <si>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</si>
  <si>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</si>
  <si>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</si>
  <si>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</si>
  <si>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</si>
  <si>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</si>
  <si>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</si>
  <si>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</si>
  <si>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</si>
  <si>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</si>
  <si>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</si>
  <si>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</si>
  <si>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</si>
  <si>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</si>
  <si>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</si>
  <si>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</si>
  <si>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</si>
  <si>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</si>
  <si>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</si>
  <si>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</si>
  <si>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</si>
  <si>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</si>
  <si>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</si>
  <si>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</si>
  <si>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</si>
  <si>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</si>
  <si>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</si>
  <si>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</si>
  <si>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</si>
  <si>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</si>
  <si>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</si>
  <si>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</si>
  <si>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</si>
  <si>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</si>
  <si>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</si>
  <si>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</si>
  <si>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</si>
  <si>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</si>
  <si>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</si>
  <si>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</si>
  <si>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</si>
  <si>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</si>
  <si>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</si>
  <si>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</si>
  <si>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</si>
  <si>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</si>
  <si>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</si>
  <si>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</si>
  <si>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</si>
  <si>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</si>
  <si>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</si>
  <si>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</si>
  <si>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</si>
  <si>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</si>
  <si>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</si>
  <si>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</si>
  <si>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</si>
  <si>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</si>
  <si>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</si>
  <si>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</si>
  <si>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</si>
  <si>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</si>
  <si>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</si>
  <si>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</si>
  <si>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</si>
  <si>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</si>
  <si>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</si>
  <si>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</si>
  <si>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</si>
  <si>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</si>
  <si>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</si>
  <si>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</si>
  <si>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</si>
  <si>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</si>
  <si>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</si>
  <si>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</si>
  <si>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</si>
  <si>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</si>
  <si>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</si>
  <si>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</si>
  <si>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</si>
  <si>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</si>
  <si>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</si>
  <si>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</si>
  <si>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</si>
  <si>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</si>
  <si>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</si>
  <si>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</si>
  <si>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</si>
  <si>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</si>
  <si>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</si>
  <si>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</si>
  <si>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</si>
  <si>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</si>
  <si>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</si>
  <si>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</si>
  <si>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</si>
  <si>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</si>
  <si>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</si>
  <si>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</si>
  <si>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</si>
  <si>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</si>
  <si>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</si>
  <si>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</si>
  <si>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</si>
  <si>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</si>
  <si>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</si>
  <si>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</si>
  <si>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</si>
  <si>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</si>
  <si>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</si>
  <si>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</si>
  <si>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</si>
  <si>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</si>
  <si>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</si>
  <si>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</si>
  <si>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</si>
  <si>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</si>
  <si>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</si>
  <si>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</si>
  <si>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</si>
  <si>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</si>
  <si>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</si>
  <si>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</si>
  <si>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</si>
  <si>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</si>
  <si>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</si>
  <si>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</si>
  <si>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</si>
  <si>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</si>
  <si>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</si>
  <si>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</si>
  <si>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</si>
  <si>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</si>
  <si>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</si>
  <si>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</si>
  <si>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</si>
  <si>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</si>
  <si>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</si>
  <si>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</si>
  <si>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</si>
  <si>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</si>
  <si>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</si>
  <si>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</si>
  <si>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</si>
  <si>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</si>
  <si>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</si>
  <si>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</si>
  <si>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</si>
  <si>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</si>
  <si>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</si>
  <si>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</si>
  <si>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</si>
  <si>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</si>
  <si>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</si>
  <si>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</si>
  <si>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</si>
  <si>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</si>
  <si>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</si>
  <si>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</si>
  <si>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</si>
  <si>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</si>
  <si>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</si>
  <si>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</si>
  <si>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</si>
  <si>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</si>
  <si>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</si>
  <si>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</si>
  <si>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</si>
  <si>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</si>
  <si>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</si>
  <si>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</si>
  <si>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</si>
  <si>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</si>
  <si>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</si>
  <si>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</si>
  <si>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</si>
  <si>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</si>
  <si>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</si>
  <si>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</si>
  <si>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</si>
  <si>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</si>
  <si>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</si>
  <si>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</si>
  <si>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</si>
  <si>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</si>
  <si>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</si>
  <si>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</si>
  <si>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</si>
  <si>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</si>
  <si>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</si>
  <si>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</si>
  <si>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</si>
  <si>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</si>
  <si>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</si>
  <si>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</si>
  <si>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</si>
  <si>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</si>
  <si>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</si>
  <si>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</si>
  <si>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</si>
  <si>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</si>
  <si>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</si>
  <si>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</si>
  <si>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</si>
  <si>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</si>
  <si>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</si>
  <si>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</si>
  <si>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</si>
  <si>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</si>
  <si>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</si>
  <si>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</si>
  <si>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</si>
  <si>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</si>
  <si>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</si>
  <si>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</si>
  <si>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</si>
  <si>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</si>
  <si>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</si>
  <si>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</si>
  <si>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</si>
  <si>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</si>
  <si>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</si>
  <si>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</si>
  <si>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</si>
  <si>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</si>
  <si>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</si>
  <si>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</si>
  <si>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</si>
  <si>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</si>
  <si>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</si>
  <si>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</si>
  <si>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</si>
  <si>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</si>
  <si>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</si>
  <si>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</si>
  <si>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</si>
  <si>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</si>
  <si>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</si>
  <si>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</si>
  <si>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</si>
  <si>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</si>
  <si>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</si>
  <si>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</si>
  <si>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</si>
  <si>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</si>
  <si>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</si>
  <si>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</si>
  <si>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</si>
  <si>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</si>
  <si>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</si>
  <si>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</si>
  <si>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</si>
  <si>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</si>
  <si>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</si>
  <si>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</si>
  <si>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</si>
  <si>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</si>
  <si>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</si>
  <si>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</si>
  <si>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</si>
  <si>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</si>
  <si>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</si>
  <si>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</si>
  <si>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</si>
  <si>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</si>
  <si>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</si>
  <si>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</si>
  <si>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</si>
  <si>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</si>
  <si>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</si>
  <si>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</si>
  <si>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</si>
  <si>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</si>
  <si>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</si>
  <si>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</si>
  <si>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</si>
  <si>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</si>
  <si>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</si>
  <si>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</si>
  <si>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</si>
  <si>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</si>
  <si>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</si>
  <si>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</si>
  <si>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</si>
  <si>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</si>
  <si>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</si>
  <si>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</si>
  <si>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</si>
  <si>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</si>
  <si>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</si>
  <si>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</si>
  <si>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</si>
  <si>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</si>
  <si>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</si>
  <si>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</si>
  <si>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</si>
  <si>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</si>
  <si>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</si>
  <si>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</si>
  <si>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</si>
  <si>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</si>
  <si>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</si>
  <si>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</si>
  <si>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</si>
  <si>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</si>
  <si>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</si>
  <si>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</si>
  <si>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</si>
  <si>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</si>
  <si>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</si>
  <si>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</si>
  <si>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</si>
  <si>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</si>
  <si>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</si>
  <si>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</si>
  <si>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</si>
  <si>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</si>
  <si>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</si>
  <si>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</si>
  <si>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</si>
  <si>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</si>
  <si>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</si>
  <si>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</si>
  <si>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</si>
  <si>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</si>
  <si>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</si>
  <si>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</si>
  <si>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</si>
  <si>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</si>
  <si>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</si>
  <si>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</si>
  <si>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</si>
  <si>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</si>
  <si>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</si>
  <si>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</si>
  <si>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</si>
  <si>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</si>
  <si>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</si>
  <si>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</si>
  <si>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</si>
  <si>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</si>
  <si>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</si>
  <si>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</si>
  <si>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</si>
  <si>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</si>
  <si>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</si>
  <si>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</si>
  <si>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</si>
  <si>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</si>
  <si>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</si>
  <si>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</si>
  <si>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</si>
  <si>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</si>
  <si>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</si>
  <si>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</si>
  <si>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</si>
  <si>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</si>
  <si>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</si>
  <si>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</si>
  <si>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</si>
  <si>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</si>
  <si>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</si>
  <si>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</si>
  <si>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</si>
  <si>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</si>
  <si>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</si>
  <si>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</si>
  <si>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</si>
  <si>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</si>
  <si>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</si>
  <si>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</si>
  <si>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</si>
  <si>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</si>
  <si>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</si>
  <si>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</si>
  <si>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</si>
  <si>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</si>
  <si>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</si>
  <si>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</si>
  <si>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</si>
  <si>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</si>
  <si>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</si>
  <si>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</si>
  <si>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</si>
  <si>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</si>
  <si>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</si>
  <si>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</si>
  <si>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</si>
  <si>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</si>
  <si>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</si>
  <si>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</si>
  <si>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</si>
  <si>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</si>
  <si>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</si>
  <si>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</si>
  <si>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</si>
  <si>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</si>
  <si>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</si>
  <si>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</si>
  <si>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</si>
  <si>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</si>
  <si>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</si>
  <si>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</si>
  <si>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</si>
  <si>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</si>
  <si>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</si>
  <si>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</si>
  <si>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</si>
  <si>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</si>
  <si>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</si>
  <si>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</si>
  <si>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</si>
  <si>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</si>
  <si>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</si>
  <si>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</si>
  <si>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</si>
  <si>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</si>
  <si>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</si>
  <si>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</si>
  <si>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</si>
  <si>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</si>
  <si>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</si>
  <si>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</si>
  <si>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</si>
  <si>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</si>
  <si>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</si>
  <si>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</si>
  <si>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</si>
  <si>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</si>
  <si>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</si>
  <si>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</si>
  <si>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</si>
  <si>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</si>
  <si>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</si>
  <si>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</si>
  <si>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</si>
  <si>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</si>
  <si>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</si>
  <si>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</si>
  <si>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</si>
  <si>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</si>
  <si>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</si>
  <si>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</si>
  <si>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</si>
  <si>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</si>
  <si>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</si>
  <si>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</si>
  <si>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</si>
  <si>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</si>
  <si>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</si>
  <si>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</si>
  <si>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</si>
  <si>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</si>
  <si>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</si>
  <si>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</si>
  <si>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</si>
  <si>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</si>
  <si>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</si>
  <si>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</si>
  <si>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</si>
  <si>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</si>
  <si>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</si>
  <si>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</si>
  <si>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</si>
  <si>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</si>
  <si>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</si>
  <si>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</si>
  <si>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</si>
  <si>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</si>
  <si>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</si>
  <si>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</si>
  <si>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</si>
  <si>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</si>
  <si>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</si>
  <si>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</si>
  <si>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</si>
  <si>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</si>
  <si>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</si>
  <si>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</si>
  <si>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</si>
  <si>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</si>
  <si>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</si>
  <si>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</si>
  <si>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</si>
  <si>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</si>
  <si>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</si>
  <si>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</si>
  <si>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</si>
  <si>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</si>
  <si>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</si>
  <si>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</si>
  <si>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</si>
  <si>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</si>
  <si>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</si>
  <si>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</si>
  <si>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</si>
  <si>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</si>
  <si>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</si>
  <si>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</si>
  <si>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</si>
  <si>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</si>
  <si>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</si>
  <si>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</si>
  <si>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</si>
  <si>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</si>
  <si>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</si>
  <si>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</si>
  <si>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</si>
  <si>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</si>
  <si>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</si>
  <si>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</si>
  <si>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</si>
  <si>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</si>
  <si>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</si>
  <si>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</si>
  <si>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</si>
  <si>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</si>
  <si>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</si>
  <si>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</si>
  <si>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</si>
  <si>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</si>
  <si>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</si>
  <si>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</si>
  <si>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</si>
  <si>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</si>
  <si>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</si>
  <si>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</si>
  <si>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</si>
  <si>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</si>
  <si>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</si>
  <si>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</si>
  <si>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</si>
  <si>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</si>
  <si>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</si>
  <si>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</si>
  <si>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</si>
  <si>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</si>
  <si>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</si>
  <si>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</si>
  <si>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</si>
  <si>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</si>
  <si>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</si>
  <si>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</si>
  <si>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</si>
  <si>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</si>
  <si>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</si>
  <si>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</si>
  <si>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</si>
  <si>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</si>
  <si>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</si>
  <si>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</si>
  <si>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</si>
  <si>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</si>
  <si>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</si>
  <si>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</si>
  <si>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</si>
  <si>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</si>
  <si>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</si>
  <si>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</si>
  <si>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</si>
  <si>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</si>
  <si>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</si>
  <si>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</si>
  <si>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</si>
  <si>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</si>
  <si>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</si>
  <si>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</si>
  <si>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</si>
  <si>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</si>
  <si>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</si>
  <si>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</si>
  <si>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</si>
  <si>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</si>
  <si>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</si>
  <si>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</si>
  <si>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</si>
  <si>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</si>
  <si>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</si>
  <si>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</si>
  <si>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</si>
  <si>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</si>
  <si>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</si>
  <si>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</si>
  <si>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</si>
  <si>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</si>
  <si>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</si>
  <si>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</si>
  <si>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</si>
  <si>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</si>
  <si>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</si>
  <si>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</si>
  <si>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</si>
  <si>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</si>
  <si>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</si>
  <si>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</si>
  <si>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</si>
  <si>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</si>
  <si>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</si>
  <si>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</si>
  <si>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</si>
  <si>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</si>
  <si>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</si>
  <si>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</si>
  <si>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</si>
  <si>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</si>
  <si>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</si>
  <si>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</si>
  <si>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</si>
  <si>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</si>
  <si>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</si>
  <si>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</si>
  <si>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</si>
  <si>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</si>
  <si>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</si>
  <si>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</si>
  <si>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</si>
  <si>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</si>
  <si>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</si>
  <si>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</si>
  <si>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</si>
  <si>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</si>
  <si>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</si>
  <si>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</si>
  <si>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</si>
  <si>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</si>
  <si>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</si>
  <si>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</si>
  <si>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</si>
  <si>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</si>
  <si>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</si>
  <si>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</si>
  <si>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</si>
  <si>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</si>
  <si>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</si>
  <si>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</si>
  <si>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</si>
  <si>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</si>
  <si>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</si>
  <si>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</si>
  <si>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</si>
  <si>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</si>
  <si>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</si>
  <si>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</si>
  <si>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</si>
  <si>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</si>
  <si>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</si>
  <si>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</si>
  <si>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</si>
  <si>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</si>
  <si>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</si>
  <si>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</si>
  <si>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</si>
  <si>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</si>
  <si>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</si>
  <si>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</si>
  <si>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</si>
  <si>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</si>
  <si>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</si>
  <si>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</si>
  <si>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</si>
  <si>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</si>
  <si>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</si>
  <si>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</si>
  <si>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</si>
  <si>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</si>
  <si>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</si>
  <si>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</si>
  <si>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</si>
  <si>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</si>
  <si>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</si>
  <si>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</si>
  <si>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</si>
  <si>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</si>
  <si>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</si>
  <si>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</si>
  <si>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</si>
  <si>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</si>
  <si>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</si>
  <si>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</si>
  <si>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</si>
  <si>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</si>
  <si>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</si>
  <si>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</si>
  <si>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</si>
  <si>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</si>
  <si>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</si>
  <si>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</si>
  <si>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</si>
  <si>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</si>
  <si>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</si>
  <si>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</si>
  <si>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</si>
  <si>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</si>
  <si>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</si>
  <si>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</si>
  <si>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</si>
  <si>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</si>
  <si>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</si>
  <si>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</si>
  <si>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</si>
  <si>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</si>
  <si>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</si>
  <si>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</si>
  <si>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</si>
  <si>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</si>
  <si>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</si>
  <si>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</si>
  <si>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</si>
  <si>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</si>
  <si>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</si>
  <si>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</si>
  <si>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</si>
  <si>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</si>
  <si>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</si>
  <si>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</si>
  <si>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</si>
  <si>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</si>
  <si>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</si>
  <si>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</si>
  <si>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</si>
  <si>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</si>
  <si>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</si>
  <si>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</si>
  <si>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</si>
  <si>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</si>
  <si>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</si>
  <si>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</si>
  <si>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</si>
  <si>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</si>
  <si>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</si>
  <si>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</si>
  <si>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</si>
  <si>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</si>
  <si>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</si>
  <si>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</si>
  <si>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</si>
  <si>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</si>
  <si>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</si>
  <si>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</si>
  <si>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</si>
  <si>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</si>
  <si>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</si>
  <si>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</si>
  <si>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</si>
  <si>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</si>
  <si>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</si>
  <si>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</si>
  <si>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</si>
  <si>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</si>
  <si>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</si>
  <si>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</si>
  <si>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</si>
  <si>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</si>
  <si>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</si>
  <si>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</si>
  <si>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</si>
  <si>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</si>
  <si>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</si>
  <si>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</si>
  <si>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</si>
  <si>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</si>
  <si>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</si>
  <si>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</si>
  <si>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</si>
  <si>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</si>
  <si>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</si>
  <si>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</si>
  <si>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</si>
  <si>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</si>
  <si>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</si>
  <si>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</si>
  <si>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</si>
  <si>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</si>
  <si>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</si>
  <si>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</si>
  <si>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</si>
  <si>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</si>
  <si>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</si>
  <si>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</si>
  <si>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</si>
  <si>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</si>
  <si>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</si>
  <si>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13014</t>
  </si>
  <si>
    <t>HOOGSTRATEN</t>
  </si>
  <si>
    <t>waterkracht</t>
  </si>
  <si>
    <t>vloeibaar gas (MWh)</t>
  </si>
  <si>
    <t>interne verbrandingsmotor</t>
  </si>
  <si>
    <t>WKK interne verbrandinsgmotor (gas)</t>
  </si>
  <si>
    <t>IVEKA</t>
  </si>
  <si>
    <t>WKK interne verbrandinsgmotor (vloeibaar)</t>
  </si>
  <si>
    <t>eilandwerking</t>
  </si>
  <si>
    <t>Interne verbrandingsmotor</t>
  </si>
  <si>
    <t>IVEKA (via EANDIS)</t>
  </si>
  <si>
    <t>biogas - RWZI</t>
  </si>
  <si>
    <t>niet WKK interne verbrandingsmotor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</si>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</sst>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9520DE48-2855-40B7-A692-C0E7E64C779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179978.73221765042</c:v>
                </c:pt>
                <c:pt idx="1">
                  <c:v>126057.73381890661</c:v>
                </c:pt>
                <c:pt idx="2">
                  <c:v>1433.3969999999999</c:v>
                </c:pt>
                <c:pt idx="3">
                  <c:v>337745.60541032522</c:v>
                </c:pt>
                <c:pt idx="4">
                  <c:v>225755.70840144824</c:v>
                </c:pt>
                <c:pt idx="5">
                  <c:v>312037.95798898378</c:v>
                </c:pt>
                <c:pt idx="6">
                  <c:v>1705.4375009912221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179978.73221765042</c:v>
                </c:pt>
                <c:pt idx="1">
                  <c:v>126057.73381890661</c:v>
                </c:pt>
                <c:pt idx="2">
                  <c:v>1433.3969999999999</c:v>
                </c:pt>
                <c:pt idx="3">
                  <c:v>337745.60541032522</c:v>
                </c:pt>
                <c:pt idx="4">
                  <c:v>225755.70840144824</c:v>
                </c:pt>
                <c:pt idx="5">
                  <c:v>312037.95798898378</c:v>
                </c:pt>
                <c:pt idx="6">
                  <c:v>1705.4375009912221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34180.285846307452</c:v>
                </c:pt>
                <c:pt idx="1">
                  <c:v>23256.65658860459</c:v>
                </c:pt>
                <c:pt idx="2">
                  <c:v>214.87730830370319</c:v>
                </c:pt>
                <c:pt idx="3">
                  <c:v>80434.517327420413</c:v>
                </c:pt>
                <c:pt idx="4">
                  <c:v>42172.788625612404</c:v>
                </c:pt>
                <c:pt idx="5">
                  <c:v>77764.932681583392</c:v>
                </c:pt>
                <c:pt idx="6">
                  <c:v>429.21935382599713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34180.285846307452</c:v>
                </c:pt>
                <c:pt idx="1">
                  <c:v>23256.65658860459</c:v>
                </c:pt>
                <c:pt idx="2">
                  <c:v>214.87730830370319</c:v>
                </c:pt>
                <c:pt idx="3">
                  <c:v>80434.517327420413</c:v>
                </c:pt>
                <c:pt idx="4">
                  <c:v>42172.788625612404</c:v>
                </c:pt>
                <c:pt idx="5">
                  <c:v>77764.932681583392</c:v>
                </c:pt>
                <c:pt idx="6">
                  <c:v>429.21935382599713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13014</v>
      </c>
      <c r="B6" s="382"/>
      <c r="C6" s="383"/>
    </row>
    <row r="7" spans="1:7" s="380" customFormat="1" ht="15.75" customHeight="1">
      <c r="A7" s="384" t="str">
        <f>txtMunicipality</f>
        <v>HOOGSTRATEN</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0.14990774244937249</v>
      </c>
      <c r="C17" s="493">
        <f ca="1">'EF ele_warmte'!B22</f>
        <v>0.23418464858378765</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0.14990774244937249</v>
      </c>
      <c r="C29" s="494">
        <f ca="1">'EF ele_warmte'!B22</f>
        <v>0.23418464858378765</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8698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6299.14</v>
      </c>
      <c r="C14" s="324"/>
      <c r="D14" s="324"/>
      <c r="E14" s="324"/>
      <c r="F14" s="324"/>
    </row>
    <row r="15" spans="1:6">
      <c r="A15" s="1264" t="s">
        <v>177</v>
      </c>
      <c r="B15" s="1265">
        <v>3269</v>
      </c>
      <c r="C15" s="324"/>
      <c r="D15" s="324"/>
      <c r="E15" s="324"/>
      <c r="F15" s="324"/>
    </row>
    <row r="16" spans="1:6">
      <c r="A16" s="1264" t="s">
        <v>6</v>
      </c>
      <c r="B16" s="1265">
        <v>7630</v>
      </c>
      <c r="C16" s="324"/>
      <c r="D16" s="324"/>
      <c r="E16" s="324"/>
      <c r="F16" s="324"/>
    </row>
    <row r="17" spans="1:6">
      <c r="A17" s="1264" t="s">
        <v>7</v>
      </c>
      <c r="B17" s="1265">
        <v>724</v>
      </c>
      <c r="C17" s="324"/>
      <c r="D17" s="324"/>
      <c r="E17" s="324"/>
      <c r="F17" s="324"/>
    </row>
    <row r="18" spans="1:6">
      <c r="A18" s="1264" t="s">
        <v>8</v>
      </c>
      <c r="B18" s="1265">
        <v>3816</v>
      </c>
      <c r="C18" s="324"/>
      <c r="D18" s="324"/>
      <c r="E18" s="324"/>
      <c r="F18" s="324"/>
    </row>
    <row r="19" spans="1:6">
      <c r="A19" s="1264" t="s">
        <v>9</v>
      </c>
      <c r="B19" s="1265">
        <v>3512</v>
      </c>
      <c r="C19" s="324"/>
      <c r="D19" s="324"/>
      <c r="E19" s="324"/>
      <c r="F19" s="324"/>
    </row>
    <row r="20" spans="1:6">
      <c r="A20" s="1264" t="s">
        <v>10</v>
      </c>
      <c r="B20" s="1265">
        <v>1589</v>
      </c>
      <c r="C20" s="324"/>
      <c r="D20" s="324"/>
      <c r="E20" s="324"/>
      <c r="F20" s="324"/>
    </row>
    <row r="21" spans="1:6">
      <c r="A21" s="1264" t="s">
        <v>11</v>
      </c>
      <c r="B21" s="1265">
        <v>78883</v>
      </c>
      <c r="C21" s="324"/>
      <c r="D21" s="324"/>
      <c r="E21" s="324"/>
      <c r="F21" s="324"/>
    </row>
    <row r="22" spans="1:6">
      <c r="A22" s="1264" t="s">
        <v>12</v>
      </c>
      <c r="B22" s="1265">
        <v>168767</v>
      </c>
      <c r="C22" s="324"/>
      <c r="D22" s="324"/>
      <c r="E22" s="324"/>
      <c r="F22" s="324"/>
    </row>
    <row r="23" spans="1:6">
      <c r="A23" s="1264" t="s">
        <v>13</v>
      </c>
      <c r="B23" s="1265">
        <v>6184</v>
      </c>
      <c r="C23" s="324"/>
      <c r="D23" s="324"/>
      <c r="E23" s="324"/>
      <c r="F23" s="324"/>
    </row>
    <row r="24" spans="1:6">
      <c r="A24" s="1264" t="s">
        <v>14</v>
      </c>
      <c r="B24" s="1265">
        <v>236</v>
      </c>
      <c r="C24" s="324"/>
      <c r="D24" s="324"/>
      <c r="E24" s="324"/>
      <c r="F24" s="324"/>
    </row>
    <row r="25" spans="1:6">
      <c r="A25" s="1264" t="s">
        <v>15</v>
      </c>
      <c r="B25" s="1265">
        <v>15150</v>
      </c>
      <c r="C25" s="324"/>
      <c r="D25" s="324"/>
      <c r="E25" s="324"/>
      <c r="F25" s="324"/>
    </row>
    <row r="26" spans="1:6">
      <c r="A26" s="1264" t="s">
        <v>16</v>
      </c>
      <c r="B26" s="1265">
        <v>553</v>
      </c>
      <c r="C26" s="324"/>
      <c r="D26" s="324"/>
      <c r="E26" s="324"/>
      <c r="F26" s="324"/>
    </row>
    <row r="27" spans="1:6">
      <c r="A27" s="1264" t="s">
        <v>17</v>
      </c>
      <c r="B27" s="1265">
        <v>2051</v>
      </c>
      <c r="C27" s="324"/>
      <c r="D27" s="324"/>
      <c r="E27" s="324"/>
      <c r="F27" s="324"/>
    </row>
    <row r="28" spans="1:6">
      <c r="A28" s="1264" t="s">
        <v>18</v>
      </c>
      <c r="B28" s="1266">
        <v>1628867</v>
      </c>
      <c r="C28" s="324"/>
      <c r="D28" s="324"/>
      <c r="E28" s="324"/>
      <c r="F28" s="324"/>
    </row>
    <row r="29" spans="1:6">
      <c r="A29" s="1264" t="s">
        <v>657</v>
      </c>
      <c r="B29" s="1266">
        <v>365</v>
      </c>
      <c r="C29" s="324"/>
      <c r="D29" s="324"/>
      <c r="E29" s="324"/>
      <c r="F29" s="324"/>
    </row>
    <row r="30" spans="1:6">
      <c r="A30" s="1259" t="s">
        <v>658</v>
      </c>
      <c r="B30" s="1267">
        <v>110</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4</v>
      </c>
      <c r="F35" s="1265">
        <v>289727.70736318</v>
      </c>
    </row>
    <row r="36" spans="1:6">
      <c r="A36" s="1264" t="s">
        <v>24</v>
      </c>
      <c r="B36" s="1264" t="s">
        <v>26</v>
      </c>
      <c r="C36" s="1265">
        <v>4</v>
      </c>
      <c r="D36" s="1265">
        <v>67951882.355554804</v>
      </c>
      <c r="E36" s="1265">
        <v>16</v>
      </c>
      <c r="F36" s="1265">
        <v>454750.183051928</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6051</v>
      </c>
      <c r="D39" s="1265">
        <v>100308145.845697</v>
      </c>
      <c r="E39" s="1265">
        <v>8254</v>
      </c>
      <c r="F39" s="1265">
        <v>30934219.088764101</v>
      </c>
    </row>
    <row r="40" spans="1:6">
      <c r="A40" s="1264" t="s">
        <v>29</v>
      </c>
      <c r="B40" s="1264" t="s">
        <v>28</v>
      </c>
      <c r="C40" s="1265">
        <v>1</v>
      </c>
      <c r="D40" s="1265">
        <v>28817.596365225399</v>
      </c>
      <c r="E40" s="1265">
        <v>1</v>
      </c>
      <c r="F40" s="1265">
        <v>3054.6311868868002</v>
      </c>
    </row>
    <row r="41" spans="1:6">
      <c r="A41" s="1264" t="s">
        <v>31</v>
      </c>
      <c r="B41" s="1264" t="s">
        <v>32</v>
      </c>
      <c r="C41" s="1265">
        <v>107</v>
      </c>
      <c r="D41" s="1265">
        <v>4159751.3903730498</v>
      </c>
      <c r="E41" s="1265">
        <v>243</v>
      </c>
      <c r="F41" s="1265">
        <v>68493693.396544501</v>
      </c>
    </row>
    <row r="42" spans="1:6">
      <c r="A42" s="1264" t="s">
        <v>31</v>
      </c>
      <c r="B42" s="1264" t="s">
        <v>33</v>
      </c>
      <c r="C42" s="1265">
        <v>0</v>
      </c>
      <c r="D42" s="1265">
        <v>0</v>
      </c>
      <c r="E42" s="1265">
        <v>5</v>
      </c>
      <c r="F42" s="1265">
        <v>4104054.5779478098</v>
      </c>
    </row>
    <row r="43" spans="1:6">
      <c r="A43" s="1264" t="s">
        <v>31</v>
      </c>
      <c r="B43" s="1264" t="s">
        <v>34</v>
      </c>
      <c r="C43" s="1265">
        <v>0</v>
      </c>
      <c r="D43" s="1265">
        <v>0</v>
      </c>
      <c r="E43" s="1265">
        <v>0</v>
      </c>
      <c r="F43" s="1265">
        <v>0</v>
      </c>
    </row>
    <row r="44" spans="1:6">
      <c r="A44" s="1264" t="s">
        <v>31</v>
      </c>
      <c r="B44" s="1264" t="s">
        <v>35</v>
      </c>
      <c r="C44" s="1265">
        <v>25</v>
      </c>
      <c r="D44" s="1265">
        <v>1474662.47369485</v>
      </c>
      <c r="E44" s="1265">
        <v>55</v>
      </c>
      <c r="F44" s="1265">
        <v>8566822.1029785704</v>
      </c>
    </row>
    <row r="45" spans="1:6">
      <c r="A45" s="1264" t="s">
        <v>31</v>
      </c>
      <c r="B45" s="1264" t="s">
        <v>36</v>
      </c>
      <c r="C45" s="1265">
        <v>3</v>
      </c>
      <c r="D45" s="1265">
        <v>36767375.184255898</v>
      </c>
      <c r="E45" s="1265">
        <v>7</v>
      </c>
      <c r="F45" s="1265">
        <v>2872571.2033446701</v>
      </c>
    </row>
    <row r="46" spans="1:6">
      <c r="A46" s="1264" t="s">
        <v>31</v>
      </c>
      <c r="B46" s="1264" t="s">
        <v>37</v>
      </c>
      <c r="C46" s="1265">
        <v>0</v>
      </c>
      <c r="D46" s="1265">
        <v>0</v>
      </c>
      <c r="E46" s="1265">
        <v>0</v>
      </c>
      <c r="F46" s="1265">
        <v>0</v>
      </c>
    </row>
    <row r="47" spans="1:6">
      <c r="A47" s="1264" t="s">
        <v>31</v>
      </c>
      <c r="B47" s="1264" t="s">
        <v>38</v>
      </c>
      <c r="C47" s="1265">
        <v>12</v>
      </c>
      <c r="D47" s="1265">
        <v>2886867.7580652498</v>
      </c>
      <c r="E47" s="1265">
        <v>18</v>
      </c>
      <c r="F47" s="1265">
        <v>7441213.9837457202</v>
      </c>
    </row>
    <row r="48" spans="1:6">
      <c r="A48" s="1264" t="s">
        <v>31</v>
      </c>
      <c r="B48" s="1264" t="s">
        <v>28</v>
      </c>
      <c r="C48" s="1265">
        <v>2</v>
      </c>
      <c r="D48" s="1265">
        <v>13276369.6428844</v>
      </c>
      <c r="E48" s="1265">
        <v>0</v>
      </c>
      <c r="F48" s="1265">
        <v>0</v>
      </c>
    </row>
    <row r="49" spans="1:6">
      <c r="A49" s="1264" t="s">
        <v>31</v>
      </c>
      <c r="B49" s="1264" t="s">
        <v>39</v>
      </c>
      <c r="C49" s="1265">
        <v>3</v>
      </c>
      <c r="D49" s="1265">
        <v>84918.035766846398</v>
      </c>
      <c r="E49" s="1265">
        <v>4</v>
      </c>
      <c r="F49" s="1265">
        <v>24445.746069240198</v>
      </c>
    </row>
    <row r="50" spans="1:6">
      <c r="A50" s="1264" t="s">
        <v>31</v>
      </c>
      <c r="B50" s="1264" t="s">
        <v>40</v>
      </c>
      <c r="C50" s="1265">
        <v>19</v>
      </c>
      <c r="D50" s="1265">
        <v>16444455.932598401</v>
      </c>
      <c r="E50" s="1265">
        <v>24</v>
      </c>
      <c r="F50" s="1265">
        <v>16157554.566583499</v>
      </c>
    </row>
    <row r="51" spans="1:6">
      <c r="A51" s="1264" t="s">
        <v>41</v>
      </c>
      <c r="B51" s="1264" t="s">
        <v>42</v>
      </c>
      <c r="C51" s="1265">
        <v>64</v>
      </c>
      <c r="D51" s="1265">
        <v>437977819.69108099</v>
      </c>
      <c r="E51" s="1265">
        <v>485</v>
      </c>
      <c r="F51" s="1265">
        <v>28314201.810355101</v>
      </c>
    </row>
    <row r="52" spans="1:6">
      <c r="A52" s="1264" t="s">
        <v>41</v>
      </c>
      <c r="B52" s="1264" t="s">
        <v>28</v>
      </c>
      <c r="C52" s="1265">
        <v>0</v>
      </c>
      <c r="D52" s="1265">
        <v>0</v>
      </c>
      <c r="E52" s="1265">
        <v>0</v>
      </c>
      <c r="F52" s="1265">
        <v>0</v>
      </c>
    </row>
    <row r="53" spans="1:6">
      <c r="A53" s="1264" t="s">
        <v>43</v>
      </c>
      <c r="B53" s="1264" t="s">
        <v>44</v>
      </c>
      <c r="C53" s="1265">
        <v>126</v>
      </c>
      <c r="D53" s="1265">
        <v>2668620.2244487498</v>
      </c>
      <c r="E53" s="1265">
        <v>289</v>
      </c>
      <c r="F53" s="1265">
        <v>1298307.1213900601</v>
      </c>
    </row>
    <row r="54" spans="1:6">
      <c r="A54" s="1264" t="s">
        <v>45</v>
      </c>
      <c r="B54" s="1264" t="s">
        <v>46</v>
      </c>
      <c r="C54" s="1265">
        <v>0</v>
      </c>
      <c r="D54" s="1265">
        <v>0</v>
      </c>
      <c r="E54" s="1265">
        <v>3</v>
      </c>
      <c r="F54" s="1265">
        <v>1433397</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67</v>
      </c>
      <c r="D57" s="1265">
        <v>13685851.5123691</v>
      </c>
      <c r="E57" s="1265">
        <v>150</v>
      </c>
      <c r="F57" s="1265">
        <v>5591961.6539432602</v>
      </c>
    </row>
    <row r="58" spans="1:6">
      <c r="A58" s="1264" t="s">
        <v>48</v>
      </c>
      <c r="B58" s="1264" t="s">
        <v>50</v>
      </c>
      <c r="C58" s="1265">
        <v>34</v>
      </c>
      <c r="D58" s="1265">
        <v>1040975.33090174</v>
      </c>
      <c r="E58" s="1265">
        <v>53</v>
      </c>
      <c r="F58" s="1265">
        <v>506898.56898046099</v>
      </c>
    </row>
    <row r="59" spans="1:6">
      <c r="A59" s="1264" t="s">
        <v>48</v>
      </c>
      <c r="B59" s="1264" t="s">
        <v>51</v>
      </c>
      <c r="C59" s="1265">
        <v>165</v>
      </c>
      <c r="D59" s="1265">
        <v>9291620.5843819194</v>
      </c>
      <c r="E59" s="1265">
        <v>319</v>
      </c>
      <c r="F59" s="1265">
        <v>25669875.889109399</v>
      </c>
    </row>
    <row r="60" spans="1:6">
      <c r="A60" s="1264" t="s">
        <v>48</v>
      </c>
      <c r="B60" s="1264" t="s">
        <v>52</v>
      </c>
      <c r="C60" s="1265">
        <v>80</v>
      </c>
      <c r="D60" s="1265">
        <v>6845575.7916941801</v>
      </c>
      <c r="E60" s="1265">
        <v>105</v>
      </c>
      <c r="F60" s="1265">
        <v>3777080.5920700701</v>
      </c>
    </row>
    <row r="61" spans="1:6">
      <c r="A61" s="1264" t="s">
        <v>48</v>
      </c>
      <c r="B61" s="1264" t="s">
        <v>53</v>
      </c>
      <c r="C61" s="1265">
        <v>262</v>
      </c>
      <c r="D61" s="1265">
        <v>41738112.447566196</v>
      </c>
      <c r="E61" s="1265">
        <v>553</v>
      </c>
      <c r="F61" s="1265">
        <v>13186474.6185227</v>
      </c>
    </row>
    <row r="62" spans="1:6">
      <c r="A62" s="1264" t="s">
        <v>48</v>
      </c>
      <c r="B62" s="1264" t="s">
        <v>54</v>
      </c>
      <c r="C62" s="1265">
        <v>18</v>
      </c>
      <c r="D62" s="1265">
        <v>3336355.5193781201</v>
      </c>
      <c r="E62" s="1265">
        <v>16</v>
      </c>
      <c r="F62" s="1265">
        <v>1523342.1136970599</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58881.6213405936</v>
      </c>
      <c r="E65" s="1265">
        <v>0</v>
      </c>
      <c r="F65" s="1265">
        <v>0</v>
      </c>
    </row>
    <row r="66" spans="1:6">
      <c r="A66" s="1264" t="s">
        <v>55</v>
      </c>
      <c r="B66" s="1264" t="s">
        <v>57</v>
      </c>
      <c r="C66" s="1265">
        <v>0</v>
      </c>
      <c r="D66" s="1265">
        <v>0</v>
      </c>
      <c r="E66" s="1265">
        <v>18</v>
      </c>
      <c r="F66" s="1265">
        <v>268311.87002257298</v>
      </c>
    </row>
    <row r="67" spans="1:6">
      <c r="A67" s="1264" t="s">
        <v>55</v>
      </c>
      <c r="B67" s="1264" t="s">
        <v>58</v>
      </c>
      <c r="C67" s="1265">
        <v>0</v>
      </c>
      <c r="D67" s="1265">
        <v>0</v>
      </c>
      <c r="E67" s="1265">
        <v>0</v>
      </c>
      <c r="F67" s="1265">
        <v>0</v>
      </c>
    </row>
    <row r="68" spans="1:6">
      <c r="A68" s="1259" t="s">
        <v>55</v>
      </c>
      <c r="B68" s="1259" t="s">
        <v>59</v>
      </c>
      <c r="C68" s="1267">
        <v>3</v>
      </c>
      <c r="D68" s="1267">
        <v>75372.349548591796</v>
      </c>
      <c r="E68" s="1267">
        <v>23</v>
      </c>
      <c r="F68" s="1267">
        <v>743096.17494199402</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83256300</v>
      </c>
      <c r="E73" s="443"/>
      <c r="F73" s="324"/>
    </row>
    <row r="74" spans="1:6">
      <c r="A74" s="1264" t="s">
        <v>63</v>
      </c>
      <c r="B74" s="1264" t="s">
        <v>608</v>
      </c>
      <c r="C74" s="1277" t="s">
        <v>610</v>
      </c>
      <c r="D74" s="1265">
        <v>9531847.1657281034</v>
      </c>
      <c r="E74" s="443"/>
      <c r="F74" s="324"/>
    </row>
    <row r="75" spans="1:6">
      <c r="A75" s="1264" t="s">
        <v>64</v>
      </c>
      <c r="B75" s="1264" t="s">
        <v>607</v>
      </c>
      <c r="C75" s="1277" t="s">
        <v>611</v>
      </c>
      <c r="D75" s="1265">
        <v>40134092</v>
      </c>
      <c r="E75" s="443"/>
      <c r="F75" s="324"/>
    </row>
    <row r="76" spans="1:6">
      <c r="A76" s="1264" t="s">
        <v>64</v>
      </c>
      <c r="B76" s="1264" t="s">
        <v>608</v>
      </c>
      <c r="C76" s="1277" t="s">
        <v>612</v>
      </c>
      <c r="D76" s="1265">
        <v>546542.16572810349</v>
      </c>
      <c r="E76" s="443"/>
      <c r="F76" s="324"/>
    </row>
    <row r="77" spans="1:6">
      <c r="A77" s="1264" t="s">
        <v>65</v>
      </c>
      <c r="B77" s="1264" t="s">
        <v>607</v>
      </c>
      <c r="C77" s="1277" t="s">
        <v>613</v>
      </c>
      <c r="D77" s="1265">
        <v>140052313</v>
      </c>
      <c r="E77" s="443"/>
      <c r="F77" s="324"/>
    </row>
    <row r="78" spans="1:6">
      <c r="A78" s="1259" t="s">
        <v>65</v>
      </c>
      <c r="B78" s="1259" t="s">
        <v>608</v>
      </c>
      <c r="C78" s="1259" t="s">
        <v>614</v>
      </c>
      <c r="D78" s="1267">
        <v>38174059</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472325.66854379303</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76840.991660959509</v>
      </c>
      <c r="C90" s="324"/>
      <c r="D90" s="324"/>
      <c r="E90" s="324"/>
      <c r="F90" s="324"/>
    </row>
    <row r="91" spans="1:6">
      <c r="A91" s="1264" t="s">
        <v>67</v>
      </c>
      <c r="B91" s="1265">
        <v>6704.6050530516868</v>
      </c>
      <c r="C91" s="324"/>
      <c r="D91" s="324"/>
      <c r="E91" s="324"/>
      <c r="F91" s="324"/>
    </row>
    <row r="92" spans="1:6">
      <c r="A92" s="1259" t="s">
        <v>68</v>
      </c>
      <c r="B92" s="1260">
        <v>5068.0012651974675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2912</v>
      </c>
      <c r="C97" s="324"/>
      <c r="D97" s="324"/>
      <c r="E97" s="324"/>
      <c r="F97" s="324"/>
    </row>
    <row r="98" spans="1:6">
      <c r="A98" s="1264" t="s">
        <v>71</v>
      </c>
      <c r="B98" s="1265">
        <v>9</v>
      </c>
      <c r="C98" s="324"/>
      <c r="D98" s="324"/>
      <c r="E98" s="324"/>
      <c r="F98" s="324"/>
    </row>
    <row r="99" spans="1:6">
      <c r="A99" s="1264" t="s">
        <v>72</v>
      </c>
      <c r="B99" s="1265">
        <v>149</v>
      </c>
      <c r="C99" s="324"/>
      <c r="D99" s="324"/>
      <c r="E99" s="324"/>
      <c r="F99" s="324"/>
    </row>
    <row r="100" spans="1:6">
      <c r="A100" s="1264" t="s">
        <v>73</v>
      </c>
      <c r="B100" s="1265">
        <v>429</v>
      </c>
      <c r="C100" s="324"/>
      <c r="D100" s="324"/>
      <c r="E100" s="324"/>
      <c r="F100" s="324"/>
    </row>
    <row r="101" spans="1:6">
      <c r="A101" s="1264" t="s">
        <v>74</v>
      </c>
      <c r="B101" s="1265">
        <v>128</v>
      </c>
      <c r="C101" s="324"/>
      <c r="D101" s="324"/>
      <c r="E101" s="324"/>
      <c r="F101" s="324"/>
    </row>
    <row r="102" spans="1:6">
      <c r="A102" s="1264" t="s">
        <v>75</v>
      </c>
      <c r="B102" s="1265">
        <v>67</v>
      </c>
      <c r="C102" s="324"/>
      <c r="D102" s="324"/>
      <c r="E102" s="324"/>
      <c r="F102" s="324"/>
    </row>
    <row r="103" spans="1:6">
      <c r="A103" s="1264" t="s">
        <v>76</v>
      </c>
      <c r="B103" s="1265">
        <v>104</v>
      </c>
      <c r="C103" s="324"/>
      <c r="D103" s="324"/>
      <c r="E103" s="324"/>
      <c r="F103" s="324"/>
    </row>
    <row r="104" spans="1:6">
      <c r="A104" s="1264" t="s">
        <v>77</v>
      </c>
      <c r="B104" s="1265">
        <v>2695</v>
      </c>
      <c r="C104" s="324"/>
      <c r="D104" s="324"/>
      <c r="E104" s="324"/>
      <c r="F104" s="324"/>
    </row>
    <row r="105" spans="1:6">
      <c r="A105" s="1259" t="s">
        <v>78</v>
      </c>
      <c r="B105" s="1267">
        <v>7</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2</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1</v>
      </c>
      <c r="C121" s="1265">
        <v>0</v>
      </c>
      <c r="D121" s="324"/>
      <c r="E121" s="324"/>
      <c r="F121" s="324"/>
    </row>
    <row r="122" spans="1:6">
      <c r="A122" s="1264" t="s">
        <v>86</v>
      </c>
      <c r="B122" s="1265">
        <v>0</v>
      </c>
      <c r="C122" s="1265">
        <v>0</v>
      </c>
      <c r="D122" s="324"/>
      <c r="E122" s="324"/>
      <c r="F122" s="324"/>
    </row>
    <row r="123" spans="1:6">
      <c r="A123" s="1264" t="s">
        <v>87</v>
      </c>
      <c r="B123" s="1265">
        <v>72</v>
      </c>
      <c r="C123" s="1265">
        <v>60</v>
      </c>
      <c r="D123" s="324"/>
      <c r="E123" s="324"/>
      <c r="F123" s="324"/>
    </row>
    <row r="124" spans="1:6">
      <c r="A124" s="1264" t="s">
        <v>88</v>
      </c>
      <c r="B124" s="1265">
        <v>1</v>
      </c>
      <c r="C124" s="1265">
        <v>2</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300</v>
      </c>
      <c r="C129" s="324"/>
      <c r="D129" s="324"/>
      <c r="E129" s="324"/>
      <c r="F129" s="324"/>
    </row>
    <row r="130" spans="1:6">
      <c r="A130" s="1264" t="s">
        <v>284</v>
      </c>
      <c r="B130" s="1265">
        <v>5</v>
      </c>
      <c r="C130" s="324"/>
      <c r="D130" s="324"/>
      <c r="E130" s="324"/>
      <c r="F130" s="324"/>
    </row>
    <row r="131" spans="1:6">
      <c r="A131" s="1264" t="s">
        <v>285</v>
      </c>
      <c r="B131" s="1265">
        <v>5</v>
      </c>
      <c r="C131" s="324"/>
      <c r="D131" s="324"/>
      <c r="E131" s="324"/>
      <c r="F131" s="324"/>
    </row>
    <row r="132" spans="1:6">
      <c r="A132" s="1259" t="s">
        <v>286</v>
      </c>
      <c r="B132" s="1260">
        <v>51</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237948.41931239166</v>
      </c>
      <c r="C3" s="43" t="s">
        <v>163</v>
      </c>
      <c r="D3" s="43"/>
      <c r="E3" s="153"/>
      <c r="F3" s="43"/>
      <c r="G3" s="43"/>
      <c r="H3" s="43"/>
      <c r="I3" s="43"/>
      <c r="J3" s="43"/>
      <c r="K3" s="96"/>
    </row>
    <row r="4" spans="1:11">
      <c r="A4" s="350" t="s">
        <v>164</v>
      </c>
      <c r="B4" s="49">
        <f>IF(ISERROR('SEAP template'!B78+'SEAP template'!C78),0,'SEAP template'!B78+'SEAP template'!C78)</f>
        <v>249961.5479792087</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37471.171356713683</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0.14990774244937249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53264.077214714889</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227444.78571428574</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0.23418464858378765</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1433.3969999999999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1433.3969999999999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0.14990774244937249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214.87730830370319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30937.27371995099</v>
      </c>
      <c r="C5" s="17">
        <f>IF(ISERROR('Eigen informatie GS &amp; warmtenet'!B59),0,'Eigen informatie GS &amp; warmtenet'!B59)</f>
        <v>0</v>
      </c>
      <c r="D5" s="30">
        <f>(SUM(HH_hh_gas_kWh,HH_rest_gas_kWh)/1000)*0.903</f>
        <v>90604.277988182192</v>
      </c>
      <c r="E5" s="17">
        <f>B32*B41</f>
        <v>2208.5109817584125</v>
      </c>
      <c r="F5" s="17">
        <f>B36*B45</f>
        <v>36192.375488791949</v>
      </c>
      <c r="G5" s="18"/>
      <c r="H5" s="17"/>
      <c r="I5" s="17"/>
      <c r="J5" s="17">
        <f>B35*B44+C35*C44</f>
        <v>199.76377376909423</v>
      </c>
      <c r="K5" s="17"/>
      <c r="L5" s="17"/>
      <c r="M5" s="17"/>
      <c r="N5" s="17">
        <f>B34*B43+C34*C43</f>
        <v>11107.521382575042</v>
      </c>
      <c r="O5" s="17">
        <f>B52*B53*B54</f>
        <v>718.19287541810547</v>
      </c>
      <c r="P5" s="17">
        <f>B60*B61*B62/1000-B60*B61*B62/1000/B63</f>
        <v>1306.2109541529428</v>
      </c>
    </row>
    <row r="6" spans="1:16">
      <c r="A6" s="16" t="s">
        <v>573</v>
      </c>
      <c r="B6" s="739">
        <f>kWh_PV_kleiner_dan_10kW</f>
        <v>6704.6050530516868</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37641.878773002674</v>
      </c>
      <c r="C8" s="21">
        <f>C5</f>
        <v>0</v>
      </c>
      <c r="D8" s="21">
        <f>D5</f>
        <v>90604.277988182192</v>
      </c>
      <c r="E8" s="21">
        <f>E5</f>
        <v>2208.5109817584125</v>
      </c>
      <c r="F8" s="21">
        <f>F5</f>
        <v>36192.375488791949</v>
      </c>
      <c r="G8" s="21"/>
      <c r="H8" s="21"/>
      <c r="I8" s="21"/>
      <c r="J8" s="21">
        <f>J5</f>
        <v>199.76377376909423</v>
      </c>
      <c r="K8" s="21"/>
      <c r="L8" s="21">
        <f>L5</f>
        <v>0</v>
      </c>
      <c r="M8" s="21">
        <f>M5</f>
        <v>0</v>
      </c>
      <c r="N8" s="21">
        <f>N5</f>
        <v>11107.521382575042</v>
      </c>
      <c r="O8" s="21">
        <f>O5</f>
        <v>718.19287541810547</v>
      </c>
      <c r="P8" s="21">
        <f>P5</f>
        <v>1306.2109541529428</v>
      </c>
    </row>
    <row r="9" spans="1:16">
      <c r="B9" s="19"/>
      <c r="C9" s="19"/>
      <c r="D9" s="253"/>
      <c r="E9" s="19"/>
      <c r="F9" s="19"/>
      <c r="G9" s="19"/>
      <c r="H9" s="19"/>
      <c r="I9" s="19"/>
      <c r="J9" s="19"/>
      <c r="K9" s="19"/>
      <c r="L9" s="19"/>
      <c r="M9" s="19"/>
      <c r="N9" s="19"/>
      <c r="O9" s="19"/>
      <c r="P9" s="19"/>
    </row>
    <row r="10" spans="1:16">
      <c r="A10" s="24" t="s">
        <v>207</v>
      </c>
      <c r="B10" s="25">
        <f ca="1">'EF ele_warmte'!B12</f>
        <v>0.14990774244937249</v>
      </c>
      <c r="C10" s="25">
        <f ca="1">'EF ele_warmte'!B22</f>
        <v>0.23418464858378765</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5642.809068413786</v>
      </c>
      <c r="C12" s="23">
        <f ca="1">C10*C8</f>
        <v>0</v>
      </c>
      <c r="D12" s="23">
        <f>D8*D10</f>
        <v>18302.064153612802</v>
      </c>
      <c r="E12" s="23">
        <f>E10*E8</f>
        <v>501.33199285915964</v>
      </c>
      <c r="F12" s="23">
        <f>F10*F8</f>
        <v>9663.3642555074512</v>
      </c>
      <c r="G12" s="23"/>
      <c r="H12" s="23"/>
      <c r="I12" s="23"/>
      <c r="J12" s="23">
        <f>J10*J8</f>
        <v>70.716375914259359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8698</v>
      </c>
      <c r="C26" s="36"/>
      <c r="D26" s="224"/>
    </row>
    <row r="27" spans="1:5" s="15" customFormat="1">
      <c r="A27" s="226" t="s">
        <v>784</v>
      </c>
      <c r="B27" s="37">
        <f>SUM(HH_hh_gas_aantal,HH_rest_gas_aantal)</f>
        <v>6052</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5749.4</v>
      </c>
      <c r="C31" s="34" t="s">
        <v>104</v>
      </c>
      <c r="D31" s="170"/>
    </row>
    <row r="32" spans="1:5">
      <c r="A32" s="167" t="s">
        <v>72</v>
      </c>
      <c r="B32" s="33">
        <f>IF((B21*($B$26-($B$27-0.05*$B$27)-$B$60))&lt;0,0,B21*($B$26-($B$27-0.05*$B$27)-$B$60))</f>
        <v>43.569348189744808</v>
      </c>
      <c r="C32" s="34" t="s">
        <v>104</v>
      </c>
      <c r="D32" s="170"/>
    </row>
    <row r="33" spans="1:6">
      <c r="A33" s="167" t="s">
        <v>73</v>
      </c>
      <c r="B33" s="33">
        <f>IF((B22*($B$26-($B$27-0.05*$B$27)-$B$60))&lt;0,0,B22*($B$26-($B$27-0.05*$B$27)-$B$60))</f>
        <v>707.47992456025611</v>
      </c>
      <c r="C33" s="34" t="s">
        <v>104</v>
      </c>
      <c r="D33" s="170"/>
    </row>
    <row r="34" spans="1:6">
      <c r="A34" s="167" t="s">
        <v>74</v>
      </c>
      <c r="B34" s="33">
        <f>IF((B24*($B$26-($B$27-0.05*$B$27)-$B$60))&lt;0,0,B24*($B$26-($B$27-0.05*$B$27)-$B$60))</f>
        <v>309.3521564266693</v>
      </c>
      <c r="C34" s="33">
        <f>B26*C24</f>
        <v>1461.2634069058931</v>
      </c>
      <c r="D34" s="229"/>
    </row>
    <row r="35" spans="1:6">
      <c r="A35" s="167" t="s">
        <v>76</v>
      </c>
      <c r="B35" s="33">
        <f>IF((B19*($B$26-($B$27-0.05*$B$27)-$B$60))&lt;0,0,B19*($B$26-($B$27-0.05*$B$27)-$B$60))</f>
        <v>18.93949178591286</v>
      </c>
      <c r="C35" s="33">
        <f>B35/2</f>
        <v>9.4697458929564302</v>
      </c>
      <c r="D35" s="229"/>
    </row>
    <row r="36" spans="1:6">
      <c r="A36" s="167" t="s">
        <v>77</v>
      </c>
      <c r="B36" s="33">
        <f>IF((B18*($B$26-($B$27-0.05*$B$27)-$B$60))&lt;0,0,B18*($B$26-($B$27-0.05*$B$27)-$B$60))</f>
        <v>1745.2590790374165</v>
      </c>
      <c r="C36" s="34" t="s">
        <v>104</v>
      </c>
      <c r="D36" s="170"/>
    </row>
    <row r="37" spans="1:6">
      <c r="A37" s="167" t="s">
        <v>78</v>
      </c>
      <c r="B37" s="33">
        <f>B60</f>
        <v>124</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362</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124</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50255.633436322947</v>
      </c>
      <c r="C5" s="17">
        <f>IF(ISERROR('Eigen informatie GS &amp; warmtenet'!B60),0,'Eigen informatie GS &amp; warmtenet'!B60)</f>
        <v>0</v>
      </c>
      <c r="D5" s="30">
        <f>SUM(D6:D12)</f>
        <v>68572.457541221011</v>
      </c>
      <c r="E5" s="17">
        <f>SUM(E6:E12)</f>
        <v>174.20410259589602</v>
      </c>
      <c r="F5" s="17">
        <f>SUM(F6:F12)</f>
        <v>9231.8052370341084</v>
      </c>
      <c r="G5" s="18"/>
      <c r="H5" s="17"/>
      <c r="I5" s="17"/>
      <c r="J5" s="17">
        <f>SUM(J6:J12)</f>
        <v>5.5225207340196994E-2</v>
      </c>
      <c r="K5" s="17"/>
      <c r="L5" s="17"/>
      <c r="M5" s="17"/>
      <c r="N5" s="17">
        <f>SUM(N6:N12)</f>
        <v>1930.2143080990154</v>
      </c>
      <c r="O5" s="17">
        <f>B38*B39*B40</f>
        <v>24.486303829205774</v>
      </c>
      <c r="P5" s="17">
        <f>B46*B47*B48/1000-B46*B47*B48/1000/B49</f>
        <v>315.23482983897009</v>
      </c>
      <c r="R5" s="32"/>
    </row>
    <row r="6" spans="1:18">
      <c r="A6" s="32" t="s">
        <v>53</v>
      </c>
      <c r="B6" s="37">
        <f>B26</f>
        <v>13186.4746185227</v>
      </c>
      <c r="C6" s="33"/>
      <c r="D6" s="37">
        <f>IF(ISERROR(TER_kantoor_gas_kWh/1000),0,TER_kantoor_gas_kWh/1000)*0.903</f>
        <v>37689.515540152272</v>
      </c>
      <c r="E6" s="33">
        <f>$C$26*'E Balans VL '!I12/100/3.6*1000000</f>
        <v>3.2070439550882859</v>
      </c>
      <c r="F6" s="33">
        <f>$C$26*('E Balans VL '!L12+'E Balans VL '!N12)/100/3.6*1000000</f>
        <v>1262.6884432926363</v>
      </c>
      <c r="G6" s="34"/>
      <c r="H6" s="33"/>
      <c r="I6" s="33"/>
      <c r="J6" s="33">
        <f>$C$26*('E Balans VL '!D12+'E Balans VL '!E12)/100/3.6*1000000</f>
        <v>0</v>
      </c>
      <c r="K6" s="33"/>
      <c r="L6" s="33"/>
      <c r="M6" s="33"/>
      <c r="N6" s="33">
        <f>$C$26*'E Balans VL '!Y12/100/3.6*1000000</f>
        <v>6.6944305120679717</v>
      </c>
      <c r="O6" s="33"/>
      <c r="P6" s="33"/>
      <c r="R6" s="32"/>
    </row>
    <row r="7" spans="1:18">
      <c r="A7" s="32" t="s">
        <v>52</v>
      </c>
      <c r="B7" s="37">
        <f t="shared" ref="B7:B12" si="0">B27</f>
        <v>3777.08059207007</v>
      </c>
      <c r="C7" s="33"/>
      <c r="D7" s="37">
        <f>IF(ISERROR(TER_horeca_gas_kWh/1000),0,TER_horeca_gas_kWh/1000)*0.903</f>
        <v>6181.5549398998446</v>
      </c>
      <c r="E7" s="33">
        <f>$C$27*'E Balans VL '!I9/100/3.6*1000000</f>
        <v>0</v>
      </c>
      <c r="F7" s="33">
        <f>$C$27*('E Balans VL '!L9+'E Balans VL '!N9)/100/3.6*1000000</f>
        <v>309.79270941754231</v>
      </c>
      <c r="G7" s="34"/>
      <c r="H7" s="33"/>
      <c r="I7" s="33"/>
      <c r="J7" s="33">
        <f>$C$27*('E Balans VL '!D9+'E Balans VL '!E9)/100/3.6*1000000</f>
        <v>0</v>
      </c>
      <c r="K7" s="33"/>
      <c r="L7" s="33"/>
      <c r="M7" s="33"/>
      <c r="N7" s="33">
        <f>$C$27*'E Balans VL '!Y9/100/3.6*1000000</f>
        <v>24.807116914031397</v>
      </c>
      <c r="O7" s="33"/>
      <c r="P7" s="33"/>
      <c r="R7" s="32"/>
    </row>
    <row r="8" spans="1:18">
      <c r="A8" s="6" t="s">
        <v>51</v>
      </c>
      <c r="B8" s="37">
        <f t="shared" si="0"/>
        <v>25669.8758891094</v>
      </c>
      <c r="C8" s="33"/>
      <c r="D8" s="37">
        <f>IF(ISERROR(TER_handel_gas_kWh/1000),0,TER_handel_gas_kWh/1000)*0.903</f>
        <v>8390.3333876968736</v>
      </c>
      <c r="E8" s="33">
        <f>$C$28*'E Balans VL '!I13/100/3.6*1000000</f>
        <v>90.744341103257469</v>
      </c>
      <c r="F8" s="33">
        <f>$C$28*('E Balans VL '!L13+'E Balans VL '!N13)/100/3.6*1000000</f>
        <v>2363.6464510886171</v>
      </c>
      <c r="G8" s="34"/>
      <c r="H8" s="33"/>
      <c r="I8" s="33"/>
      <c r="J8" s="33">
        <f>$C$28*('E Balans VL '!D13+'E Balans VL '!E13)/100/3.6*1000000</f>
        <v>0</v>
      </c>
      <c r="K8" s="33"/>
      <c r="L8" s="33"/>
      <c r="M8" s="33"/>
      <c r="N8" s="33">
        <f>$C$28*'E Balans VL '!Y13/100/3.6*1000000</f>
        <v>9.2965239175193286</v>
      </c>
      <c r="O8" s="33"/>
      <c r="P8" s="33"/>
      <c r="R8" s="32"/>
    </row>
    <row r="9" spans="1:18">
      <c r="A9" s="32" t="s">
        <v>50</v>
      </c>
      <c r="B9" s="37">
        <f t="shared" si="0"/>
        <v>506.89856898046099</v>
      </c>
      <c r="C9" s="33"/>
      <c r="D9" s="37">
        <f>IF(ISERROR(TER_gezond_gas_kWh/1000),0,TER_gezond_gas_kWh/1000)*0.903</f>
        <v>940.00072380427139</v>
      </c>
      <c r="E9" s="33">
        <f>$C$29*'E Balans VL '!I10/100/3.6*1000000</f>
        <v>0</v>
      </c>
      <c r="F9" s="33">
        <f>$C$29*('E Balans VL '!L10+'E Balans VL '!N10)/100/3.6*1000000</f>
        <v>62.270419714644156</v>
      </c>
      <c r="G9" s="34"/>
      <c r="H9" s="33"/>
      <c r="I9" s="33"/>
      <c r="J9" s="33">
        <f>$C$29*('E Balans VL '!D10+'E Balans VL '!E10)/100/3.6*1000000</f>
        <v>0</v>
      </c>
      <c r="K9" s="33"/>
      <c r="L9" s="33"/>
      <c r="M9" s="33"/>
      <c r="N9" s="33">
        <f>$C$29*'E Balans VL '!Y10/100/3.6*1000000</f>
        <v>3.7380237115120849</v>
      </c>
      <c r="O9" s="33"/>
      <c r="P9" s="33"/>
      <c r="R9" s="32"/>
    </row>
    <row r="10" spans="1:18">
      <c r="A10" s="32" t="s">
        <v>49</v>
      </c>
      <c r="B10" s="37">
        <f t="shared" si="0"/>
        <v>5591.96165394326</v>
      </c>
      <c r="C10" s="33"/>
      <c r="D10" s="37">
        <f>IF(ISERROR(TER_ander_gas_kWh/1000),0,TER_ander_gas_kWh/1000)*0.903</f>
        <v>12358.323915669298</v>
      </c>
      <c r="E10" s="33">
        <f>$C$30*'E Balans VL '!I14/100/3.6*1000000</f>
        <v>80.252717537550254</v>
      </c>
      <c r="F10" s="33">
        <f>$C$30*('E Balans VL '!L14+'E Balans VL '!N14)/100/3.6*1000000</f>
        <v>5055.3103798427755</v>
      </c>
      <c r="G10" s="34"/>
      <c r="H10" s="33"/>
      <c r="I10" s="33"/>
      <c r="J10" s="33">
        <f>$C$30*('E Balans VL '!D14+'E Balans VL '!E14)/100/3.6*1000000</f>
        <v>5.5225207340196994E-2</v>
      </c>
      <c r="K10" s="33"/>
      <c r="L10" s="33"/>
      <c r="M10" s="33"/>
      <c r="N10" s="33">
        <f>$C$30*'E Balans VL '!Y14/100/3.6*1000000</f>
        <v>1881.388656578943</v>
      </c>
      <c r="O10" s="33"/>
      <c r="P10" s="33"/>
      <c r="R10" s="32"/>
    </row>
    <row r="11" spans="1:18">
      <c r="A11" s="32" t="s">
        <v>54</v>
      </c>
      <c r="B11" s="37">
        <f t="shared" si="0"/>
        <v>1523.3421136970599</v>
      </c>
      <c r="C11" s="33"/>
      <c r="D11" s="37">
        <f>IF(ISERROR(TER_onderwijs_gas_kWh/1000),0,TER_onderwijs_gas_kWh/1000)*0.903</f>
        <v>3012.7290339984424</v>
      </c>
      <c r="E11" s="33">
        <f>$C$31*'E Balans VL '!I11/100/3.6*1000000</f>
        <v>0</v>
      </c>
      <c r="F11" s="33">
        <f>$C$31*('E Balans VL '!L11+'E Balans VL '!N11)/100/3.6*1000000</f>
        <v>178.09683367789404</v>
      </c>
      <c r="G11" s="34"/>
      <c r="H11" s="33"/>
      <c r="I11" s="33"/>
      <c r="J11" s="33">
        <f>$C$31*('E Balans VL '!D11+'E Balans VL '!E11)/100/3.6*1000000</f>
        <v>0</v>
      </c>
      <c r="K11" s="33"/>
      <c r="L11" s="33"/>
      <c r="M11" s="33"/>
      <c r="N11" s="33">
        <f>$C$31*'E Balans VL '!Y11/100/3.6*1000000</f>
        <v>4.2895564649416551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energieproductie'!N56+'lokale energieproductie'!N49</f>
        <v>10341</v>
      </c>
      <c r="C13" s="242">
        <f ca="1">'lokale energieproductie'!O56+'lokale energieproductie'!O49</f>
        <v>12857.142857142857</v>
      </c>
      <c r="D13" s="302">
        <f ca="1">('lokale energieproductie'!P49+'lokale energieproductie'!P56)*(-1)</f>
        <v>-25714.285714285717</v>
      </c>
      <c r="E13" s="243"/>
      <c r="F13" s="302">
        <f ca="1">('lokale energieproductie'!S49+'lokale energieproductie'!S56)*(-1)</f>
        <v>0</v>
      </c>
      <c r="G13" s="244"/>
      <c r="H13" s="243"/>
      <c r="I13" s="243"/>
      <c r="J13" s="243"/>
      <c r="K13" s="243"/>
      <c r="L13" s="302">
        <f ca="1">('lokale energieproductie'!U49+'lokale energieproductie'!T49+'lokale energieproductie'!U56+'lokale energieproductie'!T56)*(-1)</f>
        <v>0</v>
      </c>
      <c r="M13" s="243"/>
      <c r="N13" s="302">
        <f ca="1">('lokale energieproductie'!Q49+'lokale energieproductie'!R49+'lokale energieproductie'!V49+'lokale energieproductie'!Q56+'lokale energieproductie'!R56+'lokale energieproductie'!V56)*(-1)</f>
        <v>-3831.4285714285716</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60596.633436322947</v>
      </c>
      <c r="C16" s="21">
        <f t="shared" ca="1" si="1"/>
        <v>12857.142857142857</v>
      </c>
      <c r="D16" s="21">
        <f t="shared" ca="1" si="1"/>
        <v>42858.171826935293</v>
      </c>
      <c r="E16" s="21">
        <f t="shared" si="1"/>
        <v>174.20410259589602</v>
      </c>
      <c r="F16" s="21">
        <f t="shared" ca="1" si="1"/>
        <v>9231.8052370341084</v>
      </c>
      <c r="G16" s="21">
        <f t="shared" si="1"/>
        <v>0</v>
      </c>
      <c r="H16" s="21">
        <f t="shared" si="1"/>
        <v>0</v>
      </c>
      <c r="I16" s="21">
        <f t="shared" si="1"/>
        <v>0</v>
      </c>
      <c r="J16" s="21">
        <f t="shared" si="1"/>
        <v>5.5225207340196994E-2</v>
      </c>
      <c r="K16" s="21">
        <f t="shared" si="1"/>
        <v>0</v>
      </c>
      <c r="L16" s="21">
        <f t="shared" ca="1" si="1"/>
        <v>0</v>
      </c>
      <c r="M16" s="21">
        <f t="shared" si="1"/>
        <v>0</v>
      </c>
      <c r="N16" s="21">
        <f t="shared" ca="1" si="1"/>
        <v>0</v>
      </c>
      <c r="O16" s="21">
        <f>O5</f>
        <v>24.486303829205774</v>
      </c>
      <c r="P16" s="21">
        <f>P5</f>
        <v>315.23482983897009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0.14990774244937249</v>
      </c>
      <c r="C18" s="25">
        <f ca="1">'EF ele_warmte'!B22</f>
        <v>0.23418464858378765</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9083.9045184713341</v>
      </c>
      <c r="C20" s="23">
        <f t="shared" ref="C20:P20" ca="1" si="2">C16*C18</f>
        <v>3010.9454817915553</v>
      </c>
      <c r="D20" s="23">
        <f t="shared" ca="1" si="2"/>
        <v>8657.3507090409294</v>
      </c>
      <c r="E20" s="23">
        <f t="shared" si="2"/>
        <v>39.544331289268399</v>
      </c>
      <c r="F20" s="23">
        <f t="shared" ca="1" si="2"/>
        <v>2464.8919982881071</v>
      </c>
      <c r="G20" s="23">
        <f t="shared" si="2"/>
        <v>0</v>
      </c>
      <c r="H20" s="23">
        <f t="shared" si="2"/>
        <v>0</v>
      </c>
      <c r="I20" s="23">
        <f t="shared" si="2"/>
        <v>0</v>
      </c>
      <c r="J20" s="23">
        <f t="shared" si="2"/>
        <v>1.9549723398429735E-2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13186.4746185227</v>
      </c>
      <c r="C26" s="39">
        <f>IF(ISERROR(B26*3.6/1000000/'E Balans VL '!Z12*100),0,B26*3.6/1000000/'E Balans VL '!Z12*100)</f>
        <v>0.37169270376027896</v>
      </c>
      <c r="D26" s="232" t="s">
        <v>660</v>
      </c>
      <c r="F26" s="6"/>
    </row>
    <row r="27" spans="1:18">
      <c r="A27" s="227" t="s">
        <v>52</v>
      </c>
      <c r="B27" s="33">
        <f>IF(ISERROR(TER_horeca_ele_kWh/1000),0,TER_horeca_ele_kWh/1000)</f>
        <v>3777.08059207007</v>
      </c>
      <c r="C27" s="39">
        <f>IF(ISERROR(B27*3.6/1000000/'E Balans VL '!Z9*100),0,B27*3.6/1000000/'E Balans VL '!Z9*100)</f>
        <v>0.28002412568604917</v>
      </c>
      <c r="D27" s="232" t="s">
        <v>660</v>
      </c>
      <c r="F27" s="6"/>
    </row>
    <row r="28" spans="1:18">
      <c r="A28" s="167" t="s">
        <v>51</v>
      </c>
      <c r="B28" s="33">
        <f>IF(ISERROR(TER_handel_ele_kWh/1000),0,TER_handel_ele_kWh/1000)</f>
        <v>25669.8758891094</v>
      </c>
      <c r="C28" s="39">
        <f>IF(ISERROR(B28*3.6/1000000/'E Balans VL '!Z13*100),0,B28*3.6/1000000/'E Balans VL '!Z13*100)</f>
        <v>0.7690084492290975</v>
      </c>
      <c r="D28" s="232" t="s">
        <v>660</v>
      </c>
      <c r="F28" s="6"/>
    </row>
    <row r="29" spans="1:18">
      <c r="A29" s="227" t="s">
        <v>50</v>
      </c>
      <c r="B29" s="33">
        <f>IF(ISERROR(TER_gezond_ele_kWh/1000),0,TER_gezond_ele_kWh/1000)</f>
        <v>506.89856898046099</v>
      </c>
      <c r="C29" s="39">
        <f>IF(ISERROR(B29*3.6/1000000/'E Balans VL '!Z10*100),0,B29*3.6/1000000/'E Balans VL '!Z10*100)</f>
        <v>5.0122329178725014E-2</v>
      </c>
      <c r="D29" s="232" t="s">
        <v>660</v>
      </c>
      <c r="F29" s="6"/>
    </row>
    <row r="30" spans="1:18">
      <c r="A30" s="227" t="s">
        <v>49</v>
      </c>
      <c r="B30" s="33">
        <f>IF(ISERROR(TER_ander_ele_kWh/1000),0,TER_ander_ele_kWh/1000)</f>
        <v>5591.96165394326</v>
      </c>
      <c r="C30" s="39">
        <f>IF(ISERROR(B30*3.6/1000000/'E Balans VL '!Z14*100),0,B30*3.6/1000000/'E Balans VL '!Z14*100)</f>
        <v>0.22617832357759862</v>
      </c>
      <c r="D30" s="232" t="s">
        <v>660</v>
      </c>
      <c r="F30" s="6"/>
    </row>
    <row r="31" spans="1:18">
      <c r="A31" s="227" t="s">
        <v>54</v>
      </c>
      <c r="B31" s="33">
        <f>IF(ISERROR(TER_onderwijs_ele_kWh/1000),0,TER_onderwijs_ele_kWh/1000)</f>
        <v>1523.3421136970599</v>
      </c>
      <c r="C31" s="39">
        <f>IF(ISERROR(B31*3.6/1000000/'E Balans VL '!Z11*100),0,B31*3.6/1000000/'E Balans VL '!Z11*100)</f>
        <v>0.41852870144548687</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5</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6</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107660.35557721402</v>
      </c>
      <c r="C5" s="17">
        <f>IF(ISERROR('Eigen informatie GS &amp; warmtenet'!B61),0,'Eigen informatie GS &amp; warmtenet'!B61)</f>
        <v>0</v>
      </c>
      <c r="D5" s="30">
        <f>SUM(D6:D15)</f>
        <v>67810.243577127738</v>
      </c>
      <c r="E5" s="17">
        <f>SUM(E6:E15)</f>
        <v>1165.804367455496</v>
      </c>
      <c r="F5" s="17">
        <f>SUM(F6:F15)</f>
        <v>45389.580118623875</v>
      </c>
      <c r="G5" s="18"/>
      <c r="H5" s="17"/>
      <c r="I5" s="17"/>
      <c r="J5" s="17">
        <f>SUM(J6:J15)</f>
        <v>9.1171967463339634</v>
      </c>
      <c r="K5" s="17"/>
      <c r="L5" s="17"/>
      <c r="M5" s="17"/>
      <c r="N5" s="17">
        <f>SUM(N6:N15)</f>
        <v>3955.893278566446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8566.8221029785709</v>
      </c>
      <c r="C8" s="33"/>
      <c r="D8" s="37">
        <f>IF( ISERROR(IND_metaal_Gas_kWH/1000),0,IND_metaal_Gas_kWH/1000)*0.903</f>
        <v>1331.6202137464495</v>
      </c>
      <c r="E8" s="33">
        <f>C30*'E Balans VL '!I18/100/3.6*1000000</f>
        <v>46.821403854406476</v>
      </c>
      <c r="F8" s="33">
        <f>C30*'E Balans VL '!L18/100/3.6*1000000+C30*'E Balans VL '!N18/100/3.6*1000000</f>
        <v>586.38621528588681</v>
      </c>
      <c r="G8" s="34"/>
      <c r="H8" s="33"/>
      <c r="I8" s="33"/>
      <c r="J8" s="40">
        <f>C30*'E Balans VL '!D18/100/3.6*1000000+C30*'E Balans VL '!E18/100/3.6*1000000</f>
        <v>8.537415748962351</v>
      </c>
      <c r="K8" s="33"/>
      <c r="L8" s="33"/>
      <c r="M8" s="33"/>
      <c r="N8" s="33">
        <f>C30*'E Balans VL '!Y18/100/3.6*1000000</f>
        <v>126.70742409601388</v>
      </c>
      <c r="O8" s="33"/>
      <c r="P8" s="33"/>
      <c r="R8" s="32"/>
    </row>
    <row r="9" spans="1:18">
      <c r="A9" s="6" t="s">
        <v>32</v>
      </c>
      <c r="B9" s="37">
        <f t="shared" si="0"/>
        <v>68493.693396544506</v>
      </c>
      <c r="C9" s="33"/>
      <c r="D9" s="37">
        <f>IF( ISERROR(IND_andere_gas_kWh/1000),0,IND_andere_gas_kWh/1000)*0.903</f>
        <v>3756.2555055068638</v>
      </c>
      <c r="E9" s="33">
        <f>C31*'E Balans VL '!I19/100/3.6*1000000</f>
        <v>257.75988095671977</v>
      </c>
      <c r="F9" s="33">
        <f>C31*'E Balans VL '!L19/100/3.6*1000000+C31*'E Balans VL '!N19/100/3.6*1000000</f>
        <v>44084.393308610721</v>
      </c>
      <c r="G9" s="34"/>
      <c r="H9" s="33"/>
      <c r="I9" s="33"/>
      <c r="J9" s="40">
        <f>C31*'E Balans VL '!D19/100/3.6*1000000+C31*'E Balans VL '!E19/100/3.6*1000000</f>
        <v>0</v>
      </c>
      <c r="K9" s="33"/>
      <c r="L9" s="33"/>
      <c r="M9" s="33"/>
      <c r="N9" s="33">
        <f>C31*'E Balans VL '!Y19/100/3.6*1000000</f>
        <v>2474.3805058008497</v>
      </c>
      <c r="O9" s="33"/>
      <c r="P9" s="33"/>
      <c r="R9" s="32"/>
    </row>
    <row r="10" spans="1:18">
      <c r="A10" s="6" t="s">
        <v>40</v>
      </c>
      <c r="B10" s="37">
        <f t="shared" si="0"/>
        <v>16157.5545665835</v>
      </c>
      <c r="C10" s="33"/>
      <c r="D10" s="37">
        <f>IF( ISERROR(IND_voed_gas_kWh/1000),0,IND_voed_gas_kWh/1000)*0.903</f>
        <v>14849.343707136357</v>
      </c>
      <c r="E10" s="33">
        <f>C32*'E Balans VL '!I20/100/3.6*1000000</f>
        <v>31.985089472252895</v>
      </c>
      <c r="F10" s="33">
        <f>C32*'E Balans VL '!L20/100/3.6*1000000+C32*'E Balans VL '!N20/100/3.6*1000000</f>
        <v>343.166643508459</v>
      </c>
      <c r="G10" s="34"/>
      <c r="H10" s="33"/>
      <c r="I10" s="33"/>
      <c r="J10" s="40">
        <f>C32*'E Balans VL '!D20/100/3.6*1000000+C32*'E Balans VL '!E20/100/3.6*1000000</f>
        <v>0</v>
      </c>
      <c r="K10" s="33"/>
      <c r="L10" s="33"/>
      <c r="M10" s="33"/>
      <c r="N10" s="33">
        <f>C32*'E Balans VL '!Y20/100/3.6*1000000</f>
        <v>651.21084709665968</v>
      </c>
      <c r="O10" s="33"/>
      <c r="P10" s="33"/>
      <c r="R10" s="32"/>
    </row>
    <row r="11" spans="1:18">
      <c r="A11" s="6" t="s">
        <v>39</v>
      </c>
      <c r="B11" s="37">
        <f t="shared" si="0"/>
        <v>24.445746069240197</v>
      </c>
      <c r="C11" s="33"/>
      <c r="D11" s="37">
        <f>IF( ISERROR(IND_textiel_gas_kWh/1000),0,IND_textiel_gas_kWh/1000)*0.903</f>
        <v>76.680986297462297</v>
      </c>
      <c r="E11" s="33">
        <f>C33*'E Balans VL '!I21/100/3.6*1000000</f>
        <v>4.7601582040235763E-2</v>
      </c>
      <c r="F11" s="33">
        <f>C33*'E Balans VL '!L21/100/3.6*1000000+C33*'E Balans VL '!N21/100/3.6*1000000</f>
        <v>0.57904352723334218</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2872.5712033446703</v>
      </c>
      <c r="C12" s="33"/>
      <c r="D12" s="37">
        <f>IF( ISERROR(IND_min_gas_kWh/1000),0,IND_min_gas_kWh/1000)*0.903</f>
        <v>33200.939791383076</v>
      </c>
      <c r="E12" s="33">
        <f>C34*'E Balans VL '!I22/100/3.6*1000000</f>
        <v>35.148620110502392</v>
      </c>
      <c r="F12" s="33">
        <f>C34*'E Balans VL '!L22/100/3.6*1000000+C34*'E Balans VL '!N22/100/3.6*1000000</f>
        <v>310.13028100589094</v>
      </c>
      <c r="G12" s="34"/>
      <c r="H12" s="33"/>
      <c r="I12" s="33"/>
      <c r="J12" s="40">
        <f>C34*'E Balans VL '!D22/100/3.6*1000000+C34*'E Balans VL '!E22/100/3.6*1000000</f>
        <v>0</v>
      </c>
      <c r="K12" s="33"/>
      <c r="L12" s="33"/>
      <c r="M12" s="33"/>
      <c r="N12" s="33">
        <f>C34*'E Balans VL '!Y22/100/3.6*1000000</f>
        <v>1385.529844789809</v>
      </c>
      <c r="O12" s="33"/>
      <c r="P12" s="33"/>
      <c r="R12" s="32"/>
    </row>
    <row r="13" spans="1:18">
      <c r="A13" s="6" t="s">
        <v>38</v>
      </c>
      <c r="B13" s="37">
        <f t="shared" si="0"/>
        <v>7441.2139837457198</v>
      </c>
      <c r="C13" s="33"/>
      <c r="D13" s="37">
        <f>IF( ISERROR(IND_papier_gas_kWh/1000),0,IND_papier_gas_kWh/1000)*0.903</f>
        <v>2606.8415855329208</v>
      </c>
      <c r="E13" s="33">
        <f>C35*'E Balans VL '!I23/100/3.6*1000000</f>
        <v>0</v>
      </c>
      <c r="F13" s="33">
        <f>C35*'E Balans VL '!L23/100/3.6*1000000+C35*'E Balans VL '!N23/100/3.6*1000000</f>
        <v>0.91159568346376763</v>
      </c>
      <c r="G13" s="34"/>
      <c r="H13" s="33"/>
      <c r="I13" s="33"/>
      <c r="J13" s="40">
        <f>C35*'E Balans VL '!D23/100/3.6*1000000+C35*'E Balans VL '!E23/100/3.6*1000000</f>
        <v>0.57978099737161182</v>
      </c>
      <c r="K13" s="33"/>
      <c r="L13" s="33"/>
      <c r="M13" s="33"/>
      <c r="N13" s="33">
        <f>C35*'E Balans VL '!Y23/100/3.6*1000000</f>
        <v>-682.85039816385108</v>
      </c>
      <c r="O13" s="33"/>
      <c r="P13" s="33"/>
      <c r="R13" s="32"/>
    </row>
    <row r="14" spans="1:18">
      <c r="A14" s="6" t="s">
        <v>33</v>
      </c>
      <c r="B14" s="37">
        <f t="shared" si="0"/>
        <v>4104.0545779478098</v>
      </c>
      <c r="C14" s="33"/>
      <c r="D14" s="37">
        <f>IF( ISERROR(IND_chemie_gas_kWh/1000),0,IND_chemie_gas_kWh/1000)*0.903</f>
        <v>0</v>
      </c>
      <c r="E14" s="33">
        <f>C36*'E Balans VL '!I24/100/3.6*1000000</f>
        <v>794.04177147957421</v>
      </c>
      <c r="F14" s="33">
        <f>C36*'E Balans VL '!L24/100/3.6*1000000+C36*'E Balans VL '!N24/100/3.6*1000000</f>
        <v>64.013031002215612</v>
      </c>
      <c r="G14" s="34"/>
      <c r="H14" s="33"/>
      <c r="I14" s="33"/>
      <c r="J14" s="40">
        <f>C36*'E Balans VL '!D24/100/3.6*1000000+C36*'E Balans VL '!E24/100/3.6*1000000</f>
        <v>0</v>
      </c>
      <c r="K14" s="33"/>
      <c r="L14" s="33"/>
      <c r="M14" s="33"/>
      <c r="N14" s="33">
        <f>C36*'E Balans VL '!Y24/100/3.6*1000000</f>
        <v>0.91505494696491407</v>
      </c>
      <c r="O14" s="33"/>
      <c r="P14" s="33"/>
      <c r="R14" s="32"/>
    </row>
    <row r="15" spans="1:18">
      <c r="A15" s="6" t="s">
        <v>259</v>
      </c>
      <c r="B15" s="37">
        <f t="shared" si="0"/>
        <v>0</v>
      </c>
      <c r="C15" s="33"/>
      <c r="D15" s="37">
        <f>IF( ISERROR(IND_rest_gas_kWh/1000),0,IND_rest_gas_kWh/1000)*0.903</f>
        <v>11988.561787524613</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466</v>
      </c>
      <c r="B16" s="242">
        <f>'lokale energieproductie'!N55+'lokale energieproductie'!N48</f>
        <v>549</v>
      </c>
      <c r="C16" s="242">
        <f>'lokale energieproductie'!O55+'lokale energieproductie'!O48</f>
        <v>784.28571428571433</v>
      </c>
      <c r="D16" s="302">
        <f>('lokale energieproductie'!P48+'lokale energieproductie'!P55)*(-1)</f>
        <v>-1568.5714285714287</v>
      </c>
      <c r="E16" s="243"/>
      <c r="F16" s="302">
        <f>('lokale energieproductie'!S48+'lokale energieproductie'!S55)*(-1)</f>
        <v>0</v>
      </c>
      <c r="G16" s="244"/>
      <c r="H16" s="243"/>
      <c r="I16" s="243"/>
      <c r="J16" s="243"/>
      <c r="K16" s="243"/>
      <c r="L16" s="302">
        <f>('lokale energieproductie'!T48+'lokale energieproductie'!U48+'lokale energieproductie'!T55+'lokale energieproductie'!U55)*(-1)</f>
        <v>0</v>
      </c>
      <c r="M16" s="243"/>
      <c r="N16" s="302">
        <f>('lokale energieproductie'!Q48+'lokale energieproductie'!R48+'lokale energieproductie'!V48+'lokale energieproductie'!Q55+'lokale energieproductie'!R55+'lokale energieproductie'!V55)*(-1)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108209.35557721402</v>
      </c>
      <c r="C18" s="21">
        <f>C5+C16</f>
        <v>784.28571428571433</v>
      </c>
      <c r="D18" s="21">
        <f>MAX((D5+D16),0)</f>
        <v>66241.672148556303</v>
      </c>
      <c r="E18" s="21">
        <f>MAX((E5+E16),0)</f>
        <v>1165.804367455496</v>
      </c>
      <c r="F18" s="21">
        <f>MAX((F5+F16),0)</f>
        <v>45389.580118623875</v>
      </c>
      <c r="G18" s="21"/>
      <c r="H18" s="21"/>
      <c r="I18" s="21"/>
      <c r="J18" s="21">
        <f>MAX((J5+J16),0)</f>
        <v>9.1171967463339634</v>
      </c>
      <c r="K18" s="21"/>
      <c r="L18" s="21">
        <f>MAX((L5+L16),0)</f>
        <v>0</v>
      </c>
      <c r="M18" s="21"/>
      <c r="N18" s="21">
        <f>MAX((N5+N16),0)</f>
        <v>3955.893278566446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0.14990774244937249</v>
      </c>
      <c r="C20" s="25">
        <f ca="1">'EF ele_warmte'!B22</f>
        <v>0.23418464858378765</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16221.420206481569</v>
      </c>
      <c r="C22" s="23">
        <f ca="1">C18*C20</f>
        <v>183.66767438928491</v>
      </c>
      <c r="D22" s="23">
        <f>D18*D20</f>
        <v>13380.817774008374</v>
      </c>
      <c r="E22" s="23">
        <f>E18*E20</f>
        <v>264.63759141239763</v>
      </c>
      <c r="F22" s="23">
        <f>F18*F20</f>
        <v>12119.017891672574</v>
      </c>
      <c r="G22" s="23"/>
      <c r="H22" s="23"/>
      <c r="I22" s="23"/>
      <c r="J22" s="23">
        <f>J18*J20</f>
        <v>3.227487648202223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8566.8221029785709</v>
      </c>
      <c r="C30" s="39">
        <f>IF(ISERROR(B30*3.6/1000000/'E Balans VL '!Z18*100),0,B30*3.6/1000000/'E Balans VL '!Z18*100)</f>
        <v>0.47798906215030124</v>
      </c>
      <c r="D30" s="232" t="s">
        <v>660</v>
      </c>
    </row>
    <row r="31" spans="1:18">
      <c r="A31" s="6" t="s">
        <v>32</v>
      </c>
      <c r="B31" s="37">
        <f>IF( ISERROR(IND_ander_ele_kWh/1000),0,IND_ander_ele_kWh/1000)</f>
        <v>68493.693396544506</v>
      </c>
      <c r="C31" s="39">
        <f>IF(ISERROR(B31*3.6/1000000/'E Balans VL '!Z19*100),0,B31*3.6/1000000/'E Balans VL '!Z19*100)</f>
        <v>2.7879046756382722</v>
      </c>
      <c r="D31" s="232" t="s">
        <v>660</v>
      </c>
    </row>
    <row r="32" spans="1:18">
      <c r="A32" s="167" t="s">
        <v>40</v>
      </c>
      <c r="B32" s="37">
        <f>IF( ISERROR(IND_voed_ele_kWh/1000),0,IND_voed_ele_kWh/1000)</f>
        <v>16157.5545665835</v>
      </c>
      <c r="C32" s="39">
        <f>IF(ISERROR(B32*3.6/1000000/'E Balans VL '!Z20*100),0,B32*3.6/1000000/'E Balans VL '!Z20*100)</f>
        <v>0.4699399075519875</v>
      </c>
      <c r="D32" s="232" t="s">
        <v>660</v>
      </c>
    </row>
    <row r="33" spans="1:5">
      <c r="A33" s="167" t="s">
        <v>39</v>
      </c>
      <c r="B33" s="37">
        <f>IF( ISERROR(IND_textiel_ele_kWh/1000),0,IND_textiel_ele_kWh/1000)</f>
        <v>24.445746069240197</v>
      </c>
      <c r="C33" s="39">
        <f>IF(ISERROR(B33*3.6/1000000/'E Balans VL '!Z21*100),0,B33*3.6/1000000/'E Balans VL '!Z21*100)</f>
        <v>3.6008761366852016E-3</v>
      </c>
      <c r="D33" s="232" t="s">
        <v>660</v>
      </c>
    </row>
    <row r="34" spans="1:5">
      <c r="A34" s="167" t="s">
        <v>36</v>
      </c>
      <c r="B34" s="37">
        <f>IF( ISERROR(IND_min_ele_kWh/1000),0,IND_min_ele_kWh/1000)</f>
        <v>2872.5712033446703</v>
      </c>
      <c r="C34" s="39">
        <f>IF(ISERROR(B34*3.6/1000000/'E Balans VL '!Z22*100),0,B34*3.6/1000000/'E Balans VL '!Z22*100)</f>
        <v>1.1523571427929518</v>
      </c>
      <c r="D34" s="232" t="s">
        <v>660</v>
      </c>
    </row>
    <row r="35" spans="1:5">
      <c r="A35" s="167" t="s">
        <v>38</v>
      </c>
      <c r="B35" s="37">
        <f>IF( ISERROR(IND_papier_ele_kWh/1000),0,IND_papier_ele_kWh/1000)</f>
        <v>7441.2139837457198</v>
      </c>
      <c r="C35" s="39">
        <f>IF(ISERROR(B35*3.6/1000000/'E Balans VL '!Z22*100),0,B35*3.6/1000000/'E Balans VL '!Z22*100)</f>
        <v>2.9851082804269473</v>
      </c>
      <c r="D35" s="232" t="s">
        <v>660</v>
      </c>
    </row>
    <row r="36" spans="1:5">
      <c r="A36" s="167" t="s">
        <v>33</v>
      </c>
      <c r="B36" s="37">
        <f>IF( ISERROR(IND_chemie_ele_kWh/1000),0,IND_chemie_ele_kWh/1000)</f>
        <v>4104.0545779478098</v>
      </c>
      <c r="C36" s="39">
        <f>IF(ISERROR(B36*3.6/1000000/'E Balans VL '!Z24*100),0,B36*3.6/1000000/'E Balans VL '!Z24*100)</f>
        <v>0.12398185205395804</v>
      </c>
      <c r="D36" s="232" t="s">
        <v>660</v>
      </c>
    </row>
    <row r="37" spans="1:5">
      <c r="A37" s="167" t="s">
        <v>259</v>
      </c>
      <c r="B37" s="37">
        <f>IF( ISERROR(IND_rest_ele_kWh/1000),0,IND_rest_ele_kWh/1000)</f>
        <v>0</v>
      </c>
      <c r="C37" s="39">
        <f>IF(ISERROR(B37*3.6/1000000/'E Balans VL '!Z15*100),0,B37*3.6/1000000/'E Balans VL '!Z15*100)</f>
        <v>0</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28314.201810355102</v>
      </c>
      <c r="C5" s="17">
        <f>'Eigen informatie GS &amp; warmtenet'!B62</f>
        <v>0</v>
      </c>
      <c r="D5" s="30">
        <f>IF(ISERROR(SUM(LB_lb_gas_kWh,LB_rest_gas_kWh)/1000),0,SUM(LB_lb_gas_kWh,LB_rest_gas_kWh)/1000)*0.903</f>
        <v>395493.97118104616</v>
      </c>
      <c r="E5" s="17">
        <f>B17*'E Balans VL '!I25/3.6*1000000/100</f>
        <v>834.78271729408198</v>
      </c>
      <c r="F5" s="17">
        <f>B17*('E Balans VL '!L25/3.6*1000000+'E Balans VL '!N25/3.6*1000000)/100</f>
        <v>89992.595913581099</v>
      </c>
      <c r="G5" s="18"/>
      <c r="H5" s="17"/>
      <c r="I5" s="17"/>
      <c r="J5" s="17">
        <f>('E Balans VL '!D25+'E Balans VL '!E25)/3.6*1000000*landbouw!B17/100</f>
        <v>7140.6678262378227</v>
      </c>
      <c r="K5" s="17"/>
      <c r="L5" s="17">
        <f>L6*(-1)</f>
        <v>7020</v>
      </c>
      <c r="M5" s="17"/>
      <c r="N5" s="17">
        <f>N6*(-1)</f>
        <v>374.14285714285711</v>
      </c>
      <c r="O5" s="17"/>
      <c r="P5" s="17"/>
      <c r="R5" s="32"/>
    </row>
    <row r="6" spans="1:18">
      <c r="A6" s="16" t="s">
        <v>466</v>
      </c>
      <c r="B6" s="17" t="s">
        <v>204</v>
      </c>
      <c r="C6" s="17">
        <f>'lokale energieproductie'!O57+'lokale energieproductie'!O50</f>
        <v>213803.35714285716</v>
      </c>
      <c r="D6" s="302">
        <f>('lokale energieproductie'!P50+'lokale energieproductie'!P57)*(-1)</f>
        <v>-418808.57142857142</v>
      </c>
      <c r="E6" s="243"/>
      <c r="F6" s="302">
        <f>('lokale energieproductie'!S50+'lokale energieproductie'!S57)*(-1)</f>
        <v>-2340</v>
      </c>
      <c r="G6" s="244"/>
      <c r="H6" s="243"/>
      <c r="I6" s="243"/>
      <c r="J6" s="243"/>
      <c r="K6" s="243"/>
      <c r="L6" s="302">
        <f>('lokale energieproductie'!T50+'lokale energieproductie'!U50+'lokale energieproductie'!T57+'lokale energieproductie'!U57)*(-1)</f>
        <v>-7020</v>
      </c>
      <c r="M6" s="243"/>
      <c r="N6" s="302">
        <f>('lokale energieproductie'!V50+'lokale energieproductie'!R50+'lokale energieproductie'!Q50+'lokale energieproductie'!Q57+'lokale energieproductie'!R57+'lokale energieproductie'!V57)*(-1)</f>
        <v>-374.14285714285711</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28314.201810355102</v>
      </c>
      <c r="C8" s="21">
        <f>C5+C6</f>
        <v>213803.35714285716</v>
      </c>
      <c r="D8" s="21">
        <f>MAX((D5+D6),0)</f>
        <v>0</v>
      </c>
      <c r="E8" s="21">
        <f>MAX((E5+E6),0)</f>
        <v>834.78271729408198</v>
      </c>
      <c r="F8" s="21">
        <f>MAX((F5+F6),0)</f>
        <v>87652.595913581099</v>
      </c>
      <c r="G8" s="21"/>
      <c r="H8" s="21"/>
      <c r="I8" s="21"/>
      <c r="J8" s="21">
        <f>MAX((J5+J6),0)</f>
        <v>7140.6678262378227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0.14990774244937249</v>
      </c>
      <c r="C10" s="31">
        <f ca="1">'EF ele_warmte'!B22</f>
        <v>0.23418464858378765</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4244.5180726462686</v>
      </c>
      <c r="C12" s="23">
        <f ca="1">C8*C10</f>
        <v>50069.464058534053</v>
      </c>
      <c r="D12" s="23">
        <f>D8*D10</f>
        <v>0</v>
      </c>
      <c r="E12" s="23">
        <f>E8*E10</f>
        <v>189.49567682575662</v>
      </c>
      <c r="F12" s="23">
        <f>F8*F10</f>
        <v>23403.243108926155</v>
      </c>
      <c r="G12" s="23"/>
      <c r="H12" s="23"/>
      <c r="I12" s="23"/>
      <c r="J12" s="23">
        <f>J8*J10</f>
        <v>2527.7964104881889</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3.8888817322229672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1851.5946525915383</v>
      </c>
      <c r="C26" s="242">
        <f>B26*'GWP N2O_CH4'!B5</f>
        <v>38883.487704422303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1500.2305040157435</v>
      </c>
      <c r="C27" s="242">
        <f>B27*'GWP N2O_CH4'!B5</f>
        <v>31504.840584330614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28.796128526103399</v>
      </c>
      <c r="C28" s="242">
        <f>B28*'GWP N2O_CH4'!B4</f>
        <v>8926.7998430920543</v>
      </c>
      <c r="D28" s="50"/>
    </row>
    <row r="29" spans="1:4">
      <c r="A29" s="41" t="s">
        <v>266</v>
      </c>
      <c r="B29" s="242">
        <f>B34*'ha_N2O bodem landbouw'!B4</f>
        <v>40.892063213980876</v>
      </c>
      <c r="C29" s="242">
        <f>B29*'GWP N2O_CH4'!B4</f>
        <v>12676.539596334071</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9.3194179865060088E-3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1.5562785542199611E-3</v>
      </c>
      <c r="C5" s="430" t="s">
        <v>204</v>
      </c>
      <c r="D5" s="415">
        <f>SUM(D6:D11)</f>
        <v>2.5445882320382744E-3</v>
      </c>
      <c r="E5" s="415">
        <f>SUM(E6:E11)</f>
        <v>1.5404546536462338E-3</v>
      </c>
      <c r="F5" s="428" t="s">
        <v>204</v>
      </c>
      <c r="G5" s="415">
        <f>SUM(G6:G11)</f>
        <v>0.88438808680352921</v>
      </c>
      <c r="H5" s="415">
        <f>SUM(H6:H11)</f>
        <v>0.17158694876796377</v>
      </c>
      <c r="I5" s="430" t="s">
        <v>204</v>
      </c>
      <c r="J5" s="430" t="s">
        <v>204</v>
      </c>
      <c r="K5" s="430" t="s">
        <v>204</v>
      </c>
      <c r="L5" s="430" t="s">
        <v>204</v>
      </c>
      <c r="M5" s="415">
        <f>SUM(M6:M11)</f>
        <v>6.1720291748944195E-2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4.1555251492907168E-4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7.2519994753655491E-4</v>
      </c>
      <c r="E6" s="844">
        <f>vkm_GW_PW*SUMIFS(TableVerdeelsleutelVkm[LPG],TableVerdeelsleutelVkm[Voertuigtype],"Lichte voertuigen")*SUMIFS(TableECFTransport[EnergieConsumptieFactor (PJ per km)],TableECFTransport[Index],CONCATENATE($A6,"_LPG_LPG"))</f>
        <v>3.9873714183001553E-4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0.12272105288229965</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4.7880702975853777E-2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1.0237902704962179E-2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2.2064509334107476E-6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9.1319367295105786E-2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1.0008149061542569E-6</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5.1414261580541264E-3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2.6534360163774377E-4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5.9362165020932878E-4</v>
      </c>
      <c r="E8" s="418">
        <f>vkm_NGW_PW*SUMIFS(TableVerdeelsleutelVkm[LPG],TableVerdeelsleutelVkm[Voertuigtype],"Lichte voertuigen")*SUMIFS(TableECFTransport[EnergieConsumptieFactor (PJ per km)],TableECFTransport[Index],CONCATENATE($A8,"_LPG_LPG"))</f>
        <v>3.1174008334984457E-4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8.8663524854268136E-2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3.8581800774688077E-2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7.6739877101326334E-3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1.2651466717332639E-7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6.7429012784674669E-3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6.9265474635682958E-8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3.7963578402509351E-4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8.6421286497649814E-4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1.2257666342923908E-3</v>
      </c>
      <c r="E10" s="418">
        <f>vkm_SW_PW*SUMIFS(TableVerdeelsleutelVkm[LPG],TableVerdeelsleutelVkm[Voertuigtype],"Lichte voertuigen")*SUMIFS(TableECFTransport[EnergieConsumptieFactor (PJ per km)],TableECFTransport[Index],CONCATENATE($A10,"_LPG_LPG"))</f>
        <v>8.2997742846637368E-4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0.22943352555578955</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8.5119249447649939E-2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1.8834679923586423E-2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8.8366070760633099E-6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0.34550771493759858</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4.1254893911535746E-6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1.9452659468183735E-2</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432.29959839443364</v>
      </c>
      <c r="C14" s="21"/>
      <c r="D14" s="21">
        <f t="shared" ref="D14:M14" si="0">((D5)*10^9/3600)+D12</f>
        <v>706.83006445507624</v>
      </c>
      <c r="E14" s="21">
        <f t="shared" si="0"/>
        <v>427.90407045728716</v>
      </c>
      <c r="F14" s="21"/>
      <c r="G14" s="21">
        <f t="shared" si="0"/>
        <v>245663.3574454248</v>
      </c>
      <c r="H14" s="21">
        <f t="shared" si="0"/>
        <v>47663.04132443438</v>
      </c>
      <c r="I14" s="21"/>
      <c r="J14" s="21"/>
      <c r="K14" s="21"/>
      <c r="L14" s="21"/>
      <c r="M14" s="21">
        <f t="shared" si="0"/>
        <v>17144.52548581783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0.14990774244937249</v>
      </c>
      <c r="C16" s="56">
        <f ca="1">'EF ele_warmte'!B22</f>
        <v>0.23418464858378765</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64.805056857079919</v>
      </c>
      <c r="C18" s="23"/>
      <c r="D18" s="23">
        <f t="shared" ref="D18:M18" si="1">D14*D16</f>
        <v>142.77967301992541</v>
      </c>
      <c r="E18" s="23">
        <f t="shared" si="1"/>
        <v>97.134223993804184</v>
      </c>
      <c r="F18" s="23"/>
      <c r="G18" s="23">
        <f t="shared" si="1"/>
        <v>65592.116437928431</v>
      </c>
      <c r="H18" s="23">
        <f t="shared" si="1"/>
        <v>11868.09728978416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8.0445584564693343E-5</v>
      </c>
      <c r="C50" s="313">
        <f t="shared" ref="C50:P50" si="2">SUM(C51:C52)</f>
        <v>0</v>
      </c>
      <c r="D50" s="313">
        <f t="shared" si="2"/>
        <v>0</v>
      </c>
      <c r="E50" s="313">
        <f t="shared" si="2"/>
        <v>0</v>
      </c>
      <c r="F50" s="313">
        <f t="shared" si="2"/>
        <v>0</v>
      </c>
      <c r="G50" s="313">
        <f t="shared" si="2"/>
        <v>5.7420608906422338E-3</v>
      </c>
      <c r="H50" s="313">
        <f t="shared" si="2"/>
        <v>0</v>
      </c>
      <c r="I50" s="313">
        <f t="shared" si="2"/>
        <v>0</v>
      </c>
      <c r="J50" s="313">
        <f t="shared" si="2"/>
        <v>0</v>
      </c>
      <c r="K50" s="313">
        <f t="shared" si="2"/>
        <v>0</v>
      </c>
      <c r="L50" s="313">
        <f t="shared" si="2"/>
        <v>0</v>
      </c>
      <c r="M50" s="313">
        <f t="shared" si="2"/>
        <v>3.1706852836147241E-4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8.0445584564693343E-5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5.7420608906422338E-3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3.1706852836147241E-4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22.345995712414819</v>
      </c>
      <c r="C54" s="21">
        <f t="shared" ref="C54:P54" si="3">(C50)*10^9/3600</f>
        <v>0</v>
      </c>
      <c r="D54" s="21">
        <f t="shared" si="3"/>
        <v>0</v>
      </c>
      <c r="E54" s="21">
        <f t="shared" si="3"/>
        <v>0</v>
      </c>
      <c r="F54" s="21">
        <f t="shared" si="3"/>
        <v>0</v>
      </c>
      <c r="G54" s="21">
        <f t="shared" si="3"/>
        <v>1595.0169140672872</v>
      </c>
      <c r="H54" s="21">
        <f t="shared" si="3"/>
        <v>0</v>
      </c>
      <c r="I54" s="21">
        <f t="shared" si="3"/>
        <v>0</v>
      </c>
      <c r="J54" s="21">
        <f t="shared" si="3"/>
        <v>0</v>
      </c>
      <c r="K54" s="21">
        <f t="shared" si="3"/>
        <v>0</v>
      </c>
      <c r="L54" s="21">
        <f t="shared" si="3"/>
        <v>0</v>
      </c>
      <c r="M54" s="21">
        <f t="shared" si="3"/>
        <v>88.074591211520115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0.14990774244937249</v>
      </c>
      <c r="C56" s="56">
        <f ca="1">'EF ele_warmte'!B22</f>
        <v>0.23418464858378765</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3.3498377700314625</v>
      </c>
      <c r="C58" s="23">
        <f t="shared" ref="C58:P58" ca="1" si="4">C54*C56</f>
        <v>0</v>
      </c>
      <c r="D58" s="23">
        <f t="shared" si="4"/>
        <v>0</v>
      </c>
      <c r="E58" s="23">
        <f t="shared" si="4"/>
        <v>0</v>
      </c>
      <c r="F58" s="23">
        <f t="shared" si="4"/>
        <v>0</v>
      </c>
      <c r="G58" s="23">
        <f t="shared" si="4"/>
        <v>425.86951605596568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9"/>
  <sheetViews>
    <sheetView showGridLines="0" zoomScale="65" zoomScaleNormal="65" workbookViewId="0">
      <selection activeCell="A28" sqref="A28:XFD47"/>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76840.991660959509</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11772.606318249154</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N47</f>
        <v>160006.95000000001</v>
      </c>
      <c r="C8" s="540">
        <f>B66</f>
        <v>184223.53632064365</v>
      </c>
      <c r="D8" s="541"/>
      <c r="E8" s="541">
        <f>E66</f>
        <v>966.35587993881552</v>
      </c>
      <c r="F8" s="542"/>
      <c r="G8" s="543"/>
      <c r="H8" s="541">
        <f>I66</f>
        <v>0</v>
      </c>
      <c r="I8" s="541">
        <f>G66+F66</f>
        <v>2899.0676398164469</v>
      </c>
      <c r="J8" s="541">
        <f>H66+D66+C66</f>
        <v>154.51074783637105</v>
      </c>
      <c r="K8" s="541"/>
      <c r="L8" s="541"/>
      <c r="M8" s="541"/>
      <c r="N8" s="544"/>
      <c r="O8" s="545">
        <f>C8*$C$12+D8*$D$12+E8*$E$12+F8*$F$12+G8*$G$12+H8*$H$12+I8*$I$12+J8*$J$12</f>
        <v>37471.171356713683</v>
      </c>
      <c r="P8" s="1210"/>
      <c r="Q8" s="1211"/>
      <c r="S8" s="535"/>
      <c r="T8" s="1198"/>
      <c r="U8" s="1198"/>
    </row>
    <row r="9" spans="1:21" s="526" customFormat="1" ht="17.45" customHeight="1" thickBot="1">
      <c r="A9" s="546" t="s">
        <v>237</v>
      </c>
      <c r="B9" s="547">
        <f>N54+'Eigen informatie GS &amp; warmtenet'!B12</f>
        <v>1341</v>
      </c>
      <c r="C9" s="548">
        <f>P54+IF(ISERROR(('Eigen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S54+IF(ISERROR('Eigen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W54+IF(ISERROR('Eigen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(T54+U54)+IF(ISERROR('Eigen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V54+Q54+R54+IF(ISERROR('Eigen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3831.4285714285716</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249961.54797920867</v>
      </c>
      <c r="C10" s="555">
        <f t="shared" ref="C10:L10" si="0">SUM(C8:C9)</f>
        <v>184223.53632064365</v>
      </c>
      <c r="D10" s="555">
        <f t="shared" si="0"/>
        <v>0</v>
      </c>
      <c r="E10" s="555">
        <f t="shared" si="0"/>
        <v>966.35587993881552</v>
      </c>
      <c r="F10" s="555">
        <f t="shared" si="0"/>
        <v>0</v>
      </c>
      <c r="G10" s="555">
        <f t="shared" si="0"/>
        <v>0</v>
      </c>
      <c r="H10" s="555">
        <f t="shared" si="0"/>
        <v>0</v>
      </c>
      <c r="I10" s="555">
        <f t="shared" si="0"/>
        <v>2899.0676398164469</v>
      </c>
      <c r="J10" s="555">
        <f t="shared" si="0"/>
        <v>3985.9393192649427</v>
      </c>
      <c r="K10" s="555">
        <f t="shared" si="0"/>
        <v>0</v>
      </c>
      <c r="L10" s="555">
        <f t="shared" si="0"/>
        <v>0</v>
      </c>
      <c r="M10" s="917"/>
      <c r="N10" s="917"/>
      <c r="O10" s="556">
        <f>SUM(O4:O9)</f>
        <v>37471.171356713683</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O47</f>
        <v>227444.78571428571</v>
      </c>
      <c r="C17" s="571">
        <f>B67</f>
        <v>261867.89225078488</v>
      </c>
      <c r="D17" s="572"/>
      <c r="E17" s="572">
        <f>E67</f>
        <v>1373.6441200611841</v>
      </c>
      <c r="F17" s="573"/>
      <c r="G17" s="574"/>
      <c r="H17" s="571">
        <f>I67</f>
        <v>0</v>
      </c>
      <c r="I17" s="572">
        <f>G67+F67</f>
        <v>4120.9323601835522</v>
      </c>
      <c r="J17" s="572">
        <f>H67+D67+C67</f>
        <v>219.63210930648603</v>
      </c>
      <c r="K17" s="572"/>
      <c r="L17" s="572"/>
      <c r="M17" s="572"/>
      <c r="N17" s="918"/>
      <c r="O17" s="575">
        <f>C17*$C$22+E17*$E$22+H17*$H$22+I17*$I$22+J17*$J$22+D17*$D$22+F17*$F$22+G17*$G$22+K17*$K$22+L17*$L$22</f>
        <v>53264.077214714889</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227444.78571428571</v>
      </c>
      <c r="C20" s="554">
        <f>SUM(C17:C19)</f>
        <v>261867.89225078488</v>
      </c>
      <c r="D20" s="554">
        <f t="shared" ref="D20:L20" si="1">SUM(D17:D19)</f>
        <v>0</v>
      </c>
      <c r="E20" s="554">
        <f t="shared" si="1"/>
        <v>1373.6441200611841</v>
      </c>
      <c r="F20" s="554">
        <f t="shared" si="1"/>
        <v>0</v>
      </c>
      <c r="G20" s="554">
        <f t="shared" si="1"/>
        <v>0</v>
      </c>
      <c r="H20" s="554">
        <f t="shared" si="1"/>
        <v>0</v>
      </c>
      <c r="I20" s="554">
        <f t="shared" si="1"/>
        <v>4120.9323601835522</v>
      </c>
      <c r="J20" s="554">
        <f t="shared" si="1"/>
        <v>219.63210930648603</v>
      </c>
      <c r="K20" s="554">
        <f t="shared" si="1"/>
        <v>0</v>
      </c>
      <c r="L20" s="554">
        <f t="shared" si="1"/>
        <v>0</v>
      </c>
      <c r="M20" s="554"/>
      <c r="N20" s="554"/>
      <c r="O20" s="580">
        <f>SUM(O17:O19)</f>
        <v>53264.077214714889</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13014</v>
      </c>
      <c r="C28" s="746">
        <v>2321</v>
      </c>
      <c r="D28" s="632"/>
      <c r="E28" s="631"/>
      <c r="F28" s="631"/>
      <c r="G28" s="631" t="s">
        <v>861</v>
      </c>
      <c r="H28" s="631" t="s">
        <v>862</v>
      </c>
      <c r="I28" s="631"/>
      <c r="J28" s="745"/>
      <c r="K28" s="745"/>
      <c r="L28" s="631" t="s">
        <v>863</v>
      </c>
      <c r="M28" s="631">
        <v>5774</v>
      </c>
      <c r="N28" s="631">
        <v>25983</v>
      </c>
      <c r="O28" s="631">
        <v>37118.571428571428</v>
      </c>
      <c r="P28" s="631">
        <v>74237.142857142855</v>
      </c>
      <c r="Q28" s="631">
        <v>0</v>
      </c>
      <c r="R28" s="631">
        <v>0</v>
      </c>
      <c r="S28" s="631">
        <v>0</v>
      </c>
      <c r="T28" s="631">
        <v>0</v>
      </c>
      <c r="U28" s="631">
        <v>0</v>
      </c>
      <c r="V28" s="631">
        <v>0</v>
      </c>
      <c r="W28" s="631">
        <v>0</v>
      </c>
      <c r="X28" s="631"/>
      <c r="Y28" s="631">
        <v>10</v>
      </c>
      <c r="Z28" s="631" t="s">
        <v>105</v>
      </c>
      <c r="AA28" s="633" t="s">
        <v>105</v>
      </c>
    </row>
    <row r="29" spans="1:27" s="585" customFormat="1" ht="63.75" hidden="1">
      <c r="A29" s="584"/>
      <c r="B29" s="746">
        <v>13014</v>
      </c>
      <c r="C29" s="746">
        <v>2321</v>
      </c>
      <c r="D29" s="632"/>
      <c r="E29" s="631"/>
      <c r="F29" s="631"/>
      <c r="G29" s="631" t="s">
        <v>861</v>
      </c>
      <c r="H29" s="631" t="s">
        <v>862</v>
      </c>
      <c r="I29" s="631"/>
      <c r="J29" s="745"/>
      <c r="K29" s="745"/>
      <c r="L29" s="631" t="s">
        <v>863</v>
      </c>
      <c r="M29" s="631">
        <v>2000</v>
      </c>
      <c r="N29" s="631">
        <v>9000</v>
      </c>
      <c r="O29" s="631">
        <v>12857.142857142857</v>
      </c>
      <c r="P29" s="631">
        <v>25714.285714285717</v>
      </c>
      <c r="Q29" s="631">
        <v>0</v>
      </c>
      <c r="R29" s="631">
        <v>0</v>
      </c>
      <c r="S29" s="631">
        <v>0</v>
      </c>
      <c r="T29" s="631">
        <v>0</v>
      </c>
      <c r="U29" s="631">
        <v>0</v>
      </c>
      <c r="V29" s="631">
        <v>0</v>
      </c>
      <c r="W29" s="631">
        <v>0</v>
      </c>
      <c r="X29" s="631"/>
      <c r="Y29" s="631">
        <v>1600</v>
      </c>
      <c r="Z29" s="631" t="s">
        <v>49</v>
      </c>
      <c r="AA29" s="633" t="s">
        <v>149</v>
      </c>
    </row>
    <row r="30" spans="1:27" s="585" customFormat="1" ht="25.5" hidden="1">
      <c r="A30" s="584"/>
      <c r="B30" s="746">
        <v>13014</v>
      </c>
      <c r="C30" s="746">
        <v>2321</v>
      </c>
      <c r="D30" s="632"/>
      <c r="E30" s="631"/>
      <c r="F30" s="631"/>
      <c r="G30" s="631" t="s">
        <v>861</v>
      </c>
      <c r="H30" s="631" t="s">
        <v>862</v>
      </c>
      <c r="I30" s="631"/>
      <c r="J30" s="745"/>
      <c r="K30" s="745"/>
      <c r="L30" s="631" t="s">
        <v>863</v>
      </c>
      <c r="M30" s="631">
        <v>2028</v>
      </c>
      <c r="N30" s="631">
        <v>9126</v>
      </c>
      <c r="O30" s="631">
        <v>13037.142857142857</v>
      </c>
      <c r="P30" s="631">
        <v>26074.285714285717</v>
      </c>
      <c r="Q30" s="631">
        <v>0</v>
      </c>
      <c r="R30" s="631">
        <v>0</v>
      </c>
      <c r="S30" s="631">
        <v>0</v>
      </c>
      <c r="T30" s="631">
        <v>0</v>
      </c>
      <c r="U30" s="631">
        <v>0</v>
      </c>
      <c r="V30" s="631">
        <v>0</v>
      </c>
      <c r="W30" s="631">
        <v>0</v>
      </c>
      <c r="X30" s="631"/>
      <c r="Y30" s="631">
        <v>10</v>
      </c>
      <c r="Z30" s="631" t="s">
        <v>105</v>
      </c>
      <c r="AA30" s="633" t="s">
        <v>105</v>
      </c>
    </row>
    <row r="31" spans="1:27" s="585" customFormat="1" ht="25.5" hidden="1">
      <c r="A31" s="584"/>
      <c r="B31" s="746">
        <v>13014</v>
      </c>
      <c r="C31" s="746">
        <v>2321</v>
      </c>
      <c r="D31" s="632"/>
      <c r="E31" s="631"/>
      <c r="F31" s="631"/>
      <c r="G31" s="631" t="s">
        <v>861</v>
      </c>
      <c r="H31" s="631" t="s">
        <v>862</v>
      </c>
      <c r="I31" s="631"/>
      <c r="J31" s="745"/>
      <c r="K31" s="745"/>
      <c r="L31" s="631" t="s">
        <v>863</v>
      </c>
      <c r="M31" s="631">
        <v>1556</v>
      </c>
      <c r="N31" s="631">
        <v>7002</v>
      </c>
      <c r="O31" s="631">
        <v>10002.857142857143</v>
      </c>
      <c r="P31" s="631">
        <v>20005.714285714286</v>
      </c>
      <c r="Q31" s="631">
        <v>0</v>
      </c>
      <c r="R31" s="631">
        <v>0</v>
      </c>
      <c r="S31" s="631">
        <v>0</v>
      </c>
      <c r="T31" s="631">
        <v>0</v>
      </c>
      <c r="U31" s="631">
        <v>0</v>
      </c>
      <c r="V31" s="631">
        <v>0</v>
      </c>
      <c r="W31" s="631">
        <v>0</v>
      </c>
      <c r="X31" s="631"/>
      <c r="Y31" s="631">
        <v>10</v>
      </c>
      <c r="Z31" s="631" t="s">
        <v>105</v>
      </c>
      <c r="AA31" s="633" t="s">
        <v>105</v>
      </c>
    </row>
    <row r="32" spans="1:27" s="585" customFormat="1" ht="25.5" hidden="1">
      <c r="A32" s="584"/>
      <c r="B32" s="746">
        <v>13014</v>
      </c>
      <c r="C32" s="746">
        <v>2321</v>
      </c>
      <c r="D32" s="632"/>
      <c r="E32" s="631"/>
      <c r="F32" s="631"/>
      <c r="G32" s="631" t="s">
        <v>861</v>
      </c>
      <c r="H32" s="631" t="s">
        <v>862</v>
      </c>
      <c r="I32" s="631"/>
      <c r="J32" s="745"/>
      <c r="K32" s="745"/>
      <c r="L32" s="631" t="s">
        <v>863</v>
      </c>
      <c r="M32" s="631">
        <v>1998</v>
      </c>
      <c r="N32" s="631">
        <v>8991</v>
      </c>
      <c r="O32" s="631">
        <v>12844.285714285714</v>
      </c>
      <c r="P32" s="631">
        <v>25688.571428571431</v>
      </c>
      <c r="Q32" s="631">
        <v>0</v>
      </c>
      <c r="R32" s="631">
        <v>0</v>
      </c>
      <c r="S32" s="631">
        <v>0</v>
      </c>
      <c r="T32" s="631">
        <v>0</v>
      </c>
      <c r="U32" s="631">
        <v>0</v>
      </c>
      <c r="V32" s="631">
        <v>0</v>
      </c>
      <c r="W32" s="631">
        <v>0</v>
      </c>
      <c r="X32" s="631"/>
      <c r="Y32" s="631">
        <v>10</v>
      </c>
      <c r="Z32" s="631" t="s">
        <v>105</v>
      </c>
      <c r="AA32" s="633" t="s">
        <v>105</v>
      </c>
    </row>
    <row r="33" spans="1:27" s="585" customFormat="1" ht="25.5" hidden="1">
      <c r="A33" s="584"/>
      <c r="B33" s="746">
        <v>13014</v>
      </c>
      <c r="C33" s="746">
        <v>2320</v>
      </c>
      <c r="D33" s="632"/>
      <c r="E33" s="631"/>
      <c r="F33" s="631"/>
      <c r="G33" s="631" t="s">
        <v>861</v>
      </c>
      <c r="H33" s="631" t="s">
        <v>862</v>
      </c>
      <c r="I33" s="631"/>
      <c r="J33" s="745"/>
      <c r="K33" s="745"/>
      <c r="L33" s="631" t="s">
        <v>863</v>
      </c>
      <c r="M33" s="631">
        <v>122</v>
      </c>
      <c r="N33" s="631">
        <v>549</v>
      </c>
      <c r="O33" s="631">
        <v>784.28571428571433</v>
      </c>
      <c r="P33" s="631">
        <v>1568.5714285714287</v>
      </c>
      <c r="Q33" s="631">
        <v>0</v>
      </c>
      <c r="R33" s="631">
        <v>0</v>
      </c>
      <c r="S33" s="631">
        <v>0</v>
      </c>
      <c r="T33" s="631">
        <v>0</v>
      </c>
      <c r="U33" s="631">
        <v>0</v>
      </c>
      <c r="V33" s="631">
        <v>0</v>
      </c>
      <c r="W33" s="631">
        <v>0</v>
      </c>
      <c r="X33" s="631"/>
      <c r="Y33" s="631">
        <v>400</v>
      </c>
      <c r="Z33" s="631" t="s">
        <v>36</v>
      </c>
      <c r="AA33" s="633" t="s">
        <v>373</v>
      </c>
    </row>
    <row r="34" spans="1:27" s="585" customFormat="1" ht="38.25" hidden="1">
      <c r="A34" s="584"/>
      <c r="B34" s="746">
        <v>13014</v>
      </c>
      <c r="C34" s="746">
        <v>2328</v>
      </c>
      <c r="D34" s="632"/>
      <c r="E34" s="631"/>
      <c r="F34" s="631"/>
      <c r="G34" s="631" t="s">
        <v>861</v>
      </c>
      <c r="H34" s="631" t="s">
        <v>864</v>
      </c>
      <c r="I34" s="631"/>
      <c r="J34" s="745"/>
      <c r="K34" s="745"/>
      <c r="L34" s="631" t="s">
        <v>865</v>
      </c>
      <c r="M34" s="631">
        <v>832</v>
      </c>
      <c r="N34" s="631">
        <v>3744</v>
      </c>
      <c r="O34" s="631">
        <v>4212</v>
      </c>
      <c r="P34" s="631">
        <v>0</v>
      </c>
      <c r="Q34" s="631">
        <v>0</v>
      </c>
      <c r="R34" s="631">
        <v>0</v>
      </c>
      <c r="S34" s="631">
        <v>2340</v>
      </c>
      <c r="T34" s="631">
        <v>7020</v>
      </c>
      <c r="U34" s="631">
        <v>0</v>
      </c>
      <c r="V34" s="631">
        <v>0</v>
      </c>
      <c r="W34" s="631">
        <v>0</v>
      </c>
      <c r="X34" s="631"/>
      <c r="Y34" s="631">
        <v>10</v>
      </c>
      <c r="Z34" s="631" t="s">
        <v>105</v>
      </c>
      <c r="AA34" s="633" t="s">
        <v>105</v>
      </c>
    </row>
    <row r="35" spans="1:27" s="585" customFormat="1" ht="25.5" hidden="1">
      <c r="A35" s="584"/>
      <c r="B35" s="746">
        <v>13014</v>
      </c>
      <c r="C35" s="746">
        <v>2321</v>
      </c>
      <c r="D35" s="632"/>
      <c r="E35" s="631"/>
      <c r="F35" s="631"/>
      <c r="G35" s="631" t="s">
        <v>861</v>
      </c>
      <c r="H35" s="631" t="s">
        <v>862</v>
      </c>
      <c r="I35" s="631"/>
      <c r="J35" s="745"/>
      <c r="K35" s="745"/>
      <c r="L35" s="631" t="s">
        <v>863</v>
      </c>
      <c r="M35" s="631">
        <v>404</v>
      </c>
      <c r="N35" s="631">
        <v>1818.0000000000002</v>
      </c>
      <c r="O35" s="631">
        <v>2597.1428571428573</v>
      </c>
      <c r="P35" s="631">
        <v>5194.2857142857156</v>
      </c>
      <c r="Q35" s="631">
        <v>0</v>
      </c>
      <c r="R35" s="631">
        <v>0</v>
      </c>
      <c r="S35" s="631">
        <v>0</v>
      </c>
      <c r="T35" s="631">
        <v>0</v>
      </c>
      <c r="U35" s="631">
        <v>0</v>
      </c>
      <c r="V35" s="631">
        <v>0</v>
      </c>
      <c r="W35" s="631">
        <v>0</v>
      </c>
      <c r="X35" s="631"/>
      <c r="Y35" s="631">
        <v>10</v>
      </c>
      <c r="Z35" s="631" t="s">
        <v>105</v>
      </c>
      <c r="AA35" s="633" t="s">
        <v>105</v>
      </c>
    </row>
    <row r="36" spans="1:27" s="585" customFormat="1" ht="25.5" hidden="1">
      <c r="A36" s="584"/>
      <c r="B36" s="746">
        <v>13014</v>
      </c>
      <c r="C36" s="746">
        <v>2322</v>
      </c>
      <c r="D36" s="632"/>
      <c r="E36" s="631"/>
      <c r="F36" s="631"/>
      <c r="G36" s="631" t="s">
        <v>861</v>
      </c>
      <c r="H36" s="631" t="s">
        <v>862</v>
      </c>
      <c r="I36" s="631"/>
      <c r="J36" s="745"/>
      <c r="K36" s="745"/>
      <c r="L36" s="631" t="s">
        <v>863</v>
      </c>
      <c r="M36" s="631">
        <v>9.6999999999999993</v>
      </c>
      <c r="N36" s="631">
        <v>43.649999999999991</v>
      </c>
      <c r="O36" s="631">
        <v>62.357142857142847</v>
      </c>
      <c r="P36" s="631">
        <v>0</v>
      </c>
      <c r="Q36" s="631">
        <v>124.71428571428569</v>
      </c>
      <c r="R36" s="631">
        <v>0</v>
      </c>
      <c r="S36" s="631">
        <v>0</v>
      </c>
      <c r="T36" s="631">
        <v>0</v>
      </c>
      <c r="U36" s="631">
        <v>0</v>
      </c>
      <c r="V36" s="631">
        <v>0</v>
      </c>
      <c r="W36" s="631">
        <v>0</v>
      </c>
      <c r="X36" s="631"/>
      <c r="Y36" s="631">
        <v>10</v>
      </c>
      <c r="Z36" s="631" t="s">
        <v>105</v>
      </c>
      <c r="AA36" s="633" t="s">
        <v>105</v>
      </c>
    </row>
    <row r="37" spans="1:27" s="585" customFormat="1" ht="25.5" hidden="1">
      <c r="A37" s="584"/>
      <c r="B37" s="746">
        <v>13014</v>
      </c>
      <c r="C37" s="746">
        <v>2322</v>
      </c>
      <c r="D37" s="632"/>
      <c r="E37" s="631"/>
      <c r="F37" s="631"/>
      <c r="G37" s="631" t="s">
        <v>861</v>
      </c>
      <c r="H37" s="631" t="s">
        <v>862</v>
      </c>
      <c r="I37" s="631"/>
      <c r="J37" s="745"/>
      <c r="K37" s="745"/>
      <c r="L37" s="631" t="s">
        <v>863</v>
      </c>
      <c r="M37" s="631">
        <v>19.399999999999999</v>
      </c>
      <c r="N37" s="631">
        <v>87.299999999999983</v>
      </c>
      <c r="O37" s="631">
        <v>124.71428571428569</v>
      </c>
      <c r="P37" s="631">
        <v>0</v>
      </c>
      <c r="Q37" s="631">
        <v>249.42857142857139</v>
      </c>
      <c r="R37" s="631">
        <v>0</v>
      </c>
      <c r="S37" s="631">
        <v>0</v>
      </c>
      <c r="T37" s="631">
        <v>0</v>
      </c>
      <c r="U37" s="631">
        <v>0</v>
      </c>
      <c r="V37" s="631">
        <v>0</v>
      </c>
      <c r="W37" s="631">
        <v>0</v>
      </c>
      <c r="X37" s="631"/>
      <c r="Y37" s="631">
        <v>10</v>
      </c>
      <c r="Z37" s="631" t="s">
        <v>105</v>
      </c>
      <c r="AA37" s="633" t="s">
        <v>105</v>
      </c>
    </row>
    <row r="38" spans="1:27" s="585" customFormat="1" ht="25.5" hidden="1">
      <c r="A38" s="584"/>
      <c r="B38" s="746">
        <v>13014</v>
      </c>
      <c r="C38" s="746">
        <v>2321</v>
      </c>
      <c r="D38" s="632"/>
      <c r="E38" s="631"/>
      <c r="F38" s="631"/>
      <c r="G38" s="631" t="s">
        <v>861</v>
      </c>
      <c r="H38" s="631" t="s">
        <v>862</v>
      </c>
      <c r="I38" s="631"/>
      <c r="J38" s="745"/>
      <c r="K38" s="745"/>
      <c r="L38" s="631" t="s">
        <v>863</v>
      </c>
      <c r="M38" s="631">
        <v>2000</v>
      </c>
      <c r="N38" s="631">
        <v>9000</v>
      </c>
      <c r="O38" s="631">
        <v>12857.142857142857</v>
      </c>
      <c r="P38" s="631">
        <v>25714.285714285717</v>
      </c>
      <c r="Q38" s="631">
        <v>0</v>
      </c>
      <c r="R38" s="631">
        <v>0</v>
      </c>
      <c r="S38" s="631">
        <v>0</v>
      </c>
      <c r="T38" s="631">
        <v>0</v>
      </c>
      <c r="U38" s="631">
        <v>0</v>
      </c>
      <c r="V38" s="631">
        <v>0</v>
      </c>
      <c r="W38" s="631">
        <v>0</v>
      </c>
      <c r="X38" s="631"/>
      <c r="Y38" s="631">
        <v>10</v>
      </c>
      <c r="Z38" s="631" t="s">
        <v>105</v>
      </c>
      <c r="AA38" s="633" t="s">
        <v>105</v>
      </c>
    </row>
    <row r="39" spans="1:27" s="585" customFormat="1" ht="25.5" hidden="1">
      <c r="A39" s="584"/>
      <c r="B39" s="746">
        <v>13014</v>
      </c>
      <c r="C39" s="746">
        <v>2321</v>
      </c>
      <c r="D39" s="632"/>
      <c r="E39" s="631"/>
      <c r="F39" s="631"/>
      <c r="G39" s="631" t="s">
        <v>861</v>
      </c>
      <c r="H39" s="631" t="s">
        <v>862</v>
      </c>
      <c r="I39" s="631"/>
      <c r="J39" s="745"/>
      <c r="K39" s="745"/>
      <c r="L39" s="631" t="s">
        <v>863</v>
      </c>
      <c r="M39" s="631">
        <v>1560</v>
      </c>
      <c r="N39" s="631">
        <v>7020</v>
      </c>
      <c r="O39" s="631">
        <v>10028.571428571429</v>
      </c>
      <c r="P39" s="631">
        <v>20057.142857142859</v>
      </c>
      <c r="Q39" s="631">
        <v>0</v>
      </c>
      <c r="R39" s="631">
        <v>0</v>
      </c>
      <c r="S39" s="631">
        <v>0</v>
      </c>
      <c r="T39" s="631">
        <v>0</v>
      </c>
      <c r="U39" s="631">
        <v>0</v>
      </c>
      <c r="V39" s="631">
        <v>0</v>
      </c>
      <c r="W39" s="631">
        <v>0</v>
      </c>
      <c r="X39" s="631"/>
      <c r="Y39" s="631">
        <v>10</v>
      </c>
      <c r="Z39" s="631" t="s">
        <v>105</v>
      </c>
      <c r="AA39" s="633" t="s">
        <v>105</v>
      </c>
    </row>
    <row r="40" spans="1:27" s="585" customFormat="1" ht="25.5" hidden="1">
      <c r="A40" s="584"/>
      <c r="B40" s="746">
        <v>13014</v>
      </c>
      <c r="C40" s="746">
        <v>2328</v>
      </c>
      <c r="D40" s="632"/>
      <c r="E40" s="631"/>
      <c r="F40" s="631"/>
      <c r="G40" s="631" t="s">
        <v>861</v>
      </c>
      <c r="H40" s="631" t="s">
        <v>862</v>
      </c>
      <c r="I40" s="631"/>
      <c r="J40" s="745"/>
      <c r="K40" s="745"/>
      <c r="L40" s="631" t="s">
        <v>863</v>
      </c>
      <c r="M40" s="631">
        <v>609</v>
      </c>
      <c r="N40" s="631">
        <v>2740.5</v>
      </c>
      <c r="O40" s="631">
        <v>3915</v>
      </c>
      <c r="P40" s="631">
        <v>7830.0000000000009</v>
      </c>
      <c r="Q40" s="631">
        <v>0</v>
      </c>
      <c r="R40" s="631">
        <v>0</v>
      </c>
      <c r="S40" s="631">
        <v>0</v>
      </c>
      <c r="T40" s="631">
        <v>0</v>
      </c>
      <c r="U40" s="631">
        <v>0</v>
      </c>
      <c r="V40" s="631">
        <v>0</v>
      </c>
      <c r="W40" s="631">
        <v>0</v>
      </c>
      <c r="X40" s="631"/>
      <c r="Y40" s="631">
        <v>10</v>
      </c>
      <c r="Z40" s="631" t="s">
        <v>105</v>
      </c>
      <c r="AA40" s="633" t="s">
        <v>105</v>
      </c>
    </row>
    <row r="41" spans="1:27" s="585" customFormat="1" ht="25.5" hidden="1">
      <c r="A41" s="584"/>
      <c r="B41" s="746">
        <v>13014</v>
      </c>
      <c r="C41" s="746">
        <v>2328</v>
      </c>
      <c r="D41" s="632"/>
      <c r="E41" s="631"/>
      <c r="F41" s="631"/>
      <c r="G41" s="631" t="s">
        <v>861</v>
      </c>
      <c r="H41" s="631" t="s">
        <v>862</v>
      </c>
      <c r="I41" s="631"/>
      <c r="J41" s="745"/>
      <c r="K41" s="745"/>
      <c r="L41" s="631" t="s">
        <v>863</v>
      </c>
      <c r="M41" s="631">
        <v>772</v>
      </c>
      <c r="N41" s="631">
        <v>3474</v>
      </c>
      <c r="O41" s="631">
        <v>4962.8571428571431</v>
      </c>
      <c r="P41" s="631">
        <v>9925.7142857142862</v>
      </c>
      <c r="Q41" s="631">
        <v>0</v>
      </c>
      <c r="R41" s="631">
        <v>0</v>
      </c>
      <c r="S41" s="631">
        <v>0</v>
      </c>
      <c r="T41" s="631">
        <v>0</v>
      </c>
      <c r="U41" s="631">
        <v>0</v>
      </c>
      <c r="V41" s="631">
        <v>0</v>
      </c>
      <c r="W41" s="631">
        <v>0</v>
      </c>
      <c r="X41" s="631"/>
      <c r="Y41" s="631">
        <v>10</v>
      </c>
      <c r="Z41" s="631" t="s">
        <v>105</v>
      </c>
      <c r="AA41" s="633" t="s">
        <v>105</v>
      </c>
    </row>
    <row r="42" spans="1:27" s="585" customFormat="1" ht="25.5" hidden="1">
      <c r="A42" s="584"/>
      <c r="B42" s="746">
        <v>13014</v>
      </c>
      <c r="C42" s="746">
        <v>2321</v>
      </c>
      <c r="D42" s="632"/>
      <c r="E42" s="631"/>
      <c r="F42" s="631"/>
      <c r="G42" s="631" t="s">
        <v>861</v>
      </c>
      <c r="H42" s="631" t="s">
        <v>862</v>
      </c>
      <c r="I42" s="631"/>
      <c r="J42" s="745"/>
      <c r="K42" s="745"/>
      <c r="L42" s="631" t="s">
        <v>863</v>
      </c>
      <c r="M42" s="631">
        <v>2679</v>
      </c>
      <c r="N42" s="631">
        <v>12055.5</v>
      </c>
      <c r="O42" s="631">
        <v>17222.142857142859</v>
      </c>
      <c r="P42" s="631">
        <v>34444.285714285717</v>
      </c>
      <c r="Q42" s="631">
        <v>0</v>
      </c>
      <c r="R42" s="631">
        <v>0</v>
      </c>
      <c r="S42" s="631">
        <v>0</v>
      </c>
      <c r="T42" s="631">
        <v>0</v>
      </c>
      <c r="U42" s="631">
        <v>0</v>
      </c>
      <c r="V42" s="631">
        <v>0</v>
      </c>
      <c r="W42" s="631">
        <v>0</v>
      </c>
      <c r="X42" s="631"/>
      <c r="Y42" s="631">
        <v>10</v>
      </c>
      <c r="Z42" s="631" t="s">
        <v>105</v>
      </c>
      <c r="AA42" s="633" t="s">
        <v>105</v>
      </c>
    </row>
    <row r="43" spans="1:27" s="585" customFormat="1" ht="25.5" hidden="1">
      <c r="A43" s="584"/>
      <c r="B43" s="746">
        <v>13014</v>
      </c>
      <c r="C43" s="746">
        <v>2320</v>
      </c>
      <c r="D43" s="632"/>
      <c r="E43" s="631"/>
      <c r="F43" s="631"/>
      <c r="G43" s="631" t="s">
        <v>861</v>
      </c>
      <c r="H43" s="631" t="s">
        <v>862</v>
      </c>
      <c r="I43" s="631"/>
      <c r="J43" s="745"/>
      <c r="K43" s="745"/>
      <c r="L43" s="631" t="s">
        <v>863</v>
      </c>
      <c r="M43" s="631">
        <v>2004</v>
      </c>
      <c r="N43" s="631">
        <v>9018</v>
      </c>
      <c r="O43" s="631">
        <v>12882.857142857143</v>
      </c>
      <c r="P43" s="631">
        <v>25765.714285714286</v>
      </c>
      <c r="Q43" s="631">
        <v>0</v>
      </c>
      <c r="R43" s="631">
        <v>0</v>
      </c>
      <c r="S43" s="631">
        <v>0</v>
      </c>
      <c r="T43" s="631">
        <v>0</v>
      </c>
      <c r="U43" s="631">
        <v>0</v>
      </c>
      <c r="V43" s="631">
        <v>0</v>
      </c>
      <c r="W43" s="631">
        <v>0</v>
      </c>
      <c r="X43" s="631"/>
      <c r="Y43" s="631">
        <v>10</v>
      </c>
      <c r="Z43" s="631" t="s">
        <v>105</v>
      </c>
      <c r="AA43" s="633" t="s">
        <v>105</v>
      </c>
    </row>
    <row r="44" spans="1:27" s="585" customFormat="1" ht="25.5" hidden="1">
      <c r="A44" s="584"/>
      <c r="B44" s="746">
        <v>13014</v>
      </c>
      <c r="C44" s="746">
        <v>2321</v>
      </c>
      <c r="D44" s="632"/>
      <c r="E44" s="631"/>
      <c r="F44" s="631"/>
      <c r="G44" s="631" t="s">
        <v>866</v>
      </c>
      <c r="H44" s="631" t="s">
        <v>862</v>
      </c>
      <c r="I44" s="631"/>
      <c r="J44" s="745"/>
      <c r="K44" s="745"/>
      <c r="L44" s="631" t="s">
        <v>867</v>
      </c>
      <c r="M44" s="631">
        <v>4995</v>
      </c>
      <c r="N44" s="631">
        <v>22477.5</v>
      </c>
      <c r="O44" s="631">
        <v>32110.714285714286</v>
      </c>
      <c r="P44" s="631">
        <v>64221.428571428572</v>
      </c>
      <c r="Q44" s="631">
        <v>0</v>
      </c>
      <c r="R44" s="631">
        <v>0</v>
      </c>
      <c r="S44" s="631">
        <v>0</v>
      </c>
      <c r="T44" s="631">
        <v>0</v>
      </c>
      <c r="U44" s="631">
        <v>0</v>
      </c>
      <c r="V44" s="631">
        <v>0</v>
      </c>
      <c r="W44" s="631">
        <v>0</v>
      </c>
      <c r="X44" s="631"/>
      <c r="Y44" s="631">
        <v>10</v>
      </c>
      <c r="Z44" s="631" t="s">
        <v>105</v>
      </c>
      <c r="AA44" s="633" t="s">
        <v>105</v>
      </c>
    </row>
    <row r="45" spans="1:27" s="585" customFormat="1" ht="25.5" hidden="1">
      <c r="A45" s="584"/>
      <c r="B45" s="746">
        <v>13014</v>
      </c>
      <c r="C45" s="746">
        <v>2321</v>
      </c>
      <c r="D45" s="632"/>
      <c r="E45" s="631"/>
      <c r="F45" s="631"/>
      <c r="G45" s="631" t="s">
        <v>866</v>
      </c>
      <c r="H45" s="631" t="s">
        <v>862</v>
      </c>
      <c r="I45" s="631"/>
      <c r="J45" s="745"/>
      <c r="K45" s="745"/>
      <c r="L45" s="631" t="s">
        <v>867</v>
      </c>
      <c r="M45" s="631">
        <v>4995</v>
      </c>
      <c r="N45" s="631">
        <v>22477.5</v>
      </c>
      <c r="O45" s="631">
        <v>32110.714285714286</v>
      </c>
      <c r="P45" s="631">
        <v>64221.428571428572</v>
      </c>
      <c r="Q45" s="631">
        <v>0</v>
      </c>
      <c r="R45" s="631">
        <v>0</v>
      </c>
      <c r="S45" s="631">
        <v>0</v>
      </c>
      <c r="T45" s="631">
        <v>0</v>
      </c>
      <c r="U45" s="631">
        <v>0</v>
      </c>
      <c r="V45" s="631">
        <v>0</v>
      </c>
      <c r="W45" s="631">
        <v>0</v>
      </c>
      <c r="X45" s="631"/>
      <c r="Y45" s="631">
        <v>10</v>
      </c>
      <c r="Z45" s="631" t="s">
        <v>105</v>
      </c>
      <c r="AA45" s="633" t="s">
        <v>105</v>
      </c>
    </row>
    <row r="46" spans="1:27" s="585" customFormat="1" ht="25.5" hidden="1">
      <c r="A46" s="584"/>
      <c r="B46" s="746">
        <v>13014</v>
      </c>
      <c r="C46" s="746">
        <v>2328</v>
      </c>
      <c r="D46" s="632"/>
      <c r="E46" s="631"/>
      <c r="F46" s="631"/>
      <c r="G46" s="631" t="s">
        <v>866</v>
      </c>
      <c r="H46" s="631" t="s">
        <v>862</v>
      </c>
      <c r="I46" s="631"/>
      <c r="J46" s="745"/>
      <c r="K46" s="745"/>
      <c r="L46" s="631" t="s">
        <v>867</v>
      </c>
      <c r="M46" s="631">
        <v>1200</v>
      </c>
      <c r="N46" s="631">
        <v>5400</v>
      </c>
      <c r="O46" s="631">
        <v>7714.2857142857147</v>
      </c>
      <c r="P46" s="631">
        <v>15428.571428571429</v>
      </c>
      <c r="Q46" s="631">
        <v>0</v>
      </c>
      <c r="R46" s="631">
        <v>0</v>
      </c>
      <c r="S46" s="631">
        <v>0</v>
      </c>
      <c r="T46" s="631">
        <v>0</v>
      </c>
      <c r="U46" s="631">
        <v>0</v>
      </c>
      <c r="V46" s="631">
        <v>0</v>
      </c>
      <c r="W46" s="631">
        <v>0</v>
      </c>
      <c r="X46" s="631"/>
      <c r="Y46" s="631">
        <v>10</v>
      </c>
      <c r="Z46" s="631" t="s">
        <v>105</v>
      </c>
      <c r="AA46" s="633" t="s">
        <v>105</v>
      </c>
    </row>
    <row r="47" spans="1:27" s="565" customFormat="1" hidden="1">
      <c r="A47" s="587" t="s">
        <v>269</v>
      </c>
      <c r="B47" s="588"/>
      <c r="C47" s="588"/>
      <c r="D47" s="588"/>
      <c r="E47" s="588"/>
      <c r="F47" s="588"/>
      <c r="G47" s="588"/>
      <c r="H47" s="588"/>
      <c r="I47" s="588"/>
      <c r="J47" s="588"/>
      <c r="K47" s="588"/>
      <c r="L47" s="589"/>
      <c r="M47" s="589">
        <f>SUM(M28:M46)</f>
        <v>35557.1</v>
      </c>
      <c r="N47" s="589">
        <f>SUM(N28:N46)</f>
        <v>160006.95000000001</v>
      </c>
      <c r="O47" s="589">
        <f>SUM(O28:O46)</f>
        <v>227444.78571428571</v>
      </c>
      <c r="P47" s="589">
        <f>SUM(P28:P46)</f>
        <v>446091.42857142858</v>
      </c>
      <c r="Q47" s="589">
        <f>SUM(Q28:Q46)</f>
        <v>374.14285714285711</v>
      </c>
      <c r="R47" s="589">
        <f>SUM(R28:R46)</f>
        <v>0</v>
      </c>
      <c r="S47" s="589">
        <f>SUM(S28:S46)</f>
        <v>2340</v>
      </c>
      <c r="T47" s="589">
        <f>SUM(T28:T46)</f>
        <v>7020</v>
      </c>
      <c r="U47" s="589">
        <f>SUM(U28:U46)</f>
        <v>0</v>
      </c>
      <c r="V47" s="589">
        <f>SUM(V28:V46)</f>
        <v>0</v>
      </c>
      <c r="W47" s="589">
        <f>SUM(W28:W46)</f>
        <v>0</v>
      </c>
      <c r="X47" s="589"/>
      <c r="Y47" s="590"/>
      <c r="Z47" s="590"/>
      <c r="AA47" s="591"/>
    </row>
    <row r="48" spans="1:27" s="565" customFormat="1">
      <c r="A48" s="587" t="s">
        <v>276</v>
      </c>
      <c r="B48" s="588"/>
      <c r="C48" s="588"/>
      <c r="D48" s="588"/>
      <c r="E48" s="588"/>
      <c r="F48" s="588"/>
      <c r="G48" s="588"/>
      <c r="H48" s="588"/>
      <c r="I48" s="588"/>
      <c r="J48" s="588"/>
      <c r="K48" s="588"/>
      <c r="L48" s="589"/>
      <c r="M48" s="589">
        <f>SUMIF($AA$28:$AA$46,"industrie",M28:M46)</f>
        <v>122</v>
      </c>
      <c r="N48" s="589">
        <f>SUMIF($AA$28:$AA$46,"industrie",N28:N46)</f>
        <v>549</v>
      </c>
      <c r="O48" s="589">
        <f>SUMIF($AA$28:$AA$46,"industrie",O28:O46)</f>
        <v>784.28571428571433</v>
      </c>
      <c r="P48" s="589">
        <f>SUMIF($AA$28:$AA$46,"industrie",P28:P46)</f>
        <v>1568.5714285714287</v>
      </c>
      <c r="Q48" s="589">
        <f>SUMIF($AA$28:$AA$46,"industrie",Q28:Q46)</f>
        <v>0</v>
      </c>
      <c r="R48" s="589">
        <f>SUMIF($AA$28:$AA$46,"industrie",R28:R46)</f>
        <v>0</v>
      </c>
      <c r="S48" s="589">
        <f>SUMIF($AA$28:$AA$46,"industrie",S28:S46)</f>
        <v>0</v>
      </c>
      <c r="T48" s="589">
        <f>SUMIF($AA$28:$AA$46,"industrie",T28:T46)</f>
        <v>0</v>
      </c>
      <c r="U48" s="589">
        <f>SUMIF($AA$28:$AA$46,"industrie",U28:U46)</f>
        <v>0</v>
      </c>
      <c r="V48" s="589">
        <f>SUMIF($AA$28:$AA$46,"industrie",V28:V46)</f>
        <v>0</v>
      </c>
      <c r="W48" s="589">
        <f>SUMIF($AA$28:$AA$46,"industrie",W28:W46)</f>
        <v>0</v>
      </c>
      <c r="X48" s="589"/>
      <c r="Y48" s="590"/>
      <c r="Z48" s="590"/>
      <c r="AA48" s="591"/>
    </row>
    <row r="49" spans="1:28" s="565" customFormat="1">
      <c r="A49" s="587" t="s">
        <v>277</v>
      </c>
      <c r="B49" s="588"/>
      <c r="C49" s="588"/>
      <c r="D49" s="588"/>
      <c r="E49" s="588"/>
      <c r="F49" s="588"/>
      <c r="G49" s="588"/>
      <c r="H49" s="588"/>
      <c r="I49" s="588"/>
      <c r="J49" s="588"/>
      <c r="K49" s="588"/>
      <c r="L49" s="589"/>
      <c r="M49" s="589">
        <f ca="1">SUMIF($AA$28:AD46,"tertiair",M28:M46)</f>
        <v>2000</v>
      </c>
      <c r="N49" s="589">
        <f ca="1">SUMIF($AA$28:AE46,"tertiair",N28:N46)</f>
        <v>9000</v>
      </c>
      <c r="O49" s="589">
        <f ca="1">SUMIF($AA$28:AF46,"tertiair",O28:O46)</f>
        <v>12857.142857142857</v>
      </c>
      <c r="P49" s="589">
        <f ca="1">SUMIF($AA$28:AG46,"tertiair",P28:P46)</f>
        <v>25714.285714285717</v>
      </c>
      <c r="Q49" s="589">
        <f ca="1">SUMIF($AA$28:AH46,"tertiair",Q28:Q46)</f>
        <v>0</v>
      </c>
      <c r="R49" s="589">
        <f ca="1">SUMIF($AA$28:AI46,"tertiair",R28:R46)</f>
        <v>0</v>
      </c>
      <c r="S49" s="589">
        <f ca="1">SUMIF($AA$28:AJ46,"tertiair",S28:S46)</f>
        <v>0</v>
      </c>
      <c r="T49" s="589">
        <f ca="1">SUMIF($AA$28:AK46,"tertiair",T28:T46)</f>
        <v>0</v>
      </c>
      <c r="U49" s="589">
        <f ca="1">SUMIF($AA$28:AL46,"tertiair",U28:U46)</f>
        <v>0</v>
      </c>
      <c r="V49" s="589">
        <f ca="1">SUMIF($AA$28:AM46,"tertiair",V28:V46)</f>
        <v>0</v>
      </c>
      <c r="W49" s="589">
        <f ca="1">SUMIF($AA$28:AN46,"tertiair",W28:W46)</f>
        <v>0</v>
      </c>
      <c r="X49" s="589"/>
      <c r="Y49" s="590"/>
      <c r="Z49" s="590"/>
      <c r="AA49" s="591"/>
    </row>
    <row r="50" spans="1:28" s="565" customFormat="1" ht="15.75" thickBot="1">
      <c r="A50" s="592" t="s">
        <v>278</v>
      </c>
      <c r="B50" s="593"/>
      <c r="C50" s="593"/>
      <c r="D50" s="593"/>
      <c r="E50" s="593"/>
      <c r="F50" s="593"/>
      <c r="G50" s="593"/>
      <c r="H50" s="593"/>
      <c r="I50" s="593"/>
      <c r="J50" s="593"/>
      <c r="K50" s="593"/>
      <c r="L50" s="594"/>
      <c r="M50" s="594">
        <f>SUMIF($AA$28:$AA$46,"landbouw",M28:M46)</f>
        <v>33435.1</v>
      </c>
      <c r="N50" s="594">
        <f>SUMIF($AA$28:$AA$46,"landbouw",N28:N46)</f>
        <v>150457.95000000001</v>
      </c>
      <c r="O50" s="594">
        <f>SUMIF($AA$28:$AA$46,"landbouw",O28:O46)</f>
        <v>213803.35714285716</v>
      </c>
      <c r="P50" s="594">
        <f>SUMIF($AA$28:$AA$46,"landbouw",P28:P46)</f>
        <v>418808.57142857142</v>
      </c>
      <c r="Q50" s="594">
        <f>SUMIF($AA$28:$AA$46,"landbouw",Q28:Q46)</f>
        <v>374.14285714285711</v>
      </c>
      <c r="R50" s="594">
        <f>SUMIF($AA$28:$AA$46,"landbouw",R28:R46)</f>
        <v>0</v>
      </c>
      <c r="S50" s="594">
        <f>SUMIF($AA$28:$AA$46,"landbouw",S28:S46)</f>
        <v>2340</v>
      </c>
      <c r="T50" s="594">
        <f>SUMIF($AA$28:$AA$46,"landbouw",T28:T46)</f>
        <v>7020</v>
      </c>
      <c r="U50" s="594">
        <f>SUMIF($AA$28:$AA$46,"landbouw",U28:U46)</f>
        <v>0</v>
      </c>
      <c r="V50" s="594">
        <f>SUMIF($AA$28:$AA$46,"landbouw",V28:V46)</f>
        <v>0</v>
      </c>
      <c r="W50" s="594">
        <f>SUMIF($AA$28:$AA$46,"landbouw",W28:W46)</f>
        <v>0</v>
      </c>
      <c r="X50" s="594"/>
      <c r="Y50" s="595"/>
      <c r="Z50" s="595"/>
      <c r="AA50" s="596"/>
    </row>
    <row r="51" spans="1:28" s="526" customFormat="1" ht="15.75" thickBot="1">
      <c r="A51" s="597"/>
      <c r="B51" s="598"/>
      <c r="C51" s="598"/>
      <c r="D51" s="598"/>
      <c r="E51" s="598"/>
      <c r="F51" s="598"/>
      <c r="G51" s="598"/>
      <c r="H51" s="598"/>
      <c r="I51" s="598"/>
      <c r="J51" s="598"/>
      <c r="K51" s="598"/>
      <c r="L51" s="581"/>
      <c r="M51" s="581"/>
      <c r="N51" s="581"/>
      <c r="O51" s="582"/>
      <c r="P51" s="582"/>
    </row>
    <row r="52" spans="1:28" s="526" customFormat="1" ht="45">
      <c r="A52" s="599" t="s">
        <v>270</v>
      </c>
      <c r="B52" s="628" t="s">
        <v>89</v>
      </c>
      <c r="C52" s="628" t="s">
        <v>90</v>
      </c>
      <c r="D52" s="628"/>
      <c r="E52" s="628"/>
      <c r="F52" s="628"/>
      <c r="G52" s="628" t="s">
        <v>91</v>
      </c>
      <c r="H52" s="628" t="s">
        <v>92</v>
      </c>
      <c r="I52" s="628"/>
      <c r="J52" s="628"/>
      <c r="K52" s="628"/>
      <c r="L52" s="628" t="s">
        <v>93</v>
      </c>
      <c r="M52" s="629" t="s">
        <v>287</v>
      </c>
      <c r="N52" s="629" t="s">
        <v>94</v>
      </c>
      <c r="O52" s="629" t="s">
        <v>95</v>
      </c>
      <c r="P52" s="629" t="s">
        <v>510</v>
      </c>
      <c r="Q52" s="629" t="s">
        <v>96</v>
      </c>
      <c r="R52" s="629" t="s">
        <v>97</v>
      </c>
      <c r="S52" s="629" t="s">
        <v>98</v>
      </c>
      <c r="T52" s="629" t="s">
        <v>99</v>
      </c>
      <c r="U52" s="629" t="s">
        <v>100</v>
      </c>
      <c r="V52" s="629" t="s">
        <v>101</v>
      </c>
      <c r="W52" s="628" t="s">
        <v>102</v>
      </c>
      <c r="X52" s="628" t="s">
        <v>860</v>
      </c>
      <c r="Y52" s="628" t="s">
        <v>288</v>
      </c>
      <c r="Z52" s="628" t="s">
        <v>103</v>
      </c>
      <c r="AA52" s="630" t="s">
        <v>289</v>
      </c>
    </row>
    <row r="53" spans="1:28" s="600" customFormat="1" ht="63.75" hidden="1">
      <c r="A53" s="586"/>
      <c r="B53" s="746">
        <v>13014</v>
      </c>
      <c r="C53" s="746">
        <v>2320</v>
      </c>
      <c r="D53" s="634"/>
      <c r="E53" s="634"/>
      <c r="F53" s="634"/>
      <c r="G53" s="634" t="s">
        <v>868</v>
      </c>
      <c r="H53" s="634" t="s">
        <v>869</v>
      </c>
      <c r="I53" s="634"/>
      <c r="J53" s="745"/>
      <c r="K53" s="745"/>
      <c r="L53" s="634" t="s">
        <v>870</v>
      </c>
      <c r="M53" s="634">
        <v>298</v>
      </c>
      <c r="N53" s="634">
        <v>1341</v>
      </c>
      <c r="O53" s="634">
        <v>0</v>
      </c>
      <c r="P53" s="634">
        <v>0</v>
      </c>
      <c r="Q53" s="634">
        <v>3831.4285714285716</v>
      </c>
      <c r="R53" s="634">
        <v>0</v>
      </c>
      <c r="S53" s="634">
        <v>0</v>
      </c>
      <c r="T53" s="634">
        <v>0</v>
      </c>
      <c r="U53" s="634">
        <v>0</v>
      </c>
      <c r="V53" s="634">
        <v>0</v>
      </c>
      <c r="W53" s="634">
        <v>0</v>
      </c>
      <c r="X53" s="634"/>
      <c r="Y53" s="634">
        <v>1600</v>
      </c>
      <c r="Z53" s="634" t="s">
        <v>49</v>
      </c>
      <c r="AA53" s="635" t="s">
        <v>149</v>
      </c>
    </row>
    <row r="54" spans="1:28" s="565" customFormat="1" hidden="1">
      <c r="A54" s="587" t="s">
        <v>269</v>
      </c>
      <c r="B54" s="588"/>
      <c r="C54" s="588"/>
      <c r="D54" s="588"/>
      <c r="E54" s="588"/>
      <c r="F54" s="588"/>
      <c r="G54" s="588"/>
      <c r="H54" s="588"/>
      <c r="I54" s="588"/>
      <c r="J54" s="588"/>
      <c r="K54" s="588"/>
      <c r="L54" s="589"/>
      <c r="M54" s="589">
        <f>SUM(M53:M53)</f>
        <v>298</v>
      </c>
      <c r="N54" s="589">
        <f>SUM(N53:N53)</f>
        <v>1341</v>
      </c>
      <c r="O54" s="589">
        <f>SUM(O53:O53)</f>
        <v>0</v>
      </c>
      <c r="P54" s="589">
        <f>SUM(P53:P53)</f>
        <v>0</v>
      </c>
      <c r="Q54" s="589">
        <f>SUM(Q53:Q53)</f>
        <v>3831.4285714285716</v>
      </c>
      <c r="R54" s="589">
        <f>SUM(R53:R53)</f>
        <v>0</v>
      </c>
      <c r="S54" s="589">
        <f>SUM(S53:S53)</f>
        <v>0</v>
      </c>
      <c r="T54" s="589">
        <f>SUM(T53:T53)</f>
        <v>0</v>
      </c>
      <c r="U54" s="589">
        <f>SUM(U53:U53)</f>
        <v>0</v>
      </c>
      <c r="V54" s="589">
        <f>SUM(V53:V53)</f>
        <v>0</v>
      </c>
      <c r="W54" s="589">
        <f>SUM(W53:W53)</f>
        <v>0</v>
      </c>
      <c r="X54" s="589"/>
      <c r="Y54" s="590"/>
      <c r="Z54" s="590"/>
      <c r="AA54" s="591"/>
    </row>
    <row r="55" spans="1:28" s="565" customFormat="1">
      <c r="A55" s="587" t="s">
        <v>276</v>
      </c>
      <c r="B55" s="588"/>
      <c r="C55" s="588"/>
      <c r="D55" s="588"/>
      <c r="E55" s="588"/>
      <c r="F55" s="588"/>
      <c r="G55" s="588"/>
      <c r="H55" s="588"/>
      <c r="I55" s="588"/>
      <c r="J55" s="588"/>
      <c r="K55" s="588"/>
      <c r="L55" s="589"/>
      <c r="M55" s="589">
        <f>SUMIF($AA$53:$AA$53,"industrie",M53:M53)</f>
        <v>0</v>
      </c>
      <c r="N55" s="589">
        <f>SUMIF($AA$53:$AA$53,"industrie",N53:N53)</f>
        <v>0</v>
      </c>
      <c r="O55" s="589">
        <f>SUMIF($AA$53:$AA$53,"industrie",O53:O53)</f>
        <v>0</v>
      </c>
      <c r="P55" s="589">
        <f>SUMIF($AA$53:$AA$53,"industrie",P53:P53)</f>
        <v>0</v>
      </c>
      <c r="Q55" s="589">
        <f>SUMIF($AA$53:$AA$53,"industrie",Q53:Q53)</f>
        <v>0</v>
      </c>
      <c r="R55" s="589">
        <f>SUMIF($AA$53:$AA$53,"industrie",R53:R53)</f>
        <v>0</v>
      </c>
      <c r="S55" s="589">
        <f>SUMIF($AA$53:$AA$53,"industrie",S53:S53)</f>
        <v>0</v>
      </c>
      <c r="T55" s="589">
        <f>SUMIF($AA$53:$AA$53,"industrie",T53:T53)</f>
        <v>0</v>
      </c>
      <c r="U55" s="589">
        <f>SUMIF($AA$53:$AA$53,"industrie",U53:U53)</f>
        <v>0</v>
      </c>
      <c r="V55" s="589">
        <f>SUMIF($AA$53:$AA$53,"industrie",V53:V53)</f>
        <v>0</v>
      </c>
      <c r="W55" s="589">
        <f>SUMIF($AA$53:$AA$53,"industrie",W53:W53)</f>
        <v>0</v>
      </c>
      <c r="X55" s="589"/>
      <c r="Y55" s="590"/>
      <c r="Z55" s="590"/>
      <c r="AA55" s="591"/>
    </row>
    <row r="56" spans="1:28" s="565" customFormat="1">
      <c r="A56" s="587" t="s">
        <v>277</v>
      </c>
      <c r="B56" s="588"/>
      <c r="C56" s="588"/>
      <c r="D56" s="588"/>
      <c r="E56" s="588"/>
      <c r="F56" s="588"/>
      <c r="G56" s="588"/>
      <c r="H56" s="588"/>
      <c r="I56" s="588"/>
      <c r="J56" s="588"/>
      <c r="K56" s="588"/>
      <c r="L56" s="589"/>
      <c r="M56" s="589">
        <f>SUMIF($AA$53:$AA$54,"tertiair",M53:M54)</f>
        <v>298</v>
      </c>
      <c r="N56" s="589">
        <f>SUMIF($AA$53:$AA$54,"tertiair",N53:N54)</f>
        <v>1341</v>
      </c>
      <c r="O56" s="589">
        <f>SUMIF($AA$53:$AA$54,"tertiair",O53:O54)</f>
        <v>0</v>
      </c>
      <c r="P56" s="589">
        <f>SUMIF($AA$53:$AA$54,"tertiair",P53:P54)</f>
        <v>0</v>
      </c>
      <c r="Q56" s="589">
        <f>SUMIF($AA$53:$AA$54,"tertiair",Q53:Q54)</f>
        <v>3831.4285714285716</v>
      </c>
      <c r="R56" s="589">
        <f>SUMIF($AA$53:$AA$54,"tertiair",R53:R54)</f>
        <v>0</v>
      </c>
      <c r="S56" s="589">
        <f>SUMIF($AA$53:$AA$54,"tertiair",S53:S54)</f>
        <v>0</v>
      </c>
      <c r="T56" s="589">
        <f>SUMIF($AA$53:$AA$54,"tertiair",T53:T54)</f>
        <v>0</v>
      </c>
      <c r="U56" s="589">
        <f>SUMIF($AA$53:$AA$54,"tertiair",U53:U54)</f>
        <v>0</v>
      </c>
      <c r="V56" s="589">
        <f>SUMIF($AA$53:$AA$54,"tertiair",V53:V54)</f>
        <v>0</v>
      </c>
      <c r="W56" s="589">
        <f>SUMIF($AA$53:$AA$54,"tertiair",W53:W54)</f>
        <v>0</v>
      </c>
      <c r="X56" s="589"/>
      <c r="Y56" s="590"/>
      <c r="Z56" s="590"/>
      <c r="AA56" s="591"/>
    </row>
    <row r="57" spans="1:28" s="565" customFormat="1" ht="15.75" thickBot="1">
      <c r="A57" s="592" t="s">
        <v>278</v>
      </c>
      <c r="B57" s="593"/>
      <c r="C57" s="593"/>
      <c r="D57" s="593"/>
      <c r="E57" s="593"/>
      <c r="F57" s="593"/>
      <c r="G57" s="593"/>
      <c r="H57" s="593"/>
      <c r="I57" s="593"/>
      <c r="J57" s="593"/>
      <c r="K57" s="593"/>
      <c r="L57" s="594"/>
      <c r="M57" s="594">
        <f>SUMIF($AA$53:$AA$55,"landbouw",M53:M55)</f>
        <v>0</v>
      </c>
      <c r="N57" s="594">
        <f>SUMIF($AA$53:$AA$55,"landbouw",N53:N55)</f>
        <v>0</v>
      </c>
      <c r="O57" s="594">
        <f>SUMIF($AA$53:$AA$55,"landbouw",O53:O55)</f>
        <v>0</v>
      </c>
      <c r="P57" s="594">
        <f>SUMIF($AA$53:$AA$55,"landbouw",P53:P55)</f>
        <v>0</v>
      </c>
      <c r="Q57" s="594">
        <f>SUMIF($AA$53:$AA$55,"landbouw",Q53:Q55)</f>
        <v>0</v>
      </c>
      <c r="R57" s="594">
        <f>SUMIF($AA$53:$AA$55,"landbouw",R53:R55)</f>
        <v>0</v>
      </c>
      <c r="S57" s="594">
        <f>SUMIF($AA$53:$AA$55,"landbouw",S53:S55)</f>
        <v>0</v>
      </c>
      <c r="T57" s="594">
        <f>SUMIF($AA$53:$AA$55,"landbouw",T53:T55)</f>
        <v>0</v>
      </c>
      <c r="U57" s="594">
        <f>SUMIF($AA$53:$AA$55,"landbouw",U53:U55)</f>
        <v>0</v>
      </c>
      <c r="V57" s="594">
        <f>SUMIF($AA$53:$AA$55,"landbouw",V53:V55)</f>
        <v>0</v>
      </c>
      <c r="W57" s="594">
        <f>SUMIF($AA$53:$AA$55,"landbouw",W53:W55)</f>
        <v>0</v>
      </c>
      <c r="X57" s="594"/>
      <c r="Y57" s="595"/>
      <c r="Z57" s="595"/>
      <c r="AA57" s="596"/>
    </row>
    <row r="58" spans="1:28" s="601" customFormat="1">
      <c r="A58" s="597"/>
      <c r="B58" s="581"/>
      <c r="C58" s="581"/>
      <c r="D58" s="581"/>
      <c r="E58" s="581"/>
      <c r="F58" s="581"/>
      <c r="G58" s="581"/>
      <c r="H58" s="581"/>
      <c r="I58" s="581"/>
      <c r="J58" s="581"/>
      <c r="K58" s="581"/>
      <c r="L58" s="581"/>
      <c r="M58" s="581"/>
      <c r="N58" s="581"/>
      <c r="O58" s="581"/>
      <c r="P58" s="581"/>
      <c r="Q58" s="581"/>
      <c r="R58" s="581"/>
      <c r="S58" s="581"/>
      <c r="T58" s="581"/>
      <c r="U58" s="581"/>
      <c r="V58" s="581"/>
      <c r="W58" s="581"/>
      <c r="X58" s="581"/>
      <c r="Y58" s="581"/>
      <c r="Z58" s="581"/>
    </row>
    <row r="59" spans="1:28" s="601" customFormat="1" ht="15.75" thickBot="1">
      <c r="A59" s="597"/>
      <c r="B59" s="581"/>
      <c r="C59" s="581"/>
      <c r="D59" s="581"/>
      <c r="E59" s="581"/>
      <c r="F59" s="581"/>
      <c r="G59" s="581"/>
      <c r="H59" s="581"/>
      <c r="I59" s="581"/>
      <c r="J59" s="581"/>
      <c r="K59" s="581"/>
      <c r="L59" s="581"/>
      <c r="M59" s="581"/>
      <c r="N59" s="581"/>
      <c r="O59" s="581"/>
      <c r="P59" s="581"/>
      <c r="Q59" s="581"/>
      <c r="R59" s="581"/>
      <c r="S59" s="581"/>
      <c r="T59" s="581"/>
      <c r="U59" s="581"/>
      <c r="V59" s="581"/>
      <c r="W59" s="581"/>
      <c r="X59" s="581"/>
      <c r="Y59" s="581"/>
      <c r="Z59" s="581"/>
      <c r="AA59" s="581"/>
      <c r="AB59" s="581"/>
    </row>
    <row r="60" spans="1:28">
      <c r="A60" s="602" t="s">
        <v>271</v>
      </c>
      <c r="B60" s="603"/>
      <c r="C60" s="603"/>
      <c r="D60" s="603"/>
      <c r="E60" s="603"/>
      <c r="F60" s="603"/>
      <c r="G60" s="603"/>
      <c r="H60" s="603"/>
      <c r="I60" s="604"/>
      <c r="J60" s="605"/>
      <c r="K60" s="605"/>
      <c r="L60" s="606"/>
      <c r="M60" s="606"/>
      <c r="N60" s="606"/>
      <c r="O60" s="606"/>
      <c r="P60" s="606"/>
    </row>
    <row r="61" spans="1:28">
      <c r="A61" s="608"/>
      <c r="B61" s="598"/>
      <c r="C61" s="598"/>
      <c r="D61" s="598"/>
      <c r="E61" s="598"/>
      <c r="F61" s="598"/>
      <c r="G61" s="598"/>
      <c r="H61" s="598"/>
      <c r="I61" s="609"/>
      <c r="J61" s="598"/>
      <c r="K61" s="598"/>
      <c r="L61" s="606"/>
      <c r="M61" s="606"/>
      <c r="N61" s="606"/>
      <c r="O61" s="606"/>
      <c r="P61" s="606"/>
    </row>
    <row r="62" spans="1:28">
      <c r="A62" s="610"/>
      <c r="B62" s="611" t="s">
        <v>272</v>
      </c>
      <c r="C62" s="611" t="s">
        <v>273</v>
      </c>
      <c r="D62" s="611"/>
      <c r="E62" s="611"/>
      <c r="F62" s="611"/>
      <c r="G62" s="611"/>
      <c r="H62" s="611"/>
      <c r="I62" s="612"/>
      <c r="J62" s="611"/>
      <c r="K62" s="611"/>
      <c r="L62" s="611"/>
      <c r="M62" s="611"/>
      <c r="N62" s="611"/>
      <c r="O62" s="611"/>
      <c r="P62" s="606"/>
    </row>
    <row r="63" spans="1:28">
      <c r="A63" s="608" t="s">
        <v>269</v>
      </c>
      <c r="B63" s="613">
        <f>IF(ISERROR(O47/(O47+N47)),0,O47/(O47+N47))</f>
        <v>0.58702740173554879</v>
      </c>
      <c r="C63" s="614">
        <f>IF(ISERROR(N47/(O47+N47)),0,N47/(N47+O47))</f>
        <v>0.4129725982644511</v>
      </c>
      <c r="D63" s="581"/>
      <c r="E63" s="581"/>
      <c r="F63" s="581"/>
      <c r="G63" s="581"/>
      <c r="H63" s="581"/>
      <c r="I63" s="615"/>
      <c r="J63" s="581"/>
      <c r="K63" s="581"/>
      <c r="L63" s="616"/>
      <c r="M63" s="616"/>
      <c r="N63" s="616"/>
      <c r="O63" s="616"/>
      <c r="P63" s="606"/>
    </row>
    <row r="64" spans="1:28">
      <c r="A64" s="608"/>
      <c r="B64" s="617"/>
      <c r="C64" s="617"/>
      <c r="D64" s="617"/>
      <c r="E64" s="617"/>
      <c r="F64" s="617"/>
      <c r="G64" s="617"/>
      <c r="H64" s="617"/>
      <c r="I64" s="618"/>
      <c r="J64" s="617"/>
      <c r="K64" s="617"/>
      <c r="L64" s="619"/>
      <c r="M64" s="619"/>
      <c r="N64" s="619"/>
      <c r="O64" s="619"/>
      <c r="P64" s="606"/>
    </row>
    <row r="65" spans="1:16" ht="30">
      <c r="A65" s="620"/>
      <c r="B65" s="621" t="s">
        <v>510</v>
      </c>
      <c r="C65" s="621" t="s">
        <v>96</v>
      </c>
      <c r="D65" s="621" t="s">
        <v>97</v>
      </c>
      <c r="E65" s="621" t="s">
        <v>98</v>
      </c>
      <c r="F65" s="621" t="s">
        <v>99</v>
      </c>
      <c r="G65" s="621" t="s">
        <v>100</v>
      </c>
      <c r="H65" s="621" t="s">
        <v>101</v>
      </c>
      <c r="I65" s="622" t="s">
        <v>102</v>
      </c>
      <c r="J65" s="611"/>
      <c r="K65" s="611"/>
      <c r="L65" s="619"/>
      <c r="M65" s="619"/>
      <c r="N65" s="619"/>
      <c r="O65" s="606"/>
      <c r="P65" s="606"/>
    </row>
    <row r="66" spans="1:16">
      <c r="A66" s="610" t="s">
        <v>274</v>
      </c>
      <c r="B66" s="623">
        <f t="shared" ref="B66:I66" si="2">$C$63*P47</f>
        <v>184223.53632064365</v>
      </c>
      <c r="C66" s="623">
        <f t="shared" si="2"/>
        <v>154.51074783637105</v>
      </c>
      <c r="D66" s="623">
        <f t="shared" si="2"/>
        <v>0</v>
      </c>
      <c r="E66" s="623">
        <f t="shared" si="2"/>
        <v>966.35587993881552</v>
      </c>
      <c r="F66" s="623">
        <f t="shared" si="2"/>
        <v>2899.0676398164469</v>
      </c>
      <c r="G66" s="623">
        <f t="shared" si="2"/>
        <v>0</v>
      </c>
      <c r="H66" s="623">
        <f t="shared" si="2"/>
        <v>0</v>
      </c>
      <c r="I66" s="624">
        <f t="shared" si="2"/>
        <v>0</v>
      </c>
      <c r="J66" s="581"/>
      <c r="K66" s="581"/>
      <c r="L66" s="619"/>
      <c r="M66" s="619"/>
      <c r="N66" s="619"/>
      <c r="O66" s="606"/>
      <c r="P66" s="606"/>
    </row>
    <row r="67" spans="1:16" ht="15.75" thickBot="1">
      <c r="A67" s="625" t="s">
        <v>275</v>
      </c>
      <c r="B67" s="626">
        <f t="shared" ref="B67:I67" si="3">$B$63*P47</f>
        <v>261867.89225078488</v>
      </c>
      <c r="C67" s="626">
        <f t="shared" si="3"/>
        <v>219.63210930648603</v>
      </c>
      <c r="D67" s="626">
        <f t="shared" si="3"/>
        <v>0</v>
      </c>
      <c r="E67" s="626">
        <f t="shared" si="3"/>
        <v>1373.6441200611841</v>
      </c>
      <c r="F67" s="626">
        <f t="shared" si="3"/>
        <v>4120.9323601835522</v>
      </c>
      <c r="G67" s="626">
        <f t="shared" si="3"/>
        <v>0</v>
      </c>
      <c r="H67" s="626">
        <f t="shared" si="3"/>
        <v>0</v>
      </c>
      <c r="I67" s="627">
        <f t="shared" si="3"/>
        <v>0</v>
      </c>
      <c r="J67" s="581"/>
      <c r="K67" s="581"/>
      <c r="L67" s="619"/>
      <c r="M67" s="619"/>
      <c r="N67" s="619"/>
      <c r="O67" s="606"/>
      <c r="P67" s="606"/>
    </row>
    <row r="68" spans="1:16">
      <c r="J68" s="561"/>
      <c r="K68" s="561"/>
      <c r="L68" s="561"/>
      <c r="M68" s="561"/>
      <c r="N68" s="561"/>
    </row>
    <row r="69" spans="1:16">
      <c r="J69" s="561"/>
      <c r="K69" s="561"/>
      <c r="L69" s="561"/>
      <c r="M69" s="561"/>
      <c r="N69"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62030.030436322944</v>
      </c>
      <c r="D10" s="642">
        <f ca="1">tertiair!C16</f>
        <v>12857.142857142857</v>
      </c>
      <c r="E10" s="642">
        <f ca="1">tertiair!D16</f>
        <v>42858.171826935293</v>
      </c>
      <c r="F10" s="642">
        <f>tertiair!E16</f>
        <v>174.20410259589602</v>
      </c>
      <c r="G10" s="642">
        <f ca="1">tertiair!F16</f>
        <v>9231.8052370341084</v>
      </c>
      <c r="H10" s="642">
        <f>tertiair!G16</f>
        <v>0</v>
      </c>
      <c r="I10" s="642">
        <f>tertiair!H16</f>
        <v>0</v>
      </c>
      <c r="J10" s="642">
        <f>tertiair!I16</f>
        <v>0</v>
      </c>
      <c r="K10" s="642">
        <f>tertiair!J16</f>
        <v>5.5225207340196994E-2</v>
      </c>
      <c r="L10" s="642">
        <f>tertiair!K16</f>
        <v>0</v>
      </c>
      <c r="M10" s="642">
        <f ca="1">tertiair!L16</f>
        <v>0</v>
      </c>
      <c r="N10" s="642">
        <f>tertiair!M16</f>
        <v>0</v>
      </c>
      <c r="O10" s="642">
        <f ca="1">tertiair!N16</f>
        <v>0</v>
      </c>
      <c r="P10" s="642">
        <f>tertiair!O16</f>
        <v>24.486303829205774</v>
      </c>
      <c r="Q10" s="643">
        <f>tertiair!P16</f>
        <v>315.23482983897009</v>
      </c>
      <c r="R10" s="645">
        <f ca="1">SUM(C10:Q10)</f>
        <v>127491.1308189066</v>
      </c>
      <c r="S10" s="67"/>
    </row>
    <row r="11" spans="1:19" s="441" customFormat="1">
      <c r="A11" s="762" t="s">
        <v>214</v>
      </c>
      <c r="B11" s="767"/>
      <c r="C11" s="642">
        <f>huishoudens!B8</f>
        <v>37641.878773002674</v>
      </c>
      <c r="D11" s="642">
        <f>huishoudens!C8</f>
        <v>0</v>
      </c>
      <c r="E11" s="642">
        <f>huishoudens!D8</f>
        <v>90604.277988182192</v>
      </c>
      <c r="F11" s="642">
        <f>huishoudens!E8</f>
        <v>2208.5109817584125</v>
      </c>
      <c r="G11" s="642">
        <f>huishoudens!F8</f>
        <v>36192.375488791949</v>
      </c>
      <c r="H11" s="642">
        <f>huishoudens!G8</f>
        <v>0</v>
      </c>
      <c r="I11" s="642">
        <f>huishoudens!H8</f>
        <v>0</v>
      </c>
      <c r="J11" s="642">
        <f>huishoudens!I8</f>
        <v>0</v>
      </c>
      <c r="K11" s="642">
        <f>huishoudens!J8</f>
        <v>199.76377376909423</v>
      </c>
      <c r="L11" s="642">
        <f>huishoudens!K8</f>
        <v>0</v>
      </c>
      <c r="M11" s="642">
        <f>huishoudens!L8</f>
        <v>0</v>
      </c>
      <c r="N11" s="642">
        <f>huishoudens!M8</f>
        <v>0</v>
      </c>
      <c r="O11" s="642">
        <f>huishoudens!N8</f>
        <v>11107.521382575042</v>
      </c>
      <c r="P11" s="642">
        <f>huishoudens!O8</f>
        <v>718.19287541810547</v>
      </c>
      <c r="Q11" s="643">
        <f>huishoudens!P8</f>
        <v>1306.2109541529428</v>
      </c>
      <c r="R11" s="645">
        <f>SUM(C11:Q11)</f>
        <v>179978.73221765042</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108209.35557721402</v>
      </c>
      <c r="D13" s="642">
        <f>industrie!C18</f>
        <v>784.28571428571433</v>
      </c>
      <c r="E13" s="642">
        <f>industrie!D18</f>
        <v>66241.672148556303</v>
      </c>
      <c r="F13" s="642">
        <f>industrie!E18</f>
        <v>1165.804367455496</v>
      </c>
      <c r="G13" s="642">
        <f>industrie!F18</f>
        <v>45389.580118623875</v>
      </c>
      <c r="H13" s="642">
        <f>industrie!G18</f>
        <v>0</v>
      </c>
      <c r="I13" s="642">
        <f>industrie!H18</f>
        <v>0</v>
      </c>
      <c r="J13" s="642">
        <f>industrie!I18</f>
        <v>0</v>
      </c>
      <c r="K13" s="642">
        <f>industrie!J18</f>
        <v>9.1171967463339634</v>
      </c>
      <c r="L13" s="642">
        <f>industrie!K18</f>
        <v>0</v>
      </c>
      <c r="M13" s="642">
        <f>industrie!L18</f>
        <v>0</v>
      </c>
      <c r="N13" s="642">
        <f>industrie!M18</f>
        <v>0</v>
      </c>
      <c r="O13" s="642">
        <f>industrie!N18</f>
        <v>3955.893278566446</v>
      </c>
      <c r="P13" s="642">
        <f>industrie!O18</f>
        <v>0</v>
      </c>
      <c r="Q13" s="643">
        <f>industrie!P18</f>
        <v>0</v>
      </c>
      <c r="R13" s="645">
        <f>SUM(C13:Q13)</f>
        <v>225755.70840144824</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207881.26478653966</v>
      </c>
      <c r="D16" s="678">
        <f t="shared" ref="D16:R16" ca="1" si="0">SUM(D9:D15)</f>
        <v>13641.428571428571</v>
      </c>
      <c r="E16" s="678">
        <f t="shared" ca="1" si="0"/>
        <v>199704.1219636738</v>
      </c>
      <c r="F16" s="678">
        <f t="shared" si="0"/>
        <v>3548.5194518098047</v>
      </c>
      <c r="G16" s="678">
        <f t="shared" ca="1" si="0"/>
        <v>90813.760844449935</v>
      </c>
      <c r="H16" s="678">
        <f t="shared" si="0"/>
        <v>0</v>
      </c>
      <c r="I16" s="678">
        <f t="shared" si="0"/>
        <v>0</v>
      </c>
      <c r="J16" s="678">
        <f t="shared" si="0"/>
        <v>0</v>
      </c>
      <c r="K16" s="678">
        <f t="shared" si="0"/>
        <v>208.93619572276839</v>
      </c>
      <c r="L16" s="678">
        <f t="shared" si="0"/>
        <v>0</v>
      </c>
      <c r="M16" s="678">
        <f t="shared" ca="1" si="0"/>
        <v>0</v>
      </c>
      <c r="N16" s="678">
        <f t="shared" si="0"/>
        <v>0</v>
      </c>
      <c r="O16" s="678">
        <f t="shared" ca="1" si="0"/>
        <v>15063.414661141487</v>
      </c>
      <c r="P16" s="678">
        <f t="shared" si="0"/>
        <v>742.67917924731125</v>
      </c>
      <c r="Q16" s="678">
        <f t="shared" si="0"/>
        <v>1621.4457839919128</v>
      </c>
      <c r="R16" s="678">
        <f t="shared" ca="1" si="0"/>
        <v>533225.57143800531</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22.345995712414819</v>
      </c>
      <c r="D19" s="642">
        <f>transport!C54</f>
        <v>0</v>
      </c>
      <c r="E19" s="642">
        <f>transport!D54</f>
        <v>0</v>
      </c>
      <c r="F19" s="642">
        <f>transport!E54</f>
        <v>0</v>
      </c>
      <c r="G19" s="642">
        <f>transport!F54</f>
        <v>0</v>
      </c>
      <c r="H19" s="642">
        <f>transport!G54</f>
        <v>1595.0169140672872</v>
      </c>
      <c r="I19" s="642">
        <f>transport!H54</f>
        <v>0</v>
      </c>
      <c r="J19" s="642">
        <f>transport!I54</f>
        <v>0</v>
      </c>
      <c r="K19" s="642">
        <f>transport!J54</f>
        <v>0</v>
      </c>
      <c r="L19" s="642">
        <f>transport!K54</f>
        <v>0</v>
      </c>
      <c r="M19" s="642">
        <f>transport!L54</f>
        <v>0</v>
      </c>
      <c r="N19" s="642">
        <f>transport!M54</f>
        <v>88.074591211520115</v>
      </c>
      <c r="O19" s="642">
        <f>transport!N54</f>
        <v>0</v>
      </c>
      <c r="P19" s="642">
        <f>transport!O54</f>
        <v>0</v>
      </c>
      <c r="Q19" s="643">
        <f>transport!P54</f>
        <v>0</v>
      </c>
      <c r="R19" s="645">
        <f>SUM(C19:Q19)</f>
        <v>1705.4375009912221</v>
      </c>
      <c r="S19" s="67"/>
    </row>
    <row r="20" spans="1:19" s="441" customFormat="1">
      <c r="A20" s="762" t="s">
        <v>296</v>
      </c>
      <c r="B20" s="767"/>
      <c r="C20" s="642">
        <f>transport!B14</f>
        <v>432.29959839443364</v>
      </c>
      <c r="D20" s="642">
        <f>transport!C14</f>
        <v>0</v>
      </c>
      <c r="E20" s="642">
        <f>transport!D14</f>
        <v>706.83006445507624</v>
      </c>
      <c r="F20" s="642">
        <f>transport!E14</f>
        <v>427.90407045728716</v>
      </c>
      <c r="G20" s="642">
        <f>transport!F14</f>
        <v>0</v>
      </c>
      <c r="H20" s="642">
        <f>transport!G14</f>
        <v>245663.3574454248</v>
      </c>
      <c r="I20" s="642">
        <f>transport!H14</f>
        <v>47663.04132443438</v>
      </c>
      <c r="J20" s="642">
        <f>transport!I14</f>
        <v>0</v>
      </c>
      <c r="K20" s="642">
        <f>transport!J14</f>
        <v>0</v>
      </c>
      <c r="L20" s="642">
        <f>transport!K14</f>
        <v>0</v>
      </c>
      <c r="M20" s="642">
        <f>transport!L14</f>
        <v>0</v>
      </c>
      <c r="N20" s="642">
        <f>transport!M14</f>
        <v>17144.52548581783</v>
      </c>
      <c r="O20" s="642">
        <f>transport!N14</f>
        <v>0</v>
      </c>
      <c r="P20" s="642">
        <f>transport!O14</f>
        <v>0</v>
      </c>
      <c r="Q20" s="643">
        <f>transport!P14</f>
        <v>0</v>
      </c>
      <c r="R20" s="645">
        <f>SUM(C20:Q20)</f>
        <v>312037.95798898378</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454.64559410684848</v>
      </c>
      <c r="D22" s="765">
        <f t="shared" ref="D22:R22" si="1">SUM(D18:D21)</f>
        <v>0</v>
      </c>
      <c r="E22" s="765">
        <f t="shared" si="1"/>
        <v>706.83006445507624</v>
      </c>
      <c r="F22" s="765">
        <f t="shared" si="1"/>
        <v>427.90407045728716</v>
      </c>
      <c r="G22" s="765">
        <f t="shared" si="1"/>
        <v>0</v>
      </c>
      <c r="H22" s="765">
        <f t="shared" si="1"/>
        <v>247258.3743594921</v>
      </c>
      <c r="I22" s="765">
        <f t="shared" si="1"/>
        <v>47663.04132443438</v>
      </c>
      <c r="J22" s="765">
        <f t="shared" si="1"/>
        <v>0</v>
      </c>
      <c r="K22" s="765">
        <f t="shared" si="1"/>
        <v>0</v>
      </c>
      <c r="L22" s="765">
        <f t="shared" si="1"/>
        <v>0</v>
      </c>
      <c r="M22" s="765">
        <f t="shared" si="1"/>
        <v>0</v>
      </c>
      <c r="N22" s="765">
        <f t="shared" si="1"/>
        <v>17232.60007702935</v>
      </c>
      <c r="O22" s="765">
        <f t="shared" si="1"/>
        <v>0</v>
      </c>
      <c r="P22" s="765">
        <f t="shared" si="1"/>
        <v>0</v>
      </c>
      <c r="Q22" s="765">
        <f t="shared" si="1"/>
        <v>0</v>
      </c>
      <c r="R22" s="765">
        <f t="shared" si="1"/>
        <v>313743.395489975</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28314.201810355102</v>
      </c>
      <c r="D24" s="642">
        <f>+landbouw!C8</f>
        <v>213803.35714285716</v>
      </c>
      <c r="E24" s="642">
        <f>+landbouw!D8</f>
        <v>0</v>
      </c>
      <c r="F24" s="642">
        <f>+landbouw!E8</f>
        <v>834.78271729408198</v>
      </c>
      <c r="G24" s="642">
        <f>+landbouw!F8</f>
        <v>87652.595913581099</v>
      </c>
      <c r="H24" s="642">
        <f>+landbouw!G8</f>
        <v>0</v>
      </c>
      <c r="I24" s="642">
        <f>+landbouw!H8</f>
        <v>0</v>
      </c>
      <c r="J24" s="642">
        <f>+landbouw!I8</f>
        <v>0</v>
      </c>
      <c r="K24" s="642">
        <f>+landbouw!J8</f>
        <v>7140.6678262378227</v>
      </c>
      <c r="L24" s="642">
        <f>+landbouw!K8</f>
        <v>0</v>
      </c>
      <c r="M24" s="642">
        <f>+landbouw!L8</f>
        <v>0</v>
      </c>
      <c r="N24" s="642">
        <f>+landbouw!M8</f>
        <v>0</v>
      </c>
      <c r="O24" s="642">
        <f>+landbouw!N8</f>
        <v>0</v>
      </c>
      <c r="P24" s="642">
        <f>+landbouw!O8</f>
        <v>0</v>
      </c>
      <c r="Q24" s="643">
        <f>+landbouw!P8</f>
        <v>0</v>
      </c>
      <c r="R24" s="645">
        <f>SUM(C24:Q24)</f>
        <v>337745.60541032522</v>
      </c>
      <c r="S24" s="67"/>
    </row>
    <row r="25" spans="1:19" s="441" customFormat="1" ht="15" thickBot="1">
      <c r="A25" s="784" t="s">
        <v>672</v>
      </c>
      <c r="B25" s="895"/>
      <c r="C25" s="896">
        <f>IF(Onbekend_ele_kWh="---",0,Onbekend_ele_kWh)/1000+IF(REST_rest_ele_kWh="---",0,REST_rest_ele_kWh)/1000</f>
        <v>1298.30712139006</v>
      </c>
      <c r="D25" s="896"/>
      <c r="E25" s="896">
        <f>IF(onbekend_gas_kWh="---",0,onbekend_gas_kWh)/1000+IF(REST_rest_gas_kWh="---",0,REST_rest_gas_kWh)/1000</f>
        <v>2668.6202244487499</v>
      </c>
      <c r="F25" s="896"/>
      <c r="G25" s="896"/>
      <c r="H25" s="896"/>
      <c r="I25" s="896"/>
      <c r="J25" s="896"/>
      <c r="K25" s="896"/>
      <c r="L25" s="896"/>
      <c r="M25" s="896"/>
      <c r="N25" s="896"/>
      <c r="O25" s="896"/>
      <c r="P25" s="896"/>
      <c r="Q25" s="897"/>
      <c r="R25" s="645">
        <f>SUM(C25:Q25)</f>
        <v>3966.9273458388097</v>
      </c>
      <c r="S25" s="67"/>
    </row>
    <row r="26" spans="1:19" s="441" customFormat="1" ht="15.75" thickBot="1">
      <c r="A26" s="650" t="s">
        <v>673</v>
      </c>
      <c r="B26" s="770"/>
      <c r="C26" s="765">
        <f>SUM(C24:C25)</f>
        <v>29612.50893174516</v>
      </c>
      <c r="D26" s="765">
        <f t="shared" ref="D26:R26" si="2">SUM(D24:D25)</f>
        <v>213803.35714285716</v>
      </c>
      <c r="E26" s="765">
        <f t="shared" si="2"/>
        <v>2668.6202244487499</v>
      </c>
      <c r="F26" s="765">
        <f t="shared" si="2"/>
        <v>834.78271729408198</v>
      </c>
      <c r="G26" s="765">
        <f t="shared" si="2"/>
        <v>87652.595913581099</v>
      </c>
      <c r="H26" s="765">
        <f t="shared" si="2"/>
        <v>0</v>
      </c>
      <c r="I26" s="765">
        <f t="shared" si="2"/>
        <v>0</v>
      </c>
      <c r="J26" s="765">
        <f t="shared" si="2"/>
        <v>0</v>
      </c>
      <c r="K26" s="765">
        <f t="shared" si="2"/>
        <v>7140.6678262378227</v>
      </c>
      <c r="L26" s="765">
        <f t="shared" si="2"/>
        <v>0</v>
      </c>
      <c r="M26" s="765">
        <f t="shared" si="2"/>
        <v>0</v>
      </c>
      <c r="N26" s="765">
        <f t="shared" si="2"/>
        <v>0</v>
      </c>
      <c r="O26" s="765">
        <f t="shared" si="2"/>
        <v>0</v>
      </c>
      <c r="P26" s="765">
        <f t="shared" si="2"/>
        <v>0</v>
      </c>
      <c r="Q26" s="765">
        <f t="shared" si="2"/>
        <v>0</v>
      </c>
      <c r="R26" s="765">
        <f t="shared" si="2"/>
        <v>341712.53275616403</v>
      </c>
      <c r="S26" s="67"/>
    </row>
    <row r="27" spans="1:19" s="441" customFormat="1" ht="17.25" thickTop="1" thickBot="1">
      <c r="A27" s="651" t="s">
        <v>109</v>
      </c>
      <c r="B27" s="757"/>
      <c r="C27" s="652">
        <f ca="1">C22+C16+C26</f>
        <v>237948.41931239166</v>
      </c>
      <c r="D27" s="652">
        <f t="shared" ref="D27:R27" ca="1" si="3">D22+D16+D26</f>
        <v>227444.78571428574</v>
      </c>
      <c r="E27" s="652">
        <f t="shared" ca="1" si="3"/>
        <v>203079.57225257761</v>
      </c>
      <c r="F27" s="652">
        <f t="shared" si="3"/>
        <v>4811.2062395611738</v>
      </c>
      <c r="G27" s="652">
        <f t="shared" ca="1" si="3"/>
        <v>178466.35675803103</v>
      </c>
      <c r="H27" s="652">
        <f t="shared" si="3"/>
        <v>247258.3743594921</v>
      </c>
      <c r="I27" s="652">
        <f t="shared" si="3"/>
        <v>47663.04132443438</v>
      </c>
      <c r="J27" s="652">
        <f t="shared" si="3"/>
        <v>0</v>
      </c>
      <c r="K27" s="652">
        <f t="shared" si="3"/>
        <v>7349.6040219605911</v>
      </c>
      <c r="L27" s="652">
        <f t="shared" si="3"/>
        <v>0</v>
      </c>
      <c r="M27" s="652">
        <f t="shared" ca="1" si="3"/>
        <v>0</v>
      </c>
      <c r="N27" s="652">
        <f t="shared" si="3"/>
        <v>17232.60007702935</v>
      </c>
      <c r="O27" s="652">
        <f t="shared" ca="1" si="3"/>
        <v>15063.414661141487</v>
      </c>
      <c r="P27" s="652">
        <f t="shared" si="3"/>
        <v>742.67917924731125</v>
      </c>
      <c r="Q27" s="652">
        <f t="shared" si="3"/>
        <v>1621.4457839919128</v>
      </c>
      <c r="R27" s="652">
        <f t="shared" ca="1" si="3"/>
        <v>1188681.4996841443</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9298.7818267750372</v>
      </c>
      <c r="D40" s="642">
        <f ca="1">tertiair!C20</f>
        <v>3010.9454817915553</v>
      </c>
      <c r="E40" s="642">
        <f ca="1">tertiair!D20</f>
        <v>8657.3507090409294</v>
      </c>
      <c r="F40" s="642">
        <f>tertiair!E20</f>
        <v>39.544331289268399</v>
      </c>
      <c r="G40" s="642">
        <f ca="1">tertiair!F20</f>
        <v>2464.8919982881071</v>
      </c>
      <c r="H40" s="642">
        <f>tertiair!G20</f>
        <v>0</v>
      </c>
      <c r="I40" s="642">
        <f>tertiair!H20</f>
        <v>0</v>
      </c>
      <c r="J40" s="642">
        <f>tertiair!I20</f>
        <v>0</v>
      </c>
      <c r="K40" s="642">
        <f>tertiair!J20</f>
        <v>1.9549723398429735E-2</v>
      </c>
      <c r="L40" s="642">
        <f>tertiair!K20</f>
        <v>0</v>
      </c>
      <c r="M40" s="642">
        <f ca="1">tertiair!L20</f>
        <v>0</v>
      </c>
      <c r="N40" s="642">
        <f>tertiair!M20</f>
        <v>0</v>
      </c>
      <c r="O40" s="642">
        <f ca="1">tertiair!N20</f>
        <v>0</v>
      </c>
      <c r="P40" s="642">
        <f>tertiair!O20</f>
        <v>0</v>
      </c>
      <c r="Q40" s="725">
        <f>tertiair!P20</f>
        <v>0</v>
      </c>
      <c r="R40" s="803">
        <f t="shared" ca="1" si="4"/>
        <v>23471.533896908291</v>
      </c>
    </row>
    <row r="41" spans="1:18">
      <c r="A41" s="775" t="s">
        <v>214</v>
      </c>
      <c r="B41" s="782"/>
      <c r="C41" s="642">
        <f ca="1">huishoudens!B12</f>
        <v>5642.809068413786</v>
      </c>
      <c r="D41" s="642">
        <f ca="1">huishoudens!C12</f>
        <v>0</v>
      </c>
      <c r="E41" s="642">
        <f>huishoudens!D12</f>
        <v>18302.064153612802</v>
      </c>
      <c r="F41" s="642">
        <f>huishoudens!E12</f>
        <v>501.33199285915964</v>
      </c>
      <c r="G41" s="642">
        <f>huishoudens!F12</f>
        <v>9663.3642555074512</v>
      </c>
      <c r="H41" s="642">
        <f>huishoudens!G12</f>
        <v>0</v>
      </c>
      <c r="I41" s="642">
        <f>huishoudens!H12</f>
        <v>0</v>
      </c>
      <c r="J41" s="642">
        <f>huishoudens!I12</f>
        <v>0</v>
      </c>
      <c r="K41" s="642">
        <f>huishoudens!J12</f>
        <v>70.716375914259359</v>
      </c>
      <c r="L41" s="642">
        <f>huishoudens!K12</f>
        <v>0</v>
      </c>
      <c r="M41" s="642">
        <f>huishoudens!L12</f>
        <v>0</v>
      </c>
      <c r="N41" s="642">
        <f>huishoudens!M12</f>
        <v>0</v>
      </c>
      <c r="O41" s="642">
        <f>huishoudens!N12</f>
        <v>0</v>
      </c>
      <c r="P41" s="642">
        <f>huishoudens!O12</f>
        <v>0</v>
      </c>
      <c r="Q41" s="725">
        <f>huishoudens!P12</f>
        <v>0</v>
      </c>
      <c r="R41" s="803">
        <f t="shared" ca="1" si="4"/>
        <v>34180.285846307452</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16221.420206481569</v>
      </c>
      <c r="D43" s="642">
        <f ca="1">industrie!C22</f>
        <v>183.66767438928491</v>
      </c>
      <c r="E43" s="642">
        <f>industrie!D22</f>
        <v>13380.817774008374</v>
      </c>
      <c r="F43" s="642">
        <f>industrie!E22</f>
        <v>264.63759141239763</v>
      </c>
      <c r="G43" s="642">
        <f>industrie!F22</f>
        <v>12119.017891672574</v>
      </c>
      <c r="H43" s="642">
        <f>industrie!G22</f>
        <v>0</v>
      </c>
      <c r="I43" s="642">
        <f>industrie!H22</f>
        <v>0</v>
      </c>
      <c r="J43" s="642">
        <f>industrie!I22</f>
        <v>0</v>
      </c>
      <c r="K43" s="642">
        <f>industrie!J22</f>
        <v>3.227487648202223</v>
      </c>
      <c r="L43" s="642">
        <f>industrie!K22</f>
        <v>0</v>
      </c>
      <c r="M43" s="642">
        <f>industrie!L22</f>
        <v>0</v>
      </c>
      <c r="N43" s="642">
        <f>industrie!M22</f>
        <v>0</v>
      </c>
      <c r="O43" s="642">
        <f>industrie!N22</f>
        <v>0</v>
      </c>
      <c r="P43" s="642">
        <f>industrie!O22</f>
        <v>0</v>
      </c>
      <c r="Q43" s="725">
        <f>industrie!P22</f>
        <v>0</v>
      </c>
      <c r="R43" s="802">
        <f t="shared" ca="1" si="4"/>
        <v>42172.788625612404</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31163.011101670392</v>
      </c>
      <c r="D46" s="678">
        <f t="shared" ref="D46:Q46" ca="1" si="5">SUM(D39:D45)</f>
        <v>3194.6131561808402</v>
      </c>
      <c r="E46" s="678">
        <f t="shared" ca="1" si="5"/>
        <v>40340.232636662106</v>
      </c>
      <c r="F46" s="678">
        <f t="shared" si="5"/>
        <v>805.51391556082558</v>
      </c>
      <c r="G46" s="678">
        <f t="shared" ca="1" si="5"/>
        <v>24247.274145468131</v>
      </c>
      <c r="H46" s="678">
        <f t="shared" si="5"/>
        <v>0</v>
      </c>
      <c r="I46" s="678">
        <f t="shared" si="5"/>
        <v>0</v>
      </c>
      <c r="J46" s="678">
        <f t="shared" si="5"/>
        <v>0</v>
      </c>
      <c r="K46" s="678">
        <f t="shared" si="5"/>
        <v>73.963413285860014</v>
      </c>
      <c r="L46" s="678">
        <f t="shared" si="5"/>
        <v>0</v>
      </c>
      <c r="M46" s="678">
        <f t="shared" ca="1" si="5"/>
        <v>0</v>
      </c>
      <c r="N46" s="678">
        <f t="shared" si="5"/>
        <v>0</v>
      </c>
      <c r="O46" s="678">
        <f t="shared" ca="1" si="5"/>
        <v>0</v>
      </c>
      <c r="P46" s="678">
        <f t="shared" si="5"/>
        <v>0</v>
      </c>
      <c r="Q46" s="678">
        <f t="shared" si="5"/>
        <v>0</v>
      </c>
      <c r="R46" s="678">
        <f ca="1">SUM(R39:R45)</f>
        <v>99824.608368828151</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3.3498377700314625</v>
      </c>
      <c r="D49" s="642">
        <f ca="1">transport!C58</f>
        <v>0</v>
      </c>
      <c r="E49" s="642">
        <f>transport!D58</f>
        <v>0</v>
      </c>
      <c r="F49" s="642">
        <f>transport!E58</f>
        <v>0</v>
      </c>
      <c r="G49" s="642">
        <f>transport!F58</f>
        <v>0</v>
      </c>
      <c r="H49" s="642">
        <f>transport!G58</f>
        <v>425.86951605596568</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429.21935382599713</v>
      </c>
    </row>
    <row r="50" spans="1:18">
      <c r="A50" s="778" t="s">
        <v>296</v>
      </c>
      <c r="B50" s="788"/>
      <c r="C50" s="648">
        <f ca="1">transport!B18</f>
        <v>64.805056857079919</v>
      </c>
      <c r="D50" s="648">
        <f>transport!C18</f>
        <v>0</v>
      </c>
      <c r="E50" s="648">
        <f>transport!D18</f>
        <v>142.77967301992541</v>
      </c>
      <c r="F50" s="648">
        <f>transport!E18</f>
        <v>97.134223993804184</v>
      </c>
      <c r="G50" s="648">
        <f>transport!F18</f>
        <v>0</v>
      </c>
      <c r="H50" s="648">
        <f>transport!G18</f>
        <v>65592.116437928431</v>
      </c>
      <c r="I50" s="648">
        <f>transport!H18</f>
        <v>11868.09728978416</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77764.932681583392</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68.154894627111375</v>
      </c>
      <c r="D52" s="678">
        <f t="shared" ref="D52:Q52" ca="1" si="6">SUM(D48:D51)</f>
        <v>0</v>
      </c>
      <c r="E52" s="678">
        <f t="shared" si="6"/>
        <v>142.77967301992541</v>
      </c>
      <c r="F52" s="678">
        <f t="shared" si="6"/>
        <v>97.134223993804184</v>
      </c>
      <c r="G52" s="678">
        <f t="shared" si="6"/>
        <v>0</v>
      </c>
      <c r="H52" s="678">
        <f t="shared" si="6"/>
        <v>66017.985953984404</v>
      </c>
      <c r="I52" s="678">
        <f t="shared" si="6"/>
        <v>11868.09728978416</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78194.152035409395</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4244.5180726462686</v>
      </c>
      <c r="D54" s="648">
        <f ca="1">+landbouw!C12</f>
        <v>50069.464058534053</v>
      </c>
      <c r="E54" s="648">
        <f>+landbouw!D12</f>
        <v>0</v>
      </c>
      <c r="F54" s="648">
        <f>+landbouw!E12</f>
        <v>189.49567682575662</v>
      </c>
      <c r="G54" s="648">
        <f>+landbouw!F12</f>
        <v>23403.243108926155</v>
      </c>
      <c r="H54" s="648">
        <f>+landbouw!G12</f>
        <v>0</v>
      </c>
      <c r="I54" s="648">
        <f>+landbouw!H12</f>
        <v>0</v>
      </c>
      <c r="J54" s="648">
        <f>+landbouw!I12</f>
        <v>0</v>
      </c>
      <c r="K54" s="648">
        <f>+landbouw!J12</f>
        <v>2527.7964104881889</v>
      </c>
      <c r="L54" s="648">
        <f>+landbouw!K12</f>
        <v>0</v>
      </c>
      <c r="M54" s="648">
        <f>+landbouw!L12</f>
        <v>0</v>
      </c>
      <c r="N54" s="648">
        <f>+landbouw!M12</f>
        <v>0</v>
      </c>
      <c r="O54" s="648">
        <f>+landbouw!N12</f>
        <v>0</v>
      </c>
      <c r="P54" s="648">
        <f>+landbouw!O12</f>
        <v>0</v>
      </c>
      <c r="Q54" s="649">
        <f>+landbouw!P12</f>
        <v>0</v>
      </c>
      <c r="R54" s="677">
        <f ca="1">SUM(C54:Q54)</f>
        <v>80434.517327420413</v>
      </c>
    </row>
    <row r="55" spans="1:18" ht="15" thickBot="1">
      <c r="A55" s="778" t="s">
        <v>672</v>
      </c>
      <c r="B55" s="788"/>
      <c r="C55" s="648">
        <f ca="1">C25*'EF ele_warmte'!B12</f>
        <v>194.62628957352732</v>
      </c>
      <c r="D55" s="648"/>
      <c r="E55" s="648">
        <f>E25*EF_CO2_aardgas</f>
        <v>539.06128533864751</v>
      </c>
      <c r="F55" s="648"/>
      <c r="G55" s="648"/>
      <c r="H55" s="648"/>
      <c r="I55" s="648"/>
      <c r="J55" s="648"/>
      <c r="K55" s="648"/>
      <c r="L55" s="648"/>
      <c r="M55" s="648"/>
      <c r="N55" s="648"/>
      <c r="O55" s="648"/>
      <c r="P55" s="648"/>
      <c r="Q55" s="649"/>
      <c r="R55" s="677">
        <f ca="1">SUM(C55:Q55)</f>
        <v>733.6875749121748</v>
      </c>
    </row>
    <row r="56" spans="1:18" ht="15.75" thickBot="1">
      <c r="A56" s="776" t="s">
        <v>673</v>
      </c>
      <c r="B56" s="789"/>
      <c r="C56" s="678">
        <f ca="1">SUM(C54:C55)</f>
        <v>4439.1443622197958</v>
      </c>
      <c r="D56" s="678">
        <f t="shared" ref="D56:Q56" ca="1" si="7">SUM(D54:D55)</f>
        <v>50069.464058534053</v>
      </c>
      <c r="E56" s="678">
        <f t="shared" si="7"/>
        <v>539.06128533864751</v>
      </c>
      <c r="F56" s="678">
        <f t="shared" si="7"/>
        <v>189.49567682575662</v>
      </c>
      <c r="G56" s="678">
        <f t="shared" si="7"/>
        <v>23403.243108926155</v>
      </c>
      <c r="H56" s="678">
        <f t="shared" si="7"/>
        <v>0</v>
      </c>
      <c r="I56" s="678">
        <f t="shared" si="7"/>
        <v>0</v>
      </c>
      <c r="J56" s="678">
        <f t="shared" si="7"/>
        <v>0</v>
      </c>
      <c r="K56" s="678">
        <f t="shared" si="7"/>
        <v>2527.7964104881889</v>
      </c>
      <c r="L56" s="678">
        <f t="shared" si="7"/>
        <v>0</v>
      </c>
      <c r="M56" s="678">
        <f t="shared" si="7"/>
        <v>0</v>
      </c>
      <c r="N56" s="678">
        <f t="shared" si="7"/>
        <v>0</v>
      </c>
      <c r="O56" s="678">
        <f t="shared" si="7"/>
        <v>0</v>
      </c>
      <c r="P56" s="678">
        <f t="shared" si="7"/>
        <v>0</v>
      </c>
      <c r="Q56" s="679">
        <f t="shared" si="7"/>
        <v>0</v>
      </c>
      <c r="R56" s="680">
        <f ca="1">SUM(R54:R55)</f>
        <v>81168.204902332582</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35670.310358517301</v>
      </c>
      <c r="D61" s="686">
        <f t="shared" ref="D61:Q61" ca="1" si="8">D46+D52+D56</f>
        <v>53264.077214714896</v>
      </c>
      <c r="E61" s="686">
        <f t="shared" ca="1" si="8"/>
        <v>41022.07359502068</v>
      </c>
      <c r="F61" s="686">
        <f t="shared" si="8"/>
        <v>1092.1438163803864</v>
      </c>
      <c r="G61" s="686">
        <f t="shared" ca="1" si="8"/>
        <v>47650.51725439429</v>
      </c>
      <c r="H61" s="686">
        <f t="shared" si="8"/>
        <v>66017.985953984404</v>
      </c>
      <c r="I61" s="686">
        <f t="shared" si="8"/>
        <v>11868.09728978416</v>
      </c>
      <c r="J61" s="686">
        <f t="shared" si="8"/>
        <v>0</v>
      </c>
      <c r="K61" s="686">
        <f t="shared" si="8"/>
        <v>2601.759823774049</v>
      </c>
      <c r="L61" s="686">
        <f t="shared" si="8"/>
        <v>0</v>
      </c>
      <c r="M61" s="686">
        <f t="shared" ca="1" si="8"/>
        <v>0</v>
      </c>
      <c r="N61" s="686">
        <f t="shared" si="8"/>
        <v>0</v>
      </c>
      <c r="O61" s="686">
        <f t="shared" ca="1" si="8"/>
        <v>0</v>
      </c>
      <c r="P61" s="686">
        <f t="shared" si="8"/>
        <v>0</v>
      </c>
      <c r="Q61" s="686">
        <f t="shared" si="8"/>
        <v>0</v>
      </c>
      <c r="R61" s="686">
        <f ca="1">R46+R52+R56</f>
        <v>259186.96530657011</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0.14990774244937249</v>
      </c>
      <c r="D63" s="732">
        <f t="shared" ca="1" si="9"/>
        <v>0.23418464858378768</v>
      </c>
      <c r="E63" s="921">
        <f t="shared" ca="1" si="9"/>
        <v>0.20200000000000001</v>
      </c>
      <c r="F63" s="732">
        <f t="shared" si="9"/>
        <v>0.22699999999999998</v>
      </c>
      <c r="G63" s="732">
        <f t="shared" ca="1" si="9"/>
        <v>0.26700000000000002</v>
      </c>
      <c r="H63" s="732">
        <f t="shared" si="9"/>
        <v>0.26700000000000007</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76840.991660959509</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11772.606318249154</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2595.5416295048958</v>
      </c>
      <c r="C76" s="699">
        <f>'lokale energieproductie'!B8*IFERROR(SUM(D76:H76)/SUM(D76:O76),0)</f>
        <v>157411.40837049513</v>
      </c>
      <c r="D76" s="904">
        <f>'lokale energieproductie'!C8</f>
        <v>184223.53632064365</v>
      </c>
      <c r="E76" s="905">
        <f>'lokale energieproductie'!D8</f>
        <v>0</v>
      </c>
      <c r="F76" s="905">
        <f>'lokale energieproductie'!E8</f>
        <v>966.35587993881552</v>
      </c>
      <c r="G76" s="905">
        <f>'lokale energieproductie'!F8</f>
        <v>0</v>
      </c>
      <c r="H76" s="905">
        <f>'lokale energieproductie'!G8</f>
        <v>0</v>
      </c>
      <c r="I76" s="905">
        <f>'lokale energieproductie'!I8</f>
        <v>2899.0676398164469</v>
      </c>
      <c r="J76" s="905">
        <f>'lokale energieproductie'!J8</f>
        <v>154.51074783637105</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37471.171356713683</v>
      </c>
      <c r="R76" s="805">
        <v>0</v>
      </c>
    </row>
    <row r="77" spans="1:18" ht="15.75" thickBot="1">
      <c r="A77" s="702" t="s">
        <v>717</v>
      </c>
      <c r="B77" s="699">
        <f>'lokale energieproductie'!B9*IFERROR(SUM(I77:O77)/SUM(D77:O77),0)</f>
        <v>1341</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3831.4285714285716</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92550.139608713551</v>
      </c>
      <c r="C78" s="704">
        <f>SUM(C72:C77)</f>
        <v>157411.40837049513</v>
      </c>
      <c r="D78" s="705">
        <f t="shared" ref="D78:H78" si="10">SUM(D76:D77)</f>
        <v>184223.53632064365</v>
      </c>
      <c r="E78" s="705">
        <f t="shared" si="10"/>
        <v>0</v>
      </c>
      <c r="F78" s="705">
        <f t="shared" si="10"/>
        <v>966.35587993881552</v>
      </c>
      <c r="G78" s="705">
        <f t="shared" si="10"/>
        <v>0</v>
      </c>
      <c r="H78" s="705">
        <f t="shared" si="10"/>
        <v>0</v>
      </c>
      <c r="I78" s="705">
        <f>SUM(I76:I77)</f>
        <v>2899.0676398164469</v>
      </c>
      <c r="J78" s="705">
        <f>SUM(J76:J77)</f>
        <v>3985.9393192649427</v>
      </c>
      <c r="K78" s="705">
        <f t="shared" ref="K78:L78" si="11">SUM(K76:K77)</f>
        <v>0</v>
      </c>
      <c r="L78" s="705">
        <f t="shared" si="11"/>
        <v>0</v>
      </c>
      <c r="M78" s="705">
        <f>SUM(M76:M77)</f>
        <v>0</v>
      </c>
      <c r="N78" s="705">
        <f>SUM(N76:N77)</f>
        <v>0</v>
      </c>
      <c r="O78" s="813">
        <f>SUM(O76:O77)</f>
        <v>0</v>
      </c>
      <c r="P78" s="706">
        <v>0</v>
      </c>
      <c r="Q78" s="706">
        <f>SUM(Q76:Q77)</f>
        <v>37471.171356713683</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3689.4797990665338</v>
      </c>
      <c r="C87" s="717">
        <f>'lokale energieproductie'!B17*IFERROR(SUM(D87:H87)/SUM(D87:O87),0)</f>
        <v>223755.30591521919</v>
      </c>
      <c r="D87" s="728">
        <f>'lokale energieproductie'!C17</f>
        <v>261867.89225078488</v>
      </c>
      <c r="E87" s="728">
        <f>'lokale energieproductie'!D17</f>
        <v>0</v>
      </c>
      <c r="F87" s="728">
        <f>'lokale energieproductie'!E17</f>
        <v>1373.6441200611841</v>
      </c>
      <c r="G87" s="728">
        <f>'lokale energieproductie'!F17</f>
        <v>0</v>
      </c>
      <c r="H87" s="728">
        <f>'lokale energieproductie'!G17</f>
        <v>0</v>
      </c>
      <c r="I87" s="728">
        <f>'lokale energieproductie'!I17</f>
        <v>4120.9323601835522</v>
      </c>
      <c r="J87" s="728">
        <f>'lokale energieproductie'!J17</f>
        <v>219.63210930648603</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53264.077214714889</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3689.4797990665338</v>
      </c>
      <c r="C90" s="704">
        <f>SUM(C87:C89)</f>
        <v>223755.30591521919</v>
      </c>
      <c r="D90" s="704">
        <f t="shared" ref="D90:H90" si="12">SUM(D87:D89)</f>
        <v>261867.89225078488</v>
      </c>
      <c r="E90" s="704">
        <f t="shared" si="12"/>
        <v>0</v>
      </c>
      <c r="F90" s="704">
        <f t="shared" si="12"/>
        <v>1373.6441200611841</v>
      </c>
      <c r="G90" s="704">
        <f t="shared" si="12"/>
        <v>0</v>
      </c>
      <c r="H90" s="704">
        <f t="shared" si="12"/>
        <v>0</v>
      </c>
      <c r="I90" s="704">
        <f>SUM(I87:I89)</f>
        <v>4120.9323601835522</v>
      </c>
      <c r="J90" s="704">
        <f>SUM(J87:J89)</f>
        <v>219.63210930648603</v>
      </c>
      <c r="K90" s="704">
        <f t="shared" ref="K90:L90" si="13">SUM(K87:K89)</f>
        <v>0</v>
      </c>
      <c r="L90" s="704">
        <f t="shared" si="13"/>
        <v>0</v>
      </c>
      <c r="M90" s="704">
        <f>SUM(M87:M89)</f>
        <v>0</v>
      </c>
      <c r="N90" s="704">
        <f>SUM(N87:N89)</f>
        <v>0</v>
      </c>
      <c r="O90" s="704">
        <f>SUM(O87:O89)</f>
        <v>0</v>
      </c>
      <c r="P90" s="704">
        <v>0</v>
      </c>
      <c r="Q90" s="704">
        <f>SUM(Q87:Q89)</f>
        <v>53264.077214714889</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37641.878773002674</v>
      </c>
      <c r="C4" s="445">
        <f>huishoudens!C8</f>
        <v>0</v>
      </c>
      <c r="D4" s="445">
        <f>huishoudens!D8</f>
        <v>90604.277988182192</v>
      </c>
      <c r="E4" s="445">
        <f>huishoudens!E8</f>
        <v>2208.5109817584125</v>
      </c>
      <c r="F4" s="445">
        <f>huishoudens!F8</f>
        <v>36192.375488791949</v>
      </c>
      <c r="G4" s="445">
        <f>huishoudens!G8</f>
        <v>0</v>
      </c>
      <c r="H4" s="445">
        <f>huishoudens!H8</f>
        <v>0</v>
      </c>
      <c r="I4" s="445">
        <f>huishoudens!I8</f>
        <v>0</v>
      </c>
      <c r="J4" s="445">
        <f>huishoudens!J8</f>
        <v>199.76377376909423</v>
      </c>
      <c r="K4" s="445">
        <f>huishoudens!K8</f>
        <v>0</v>
      </c>
      <c r="L4" s="445">
        <f>huishoudens!L8</f>
        <v>0</v>
      </c>
      <c r="M4" s="445">
        <f>huishoudens!M8</f>
        <v>0</v>
      </c>
      <c r="N4" s="445">
        <f>huishoudens!N8</f>
        <v>11107.521382575042</v>
      </c>
      <c r="O4" s="445">
        <f>huishoudens!O8</f>
        <v>718.19287541810547</v>
      </c>
      <c r="P4" s="446">
        <f>huishoudens!P8</f>
        <v>1306.2109541529428</v>
      </c>
      <c r="Q4" s="447">
        <f>SUM(B4:P4)</f>
        <v>179978.73221765042</v>
      </c>
    </row>
    <row r="5" spans="1:17">
      <c r="A5" s="444" t="s">
        <v>149</v>
      </c>
      <c r="B5" s="445">
        <f ca="1">tertiair!B16</f>
        <v>60596.633436322947</v>
      </c>
      <c r="C5" s="445">
        <f ca="1">tertiair!C16</f>
        <v>12857.142857142857</v>
      </c>
      <c r="D5" s="445">
        <f ca="1">tertiair!D16</f>
        <v>42858.171826935293</v>
      </c>
      <c r="E5" s="445">
        <f>tertiair!E16</f>
        <v>174.20410259589602</v>
      </c>
      <c r="F5" s="445">
        <f ca="1">tertiair!F16</f>
        <v>9231.8052370341084</v>
      </c>
      <c r="G5" s="445">
        <f>tertiair!G16</f>
        <v>0</v>
      </c>
      <c r="H5" s="445">
        <f>tertiair!H16</f>
        <v>0</v>
      </c>
      <c r="I5" s="445">
        <f>tertiair!I16</f>
        <v>0</v>
      </c>
      <c r="J5" s="445">
        <f>tertiair!J16</f>
        <v>5.5225207340196994E-2</v>
      </c>
      <c r="K5" s="445">
        <f>tertiair!K16</f>
        <v>0</v>
      </c>
      <c r="L5" s="445">
        <f ca="1">tertiair!L16</f>
        <v>0</v>
      </c>
      <c r="M5" s="445">
        <f>tertiair!M16</f>
        <v>0</v>
      </c>
      <c r="N5" s="445">
        <f ca="1">tertiair!N16</f>
        <v>0</v>
      </c>
      <c r="O5" s="445">
        <f>tertiair!O16</f>
        <v>24.486303829205774</v>
      </c>
      <c r="P5" s="446">
        <f>tertiair!P16</f>
        <v>315.23482983897009</v>
      </c>
      <c r="Q5" s="444">
        <f t="shared" ref="Q5:Q14" ca="1" si="0">SUM(B5:P5)</f>
        <v>126057.73381890661</v>
      </c>
    </row>
    <row r="6" spans="1:17">
      <c r="A6" s="444" t="s">
        <v>187</v>
      </c>
      <c r="B6" s="445">
        <f>'openbare verlichting'!B8</f>
        <v>1433.3969999999999</v>
      </c>
      <c r="C6" s="445"/>
      <c r="D6" s="445"/>
      <c r="E6" s="445"/>
      <c r="F6" s="445"/>
      <c r="G6" s="445"/>
      <c r="H6" s="445"/>
      <c r="I6" s="445"/>
      <c r="J6" s="445"/>
      <c r="K6" s="445"/>
      <c r="L6" s="445"/>
      <c r="M6" s="445"/>
      <c r="N6" s="445"/>
      <c r="O6" s="445"/>
      <c r="P6" s="446"/>
      <c r="Q6" s="444">
        <f t="shared" si="0"/>
        <v>1433.3969999999999</v>
      </c>
    </row>
    <row r="7" spans="1:17">
      <c r="A7" s="444" t="s">
        <v>105</v>
      </c>
      <c r="B7" s="445">
        <f>landbouw!B8</f>
        <v>28314.201810355102</v>
      </c>
      <c r="C7" s="445">
        <f>landbouw!C8</f>
        <v>213803.35714285716</v>
      </c>
      <c r="D7" s="445">
        <f>landbouw!D8</f>
        <v>0</v>
      </c>
      <c r="E7" s="445">
        <f>landbouw!E8</f>
        <v>834.78271729408198</v>
      </c>
      <c r="F7" s="445">
        <f>landbouw!F8</f>
        <v>87652.595913581099</v>
      </c>
      <c r="G7" s="445">
        <f>landbouw!G8</f>
        <v>0</v>
      </c>
      <c r="H7" s="445">
        <f>landbouw!H8</f>
        <v>0</v>
      </c>
      <c r="I7" s="445">
        <f>landbouw!I8</f>
        <v>0</v>
      </c>
      <c r="J7" s="445">
        <f>landbouw!J8</f>
        <v>7140.6678262378227</v>
      </c>
      <c r="K7" s="445">
        <f>landbouw!K8</f>
        <v>0</v>
      </c>
      <c r="L7" s="445">
        <f>landbouw!L8</f>
        <v>0</v>
      </c>
      <c r="M7" s="445">
        <f>landbouw!M8</f>
        <v>0</v>
      </c>
      <c r="N7" s="445">
        <f>landbouw!N8</f>
        <v>0</v>
      </c>
      <c r="O7" s="445">
        <f>landbouw!O8</f>
        <v>0</v>
      </c>
      <c r="P7" s="446">
        <f>landbouw!P8</f>
        <v>0</v>
      </c>
      <c r="Q7" s="444">
        <f t="shared" si="0"/>
        <v>337745.60541032522</v>
      </c>
    </row>
    <row r="8" spans="1:17">
      <c r="A8" s="444" t="s">
        <v>587</v>
      </c>
      <c r="B8" s="445">
        <f>industrie!B18</f>
        <v>108209.35557721402</v>
      </c>
      <c r="C8" s="445">
        <f>industrie!C18</f>
        <v>784.28571428571433</v>
      </c>
      <c r="D8" s="445">
        <f>industrie!D18</f>
        <v>66241.672148556303</v>
      </c>
      <c r="E8" s="445">
        <f>industrie!E18</f>
        <v>1165.804367455496</v>
      </c>
      <c r="F8" s="445">
        <f>industrie!F18</f>
        <v>45389.580118623875</v>
      </c>
      <c r="G8" s="445">
        <f>industrie!G18</f>
        <v>0</v>
      </c>
      <c r="H8" s="445">
        <f>industrie!H18</f>
        <v>0</v>
      </c>
      <c r="I8" s="445">
        <f>industrie!I18</f>
        <v>0</v>
      </c>
      <c r="J8" s="445">
        <f>industrie!J18</f>
        <v>9.1171967463339634</v>
      </c>
      <c r="K8" s="445">
        <f>industrie!K18</f>
        <v>0</v>
      </c>
      <c r="L8" s="445">
        <f>industrie!L18</f>
        <v>0</v>
      </c>
      <c r="M8" s="445">
        <f>industrie!M18</f>
        <v>0</v>
      </c>
      <c r="N8" s="445">
        <f>industrie!N18</f>
        <v>3955.893278566446</v>
      </c>
      <c r="O8" s="445">
        <f>industrie!O18</f>
        <v>0</v>
      </c>
      <c r="P8" s="446">
        <f>industrie!P18</f>
        <v>0</v>
      </c>
      <c r="Q8" s="444">
        <f t="shared" si="0"/>
        <v>225755.70840144824</v>
      </c>
    </row>
    <row r="9" spans="1:17" s="450" customFormat="1">
      <c r="A9" s="448" t="s">
        <v>536</v>
      </c>
      <c r="B9" s="449">
        <f>transport!B14</f>
        <v>432.29959839443364</v>
      </c>
      <c r="C9" s="449">
        <f>transport!C14</f>
        <v>0</v>
      </c>
      <c r="D9" s="449">
        <f>transport!D14</f>
        <v>706.83006445507624</v>
      </c>
      <c r="E9" s="449">
        <f>transport!E14</f>
        <v>427.90407045728716</v>
      </c>
      <c r="F9" s="449">
        <f>transport!F14</f>
        <v>0</v>
      </c>
      <c r="G9" s="449">
        <f>transport!G14</f>
        <v>245663.3574454248</v>
      </c>
      <c r="H9" s="449">
        <f>transport!H14</f>
        <v>47663.04132443438</v>
      </c>
      <c r="I9" s="449">
        <f>transport!I14</f>
        <v>0</v>
      </c>
      <c r="J9" s="449">
        <f>transport!J14</f>
        <v>0</v>
      </c>
      <c r="K9" s="449">
        <f>transport!K14</f>
        <v>0</v>
      </c>
      <c r="L9" s="449">
        <f>transport!L14</f>
        <v>0</v>
      </c>
      <c r="M9" s="449">
        <f>transport!M14</f>
        <v>17144.52548581783</v>
      </c>
      <c r="N9" s="449">
        <f>transport!N14</f>
        <v>0</v>
      </c>
      <c r="O9" s="449">
        <f>transport!O14</f>
        <v>0</v>
      </c>
      <c r="P9" s="449">
        <f>transport!P14</f>
        <v>0</v>
      </c>
      <c r="Q9" s="448">
        <f>SUM(B9:P9)</f>
        <v>312037.95798898378</v>
      </c>
    </row>
    <row r="10" spans="1:17">
      <c r="A10" s="444" t="s">
        <v>526</v>
      </c>
      <c r="B10" s="445">
        <f>transport!B54</f>
        <v>22.345995712414819</v>
      </c>
      <c r="C10" s="445">
        <f>transport!C54</f>
        <v>0</v>
      </c>
      <c r="D10" s="445">
        <f>transport!D54</f>
        <v>0</v>
      </c>
      <c r="E10" s="445">
        <f>transport!E54</f>
        <v>0</v>
      </c>
      <c r="F10" s="445">
        <f>transport!F54</f>
        <v>0</v>
      </c>
      <c r="G10" s="445">
        <f>transport!G54</f>
        <v>1595.0169140672872</v>
      </c>
      <c r="H10" s="445">
        <f>transport!H54</f>
        <v>0</v>
      </c>
      <c r="I10" s="445">
        <f>transport!I54</f>
        <v>0</v>
      </c>
      <c r="J10" s="445">
        <f>transport!J54</f>
        <v>0</v>
      </c>
      <c r="K10" s="445">
        <f>transport!K54</f>
        <v>0</v>
      </c>
      <c r="L10" s="445">
        <f>transport!L54</f>
        <v>0</v>
      </c>
      <c r="M10" s="445">
        <f>transport!M54</f>
        <v>88.074591211520115</v>
      </c>
      <c r="N10" s="445">
        <f>transport!N54</f>
        <v>0</v>
      </c>
      <c r="O10" s="445">
        <f>transport!O54</f>
        <v>0</v>
      </c>
      <c r="P10" s="446">
        <f>transport!P54</f>
        <v>0</v>
      </c>
      <c r="Q10" s="444">
        <f t="shared" si="0"/>
        <v>1705.4375009912221</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1298.30712139006</v>
      </c>
      <c r="C14" s="452"/>
      <c r="D14" s="452">
        <f>'SEAP template'!E25</f>
        <v>2668.6202244487499</v>
      </c>
      <c r="E14" s="452"/>
      <c r="F14" s="452"/>
      <c r="G14" s="452"/>
      <c r="H14" s="452"/>
      <c r="I14" s="452"/>
      <c r="J14" s="452"/>
      <c r="K14" s="452"/>
      <c r="L14" s="452"/>
      <c r="M14" s="452"/>
      <c r="N14" s="452"/>
      <c r="O14" s="452"/>
      <c r="P14" s="453"/>
      <c r="Q14" s="444">
        <f t="shared" si="0"/>
        <v>3966.9273458388097</v>
      </c>
    </row>
    <row r="15" spans="1:17" s="456" customFormat="1">
      <c r="A15" s="454" t="s">
        <v>530</v>
      </c>
      <c r="B15" s="455">
        <f ca="1">SUM(B4:B14)</f>
        <v>237948.41931239163</v>
      </c>
      <c r="C15" s="455">
        <f t="shared" ref="C15:Q15" ca="1" si="1">SUM(C4:C14)</f>
        <v>227444.78571428574</v>
      </c>
      <c r="D15" s="455">
        <f t="shared" ca="1" si="1"/>
        <v>203079.57225257761</v>
      </c>
      <c r="E15" s="455">
        <f t="shared" si="1"/>
        <v>4811.2062395611738</v>
      </c>
      <c r="F15" s="455">
        <f t="shared" ca="1" si="1"/>
        <v>178466.35675803103</v>
      </c>
      <c r="G15" s="455">
        <f t="shared" si="1"/>
        <v>247258.3743594921</v>
      </c>
      <c r="H15" s="455">
        <f t="shared" si="1"/>
        <v>47663.04132443438</v>
      </c>
      <c r="I15" s="455">
        <f t="shared" si="1"/>
        <v>0</v>
      </c>
      <c r="J15" s="455">
        <f t="shared" si="1"/>
        <v>7349.6040219605911</v>
      </c>
      <c r="K15" s="455">
        <f t="shared" si="1"/>
        <v>0</v>
      </c>
      <c r="L15" s="455">
        <f t="shared" ca="1" si="1"/>
        <v>0</v>
      </c>
      <c r="M15" s="455">
        <f t="shared" si="1"/>
        <v>17232.60007702935</v>
      </c>
      <c r="N15" s="455">
        <f t="shared" ca="1" si="1"/>
        <v>15063.414661141487</v>
      </c>
      <c r="O15" s="455">
        <f t="shared" si="1"/>
        <v>742.67917924731125</v>
      </c>
      <c r="P15" s="455">
        <f t="shared" si="1"/>
        <v>1621.4457839919128</v>
      </c>
      <c r="Q15" s="455">
        <f t="shared" ca="1" si="1"/>
        <v>1188681.4996841443</v>
      </c>
    </row>
    <row r="17" spans="1:17">
      <c r="A17" s="457" t="s">
        <v>531</v>
      </c>
      <c r="B17" s="737">
        <f ca="1">huishoudens!B10</f>
        <v>0.14990774244937249</v>
      </c>
      <c r="C17" s="737">
        <f ca="1">huishoudens!C10</f>
        <v>0.23418464858378765</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5642.809068413786</v>
      </c>
      <c r="C22" s="445">
        <f t="shared" ref="C22:C32" ca="1" si="3">C4*$C$17</f>
        <v>0</v>
      </c>
      <c r="D22" s="445">
        <f t="shared" ref="D22:D32" si="4">D4*$D$17</f>
        <v>18302.064153612802</v>
      </c>
      <c r="E22" s="445">
        <f t="shared" ref="E22:E32" si="5">E4*$E$17</f>
        <v>501.33199285915964</v>
      </c>
      <c r="F22" s="445">
        <f t="shared" ref="F22:F32" si="6">F4*$F$17</f>
        <v>9663.3642555074512</v>
      </c>
      <c r="G22" s="445">
        <f t="shared" ref="G22:G32" si="7">G4*$G$17</f>
        <v>0</v>
      </c>
      <c r="H22" s="445">
        <f t="shared" ref="H22:H32" si="8">H4*$H$17</f>
        <v>0</v>
      </c>
      <c r="I22" s="445">
        <f t="shared" ref="I22:I32" si="9">I4*$I$17</f>
        <v>0</v>
      </c>
      <c r="J22" s="445">
        <f t="shared" ref="J22:J32" si="10">J4*$J$17</f>
        <v>70.716375914259359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34180.285846307452</v>
      </c>
    </row>
    <row r="23" spans="1:17">
      <c r="A23" s="444" t="s">
        <v>149</v>
      </c>
      <c r="B23" s="445">
        <f t="shared" ca="1" si="2"/>
        <v>9083.9045184713341</v>
      </c>
      <c r="C23" s="445">
        <f t="shared" ca="1" si="3"/>
        <v>3010.9454817915553</v>
      </c>
      <c r="D23" s="445">
        <f t="shared" ca="1" si="4"/>
        <v>8657.3507090409294</v>
      </c>
      <c r="E23" s="445">
        <f t="shared" si="5"/>
        <v>39.544331289268399</v>
      </c>
      <c r="F23" s="445">
        <f t="shared" ca="1" si="6"/>
        <v>2464.8919982881071</v>
      </c>
      <c r="G23" s="445">
        <f t="shared" si="7"/>
        <v>0</v>
      </c>
      <c r="H23" s="445">
        <f t="shared" si="8"/>
        <v>0</v>
      </c>
      <c r="I23" s="445">
        <f t="shared" si="9"/>
        <v>0</v>
      </c>
      <c r="J23" s="445">
        <f t="shared" si="10"/>
        <v>1.9549723398429735E-2</v>
      </c>
      <c r="K23" s="445">
        <f t="shared" si="11"/>
        <v>0</v>
      </c>
      <c r="L23" s="445">
        <f t="shared" ca="1" si="12"/>
        <v>0</v>
      </c>
      <c r="M23" s="445">
        <f t="shared" si="13"/>
        <v>0</v>
      </c>
      <c r="N23" s="445">
        <f t="shared" ca="1" si="14"/>
        <v>0</v>
      </c>
      <c r="O23" s="445">
        <f t="shared" si="15"/>
        <v>0</v>
      </c>
      <c r="P23" s="446">
        <f t="shared" si="16"/>
        <v>0</v>
      </c>
      <c r="Q23" s="444">
        <f t="shared" ref="Q23:Q31" ca="1" si="17">SUM(B23:P23)</f>
        <v>23256.65658860459</v>
      </c>
    </row>
    <row r="24" spans="1:17">
      <c r="A24" s="444" t="s">
        <v>187</v>
      </c>
      <c r="B24" s="445">
        <f t="shared" ca="1" si="2"/>
        <v>214.87730830370319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214.87730830370319</v>
      </c>
    </row>
    <row r="25" spans="1:17">
      <c r="A25" s="444" t="s">
        <v>105</v>
      </c>
      <c r="B25" s="445">
        <f t="shared" ca="1" si="2"/>
        <v>4244.5180726462686</v>
      </c>
      <c r="C25" s="445">
        <f t="shared" ca="1" si="3"/>
        <v>50069.464058534053</v>
      </c>
      <c r="D25" s="445">
        <f t="shared" si="4"/>
        <v>0</v>
      </c>
      <c r="E25" s="445">
        <f t="shared" si="5"/>
        <v>189.49567682575662</v>
      </c>
      <c r="F25" s="445">
        <f t="shared" si="6"/>
        <v>23403.243108926155</v>
      </c>
      <c r="G25" s="445">
        <f t="shared" si="7"/>
        <v>0</v>
      </c>
      <c r="H25" s="445">
        <f t="shared" si="8"/>
        <v>0</v>
      </c>
      <c r="I25" s="445">
        <f t="shared" si="9"/>
        <v>0</v>
      </c>
      <c r="J25" s="445">
        <f t="shared" si="10"/>
        <v>2527.7964104881889</v>
      </c>
      <c r="K25" s="445">
        <f t="shared" si="11"/>
        <v>0</v>
      </c>
      <c r="L25" s="445">
        <f t="shared" si="12"/>
        <v>0</v>
      </c>
      <c r="M25" s="445">
        <f t="shared" si="13"/>
        <v>0</v>
      </c>
      <c r="N25" s="445">
        <f t="shared" si="14"/>
        <v>0</v>
      </c>
      <c r="O25" s="445">
        <f t="shared" si="15"/>
        <v>0</v>
      </c>
      <c r="P25" s="446">
        <f t="shared" si="16"/>
        <v>0</v>
      </c>
      <c r="Q25" s="444">
        <f t="shared" ca="1" si="17"/>
        <v>80434.517327420413</v>
      </c>
    </row>
    <row r="26" spans="1:17">
      <c r="A26" s="444" t="s">
        <v>587</v>
      </c>
      <c r="B26" s="445">
        <f t="shared" ca="1" si="2"/>
        <v>16221.420206481569</v>
      </c>
      <c r="C26" s="445">
        <f t="shared" ca="1" si="3"/>
        <v>183.66767438928491</v>
      </c>
      <c r="D26" s="445">
        <f t="shared" si="4"/>
        <v>13380.817774008374</v>
      </c>
      <c r="E26" s="445">
        <f t="shared" si="5"/>
        <v>264.63759141239763</v>
      </c>
      <c r="F26" s="445">
        <f t="shared" si="6"/>
        <v>12119.017891672574</v>
      </c>
      <c r="G26" s="445">
        <f t="shared" si="7"/>
        <v>0</v>
      </c>
      <c r="H26" s="445">
        <f t="shared" si="8"/>
        <v>0</v>
      </c>
      <c r="I26" s="445">
        <f t="shared" si="9"/>
        <v>0</v>
      </c>
      <c r="J26" s="445">
        <f t="shared" si="10"/>
        <v>3.227487648202223</v>
      </c>
      <c r="K26" s="445">
        <f t="shared" si="11"/>
        <v>0</v>
      </c>
      <c r="L26" s="445">
        <f t="shared" si="12"/>
        <v>0</v>
      </c>
      <c r="M26" s="445">
        <f t="shared" si="13"/>
        <v>0</v>
      </c>
      <c r="N26" s="445">
        <f t="shared" si="14"/>
        <v>0</v>
      </c>
      <c r="O26" s="445">
        <f t="shared" si="15"/>
        <v>0</v>
      </c>
      <c r="P26" s="446">
        <f t="shared" si="16"/>
        <v>0</v>
      </c>
      <c r="Q26" s="444">
        <f t="shared" ca="1" si="17"/>
        <v>42172.788625612404</v>
      </c>
    </row>
    <row r="27" spans="1:17" s="450" customFormat="1">
      <c r="A27" s="448" t="s">
        <v>536</v>
      </c>
      <c r="B27" s="731">
        <f t="shared" ca="1" si="2"/>
        <v>64.805056857079919</v>
      </c>
      <c r="C27" s="449">
        <f t="shared" ca="1" si="3"/>
        <v>0</v>
      </c>
      <c r="D27" s="449">
        <f t="shared" si="4"/>
        <v>142.77967301992541</v>
      </c>
      <c r="E27" s="449">
        <f t="shared" si="5"/>
        <v>97.134223993804184</v>
      </c>
      <c r="F27" s="449">
        <f t="shared" si="6"/>
        <v>0</v>
      </c>
      <c r="G27" s="449">
        <f t="shared" si="7"/>
        <v>65592.116437928431</v>
      </c>
      <c r="H27" s="449">
        <f t="shared" si="8"/>
        <v>11868.09728978416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77764.932681583392</v>
      </c>
    </row>
    <row r="28" spans="1:17" ht="16.5" customHeight="1">
      <c r="A28" s="444" t="s">
        <v>526</v>
      </c>
      <c r="B28" s="445">
        <f t="shared" ca="1" si="2"/>
        <v>3.3498377700314625</v>
      </c>
      <c r="C28" s="445">
        <f t="shared" ca="1" si="3"/>
        <v>0</v>
      </c>
      <c r="D28" s="445">
        <f t="shared" si="4"/>
        <v>0</v>
      </c>
      <c r="E28" s="445">
        <f t="shared" si="5"/>
        <v>0</v>
      </c>
      <c r="F28" s="445">
        <f t="shared" si="6"/>
        <v>0</v>
      </c>
      <c r="G28" s="445">
        <f t="shared" si="7"/>
        <v>425.86951605596568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429.21935382599713</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194.62628957352732</v>
      </c>
      <c r="C32" s="445">
        <f t="shared" ca="1" si="3"/>
        <v>0</v>
      </c>
      <c r="D32" s="445">
        <f t="shared" si="4"/>
        <v>539.06128533864751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733.6875749121748</v>
      </c>
    </row>
    <row r="33" spans="1:17" s="456" customFormat="1">
      <c r="A33" s="454" t="s">
        <v>530</v>
      </c>
      <c r="B33" s="455">
        <f ca="1">SUM(B22:B32)</f>
        <v>35670.310358517301</v>
      </c>
      <c r="C33" s="455">
        <f t="shared" ref="C33:Q33" ca="1" si="19">SUM(C22:C32)</f>
        <v>53264.077214714889</v>
      </c>
      <c r="D33" s="455">
        <f t="shared" ca="1" si="19"/>
        <v>41022.07359502068</v>
      </c>
      <c r="E33" s="455">
        <f t="shared" si="19"/>
        <v>1092.1438163803864</v>
      </c>
      <c r="F33" s="455">
        <f t="shared" ca="1" si="19"/>
        <v>47650.51725439429</v>
      </c>
      <c r="G33" s="455">
        <f t="shared" si="19"/>
        <v>66017.985953984404</v>
      </c>
      <c r="H33" s="455">
        <f t="shared" si="19"/>
        <v>11868.09728978416</v>
      </c>
      <c r="I33" s="455">
        <f t="shared" si="19"/>
        <v>0</v>
      </c>
      <c r="J33" s="455">
        <f t="shared" si="19"/>
        <v>2601.759823774049</v>
      </c>
      <c r="K33" s="455">
        <f t="shared" si="19"/>
        <v>0</v>
      </c>
      <c r="L33" s="455">
        <f t="shared" ca="1" si="19"/>
        <v>0</v>
      </c>
      <c r="M33" s="455">
        <f t="shared" si="19"/>
        <v>0</v>
      </c>
      <c r="N33" s="455">
        <f t="shared" ca="1" si="19"/>
        <v>0</v>
      </c>
      <c r="O33" s="455">
        <f t="shared" si="19"/>
        <v>0</v>
      </c>
      <c r="P33" s="455">
        <f t="shared" si="19"/>
        <v>0</v>
      </c>
      <c r="Q33" s="455">
        <f t="shared" ca="1" si="19"/>
        <v>259186.96530657011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76840.991660959509</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11772.606318249154</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2595.5416295048958</v>
      </c>
      <c r="C8" s="972">
        <f>'SEAP template'!C76</f>
        <v>157411.40837049513</v>
      </c>
      <c r="D8" s="972">
        <f>'SEAP template'!D76</f>
        <v>184223.53632064365</v>
      </c>
      <c r="E8" s="972">
        <f>'SEAP template'!E76</f>
        <v>0</v>
      </c>
      <c r="F8" s="972">
        <f>'SEAP template'!F76</f>
        <v>966.35587993881552</v>
      </c>
      <c r="G8" s="972">
        <f>'SEAP template'!G76</f>
        <v>0</v>
      </c>
      <c r="H8" s="972">
        <f>'SEAP template'!H76</f>
        <v>0</v>
      </c>
      <c r="I8" s="972">
        <f>'SEAP template'!I76</f>
        <v>2899.0676398164469</v>
      </c>
      <c r="J8" s="972">
        <f>'SEAP template'!J76</f>
        <v>154.51074783637105</v>
      </c>
      <c r="K8" s="972">
        <f>'SEAP template'!K76</f>
        <v>0</v>
      </c>
      <c r="L8" s="972">
        <f>'SEAP template'!L76</f>
        <v>0</v>
      </c>
      <c r="M8" s="972">
        <f>'SEAP template'!M76</f>
        <v>0</v>
      </c>
      <c r="N8" s="972">
        <f>'SEAP template'!N76</f>
        <v>0</v>
      </c>
      <c r="O8" s="972">
        <f>'SEAP template'!O76</f>
        <v>0</v>
      </c>
      <c r="P8" s="973">
        <f>'SEAP template'!Q76</f>
        <v>37471.171356713683</v>
      </c>
    </row>
    <row r="9" spans="1:16">
      <c r="A9" s="978" t="s">
        <v>718</v>
      </c>
      <c r="B9" s="972">
        <f>'SEAP template'!B77</f>
        <v>1341</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3831.4285714285716</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92550.139608713551</v>
      </c>
      <c r="C10" s="974">
        <f>SUM(C4:C9)</f>
        <v>157411.40837049513</v>
      </c>
      <c r="D10" s="974">
        <f t="shared" ref="D10:H10" si="0">SUM(D8:D9)</f>
        <v>184223.53632064365</v>
      </c>
      <c r="E10" s="974">
        <f t="shared" si="0"/>
        <v>0</v>
      </c>
      <c r="F10" s="974">
        <f t="shared" si="0"/>
        <v>966.35587993881552</v>
      </c>
      <c r="G10" s="974">
        <f t="shared" si="0"/>
        <v>0</v>
      </c>
      <c r="H10" s="974">
        <f t="shared" si="0"/>
        <v>0</v>
      </c>
      <c r="I10" s="974">
        <f>SUM(I8:I9)</f>
        <v>2899.0676398164469</v>
      </c>
      <c r="J10" s="974">
        <f>SUM(J8:J9)</f>
        <v>3985.9393192649427</v>
      </c>
      <c r="K10" s="974">
        <f t="shared" ref="K10:L10" si="1">SUM(K8:K9)</f>
        <v>0</v>
      </c>
      <c r="L10" s="974">
        <f t="shared" si="1"/>
        <v>0</v>
      </c>
      <c r="M10" s="974">
        <f>SUM(M8:M9)</f>
        <v>0</v>
      </c>
      <c r="N10" s="974">
        <f>SUM(N8:N9)</f>
        <v>0</v>
      </c>
      <c r="O10" s="974">
        <f>SUM(O8:O9)</f>
        <v>0</v>
      </c>
      <c r="P10" s="974">
        <f>SUM(P8:P9)</f>
        <v>37471.171356713683</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0.14990774244937249</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3689.4797990665338</v>
      </c>
      <c r="C17" s="975">
        <f>'SEAP template'!C87</f>
        <v>223755.30591521919</v>
      </c>
      <c r="D17" s="973">
        <f>'SEAP template'!D87</f>
        <v>261867.89225078488</v>
      </c>
      <c r="E17" s="973">
        <f>'SEAP template'!E87</f>
        <v>0</v>
      </c>
      <c r="F17" s="973">
        <f>'SEAP template'!F87</f>
        <v>1373.6441200611841</v>
      </c>
      <c r="G17" s="973">
        <f>'SEAP template'!G87</f>
        <v>0</v>
      </c>
      <c r="H17" s="973">
        <f>'SEAP template'!H87</f>
        <v>0</v>
      </c>
      <c r="I17" s="973">
        <f>'SEAP template'!I87</f>
        <v>4120.9323601835522</v>
      </c>
      <c r="J17" s="973">
        <f>'SEAP template'!J87</f>
        <v>219.63210930648603</v>
      </c>
      <c r="K17" s="973">
        <f>'SEAP template'!K87</f>
        <v>0</v>
      </c>
      <c r="L17" s="973">
        <f>'SEAP template'!L87</f>
        <v>0</v>
      </c>
      <c r="M17" s="973">
        <f>'SEAP template'!M87</f>
        <v>0</v>
      </c>
      <c r="N17" s="973">
        <f>'SEAP template'!N87</f>
        <v>0</v>
      </c>
      <c r="O17" s="973">
        <f>'SEAP template'!O87</f>
        <v>0</v>
      </c>
      <c r="P17" s="973">
        <f>'SEAP template'!Q87</f>
        <v>53264.077214714889</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3689.4797990665338</v>
      </c>
      <c r="C20" s="974">
        <f>SUM(C17:C19)</f>
        <v>223755.30591521919</v>
      </c>
      <c r="D20" s="974">
        <f t="shared" ref="D20:H20" si="2">SUM(D17:D19)</f>
        <v>261867.89225078488</v>
      </c>
      <c r="E20" s="974">
        <f t="shared" si="2"/>
        <v>0</v>
      </c>
      <c r="F20" s="974">
        <f t="shared" si="2"/>
        <v>1373.6441200611841</v>
      </c>
      <c r="G20" s="974">
        <f t="shared" si="2"/>
        <v>0</v>
      </c>
      <c r="H20" s="974">
        <f t="shared" si="2"/>
        <v>0</v>
      </c>
      <c r="I20" s="974">
        <f>SUM(I17:I19)</f>
        <v>4120.9323601835522</v>
      </c>
      <c r="J20" s="974">
        <f>SUM(J17:J19)</f>
        <v>219.63210930648603</v>
      </c>
      <c r="K20" s="974">
        <f t="shared" ref="K20:L20" si="3">SUM(K17:K19)</f>
        <v>0</v>
      </c>
      <c r="L20" s="974">
        <f t="shared" si="3"/>
        <v>0</v>
      </c>
      <c r="M20" s="974">
        <f>SUM(M17:M19)</f>
        <v>0</v>
      </c>
      <c r="N20" s="974">
        <f>SUM(N17:N19)</f>
        <v>0</v>
      </c>
      <c r="O20" s="974">
        <f>SUM(O17:O19)</f>
        <v>0</v>
      </c>
      <c r="P20" s="974">
        <f>SUM(P17:P19)</f>
        <v>53264.077214714889</v>
      </c>
    </row>
    <row r="21" spans="1:16">
      <c r="B21" s="841"/>
    </row>
    <row r="22" spans="1:16">
      <c r="A22" s="457" t="s">
        <v>730</v>
      </c>
      <c r="B22" s="737" t="s">
        <v>728</v>
      </c>
      <c r="C22" s="737">
        <f ca="1">'EF ele_warmte'!B22</f>
        <v>0.23418464858378765</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0.14990774244937249</v>
      </c>
      <c r="C17" s="493">
        <f ca="1">'EF ele_warmte'!B22</f>
        <v>0.23418464858378765</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2</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9.7945215316823084</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2022-07-26T09:41:15Z</dcterms:modified>
</cp:coreProperties>
</file>