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B40E5B75-A22B-4D5E-B644-DD15EFAAE74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<sst xmlns="http://schemas.openxmlformats.org/spreadsheetml/2006/main" count="2377" uniqueCount="864">
  <si>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</si>
  <si>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</si>
  <si>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</si>
  <si>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</si>
  <si>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</si>
  <si>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</si>
  <si>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</si>
  <si>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</si>
  <si>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</si>
  <si>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</si>
  <si>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</si>
  <si>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</si>
  <si>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</si>
  <si>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</si>
  <si>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</si>
  <si>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</si>
  <si>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</si>
  <si>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</si>
  <si>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</si>
  <si>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</si>
  <si>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</si>
  <si>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</si>
  <si>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</si>
  <si>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</si>
  <si>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</si>
  <si>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</si>
  <si>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</si>
  <si>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</si>
  <si>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</si>
  <si>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</si>
  <si>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</si>
  <si>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</si>
  <si>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</si>
  <si>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</si>
  <si>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</si>
  <si>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</si>
  <si>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</si>
  <si>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</si>
  <si>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</si>
  <si>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</si>
  <si>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</si>
  <si>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</si>
  <si>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</si>
  <si>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</si>
  <si>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</si>
  <si>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</si>
  <si>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</si>
  <si>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</si>
  <si>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</si>
  <si>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</si>
  <si>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</si>
  <si>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</si>
  <si>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</si>
  <si>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</si>
  <si>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</si>
  <si>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</si>
  <si>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</si>
  <si>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</si>
  <si>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</si>
  <si>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</si>
  <si>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</si>
  <si>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</si>
  <si>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</si>
  <si>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</si>
  <si>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</si>
  <si>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</si>
  <si>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</si>
  <si>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</si>
  <si>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</si>
  <si>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</si>
  <si>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</si>
  <si>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</si>
  <si>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</si>
  <si>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</si>
  <si>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</si>
  <si>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</si>
  <si>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</si>
  <si>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</si>
  <si>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</si>
  <si>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</si>
  <si>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</si>
  <si>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</si>
  <si>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</si>
  <si>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</si>
  <si>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</si>
  <si>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</si>
  <si>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</si>
  <si>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</si>
  <si>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</si>
  <si>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</si>
  <si>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</si>
  <si>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</si>
  <si>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</si>
  <si>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</si>
  <si>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</si>
  <si>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</si>
  <si>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</si>
  <si>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</si>
  <si>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</si>
  <si>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</si>
  <si>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</si>
  <si>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</si>
  <si>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</si>
  <si>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</si>
  <si>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</si>
  <si>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</si>
  <si>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</si>
  <si>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</si>
  <si>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</si>
  <si>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</si>
  <si>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</si>
  <si>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</si>
  <si>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</si>
  <si>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</si>
  <si>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</si>
  <si>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</si>
  <si>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</si>
  <si>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</si>
  <si>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</si>
  <si>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</si>
  <si>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</si>
  <si>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</si>
  <si>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</si>
  <si>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</si>
  <si>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</si>
  <si>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</si>
  <si>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</si>
  <si>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</si>
  <si>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</si>
  <si>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</si>
  <si>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</si>
  <si>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</si>
  <si>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</si>
  <si>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</si>
  <si>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</si>
  <si>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</si>
  <si>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</si>
  <si>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</si>
  <si>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</si>
  <si>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</si>
  <si>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</si>
  <si>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</si>
  <si>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</si>
  <si>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</si>
  <si>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</si>
  <si>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</si>
  <si>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</si>
  <si>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</si>
  <si>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</si>
  <si>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</si>
  <si>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</si>
  <si>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</si>
  <si>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</si>
  <si>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</si>
  <si>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</si>
  <si>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</si>
  <si>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</si>
  <si>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</si>
  <si>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</si>
  <si>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</si>
  <si>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</si>
  <si>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</si>
  <si>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</si>
  <si>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</si>
  <si>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</si>
  <si>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</si>
  <si>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</si>
  <si>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</si>
  <si>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</si>
  <si>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</si>
  <si>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</si>
  <si>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</si>
  <si>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</si>
  <si>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</si>
  <si>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</si>
  <si>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</si>
  <si>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</si>
  <si>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</si>
  <si>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</si>
  <si>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</si>
  <si>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</si>
  <si>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</si>
  <si>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</si>
  <si>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</si>
  <si>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</si>
  <si>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</si>
  <si>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</si>
  <si>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</si>
  <si>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</si>
  <si>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</si>
  <si>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</si>
  <si>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</si>
  <si>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</si>
  <si>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</si>
  <si>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</si>
  <si>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</si>
  <si>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</si>
  <si>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</si>
  <si>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</si>
  <si>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</si>
  <si>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</si>
  <si>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</si>
  <si>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</si>
  <si>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</si>
  <si>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</si>
  <si>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</si>
  <si>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</si>
  <si>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</si>
  <si>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</si>
  <si>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</si>
  <si>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</si>
  <si>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</si>
  <si>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</si>
  <si>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</si>
  <si>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</si>
  <si>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</si>
  <si>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</si>
  <si>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</si>
  <si>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</si>
  <si>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</si>
  <si>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</si>
  <si>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</si>
  <si>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</si>
  <si>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</si>
  <si>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</si>
  <si>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</si>
  <si>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</si>
  <si>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</si>
  <si>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</si>
  <si>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</si>
  <si>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</si>
  <si>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</si>
  <si>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</si>
  <si>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</si>
  <si>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</si>
  <si>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</si>
  <si>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</si>
  <si>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</si>
  <si>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</si>
  <si>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</si>
  <si>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</si>
  <si>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</si>
  <si>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</si>
  <si>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</si>
  <si>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</si>
  <si>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</si>
  <si>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</si>
  <si>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</si>
  <si>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</si>
  <si>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</si>
  <si>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</si>
  <si>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</si>
  <si>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</si>
  <si>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</si>
  <si>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</si>
  <si>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</si>
  <si>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</si>
  <si>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</si>
  <si>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</si>
  <si>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</si>
  <si>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</si>
  <si>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</si>
  <si>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</si>
  <si>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</si>
  <si>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</si>
  <si>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</si>
  <si>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</si>
  <si>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</si>
  <si>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</si>
  <si>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</si>
  <si>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</si>
  <si>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</si>
  <si>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</si>
  <si>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</si>
  <si>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</si>
  <si>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</si>
  <si>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</si>
  <si>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</si>
  <si>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</si>
  <si>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</si>
  <si>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</si>
  <si>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</si>
  <si>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</si>
  <si>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</si>
  <si>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</si>
  <si>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</si>
  <si>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</si>
  <si>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</si>
  <si>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</si>
  <si>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</si>
  <si>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</si>
  <si>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</si>
  <si>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</si>
  <si>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</si>
  <si>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</si>
  <si>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</si>
  <si>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</si>
  <si>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</si>
  <si>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</si>
  <si>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</si>
  <si>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</si>
  <si>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</si>
  <si>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</si>
  <si>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</si>
  <si>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</si>
  <si>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</si>
  <si>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</si>
  <si>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</si>
  <si>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</si>
  <si>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</si>
  <si>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</si>
  <si>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</si>
  <si>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</si>
  <si>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</si>
  <si>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</si>
  <si>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</si>
  <si>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</si>
  <si>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</si>
  <si>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</si>
  <si>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</si>
  <si>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</si>
  <si>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</si>
  <si>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</si>
  <si>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</si>
  <si>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</si>
  <si>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</si>
  <si>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</si>
  <si>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</si>
  <si>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</si>
  <si>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</si>
  <si>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</si>
  <si>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</si>
  <si>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</si>
  <si>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</si>
  <si>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</si>
  <si>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</si>
  <si>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</si>
  <si>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</si>
  <si>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</si>
  <si>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</si>
  <si>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</si>
  <si>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</si>
  <si>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</si>
  <si>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</si>
  <si>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</si>
  <si>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</si>
  <si>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</si>
  <si>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</si>
  <si>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</si>
  <si>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</si>
  <si>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</si>
  <si>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</si>
  <si>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</si>
  <si>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</si>
  <si>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</si>
  <si>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</si>
  <si>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</si>
  <si>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</si>
  <si>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</si>
  <si>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</si>
  <si>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</si>
  <si>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</si>
  <si>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</si>
  <si>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</si>
  <si>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</si>
  <si>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</si>
  <si>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</si>
  <si>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</si>
  <si>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</si>
  <si>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</si>
  <si>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</si>
  <si>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</si>
  <si>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</si>
  <si>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</si>
  <si>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</si>
  <si>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</si>
  <si>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</si>
  <si>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</si>
  <si>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</si>
  <si>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</si>
  <si>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</si>
  <si>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</si>
  <si>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</si>
  <si>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</si>
  <si>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</si>
  <si>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</si>
  <si>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</si>
  <si>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</si>
  <si>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</si>
  <si>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</si>
  <si>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</si>
  <si>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</si>
  <si>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</si>
  <si>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</si>
  <si>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</si>
  <si>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</si>
  <si>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</si>
  <si>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</si>
  <si>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</si>
  <si>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</si>
  <si>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</si>
  <si>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</si>
  <si>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</si>
  <si>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</si>
  <si>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</si>
  <si>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</si>
  <si>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</si>
  <si>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</si>
  <si>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</si>
  <si>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</si>
  <si>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</si>
  <si>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</si>
  <si>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</si>
  <si>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</si>
  <si>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</si>
  <si>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</si>
  <si>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</si>
  <si>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</si>
  <si>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</si>
  <si>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</si>
  <si>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</si>
  <si>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</si>
  <si>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</si>
  <si>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</si>
  <si>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</si>
  <si>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</si>
  <si>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</si>
  <si>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</si>
  <si>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</si>
  <si>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</si>
  <si>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</si>
  <si>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</si>
  <si>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</si>
  <si>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</si>
  <si>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</si>
  <si>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</si>
  <si>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</si>
  <si>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</si>
  <si>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</si>
  <si>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</si>
  <si>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</si>
  <si>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</si>
  <si>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</si>
  <si>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</si>
  <si>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</si>
  <si>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</si>
  <si>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</si>
  <si>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</si>
  <si>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</si>
  <si>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</si>
  <si>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</si>
  <si>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</si>
  <si>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</si>
  <si>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</si>
  <si>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</si>
  <si>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</si>
  <si>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</si>
  <si>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</si>
  <si>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</si>
  <si>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</si>
  <si>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</si>
  <si>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</si>
  <si>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</si>
  <si>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</si>
  <si>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</si>
  <si>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</si>
  <si>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</si>
  <si>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</si>
  <si>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</si>
  <si>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</si>
  <si>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</si>
  <si>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</si>
  <si>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</si>
  <si>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</si>
  <si>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</si>
  <si>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</si>
  <si>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</si>
  <si>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</si>
  <si>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</si>
  <si>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</si>
  <si>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</si>
  <si>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</si>
  <si>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</si>
  <si>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</si>
  <si>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</si>
  <si>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</si>
  <si>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</si>
  <si>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</si>
  <si>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</si>
  <si>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</si>
  <si>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</si>
  <si>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</si>
  <si>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</si>
  <si>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</si>
  <si>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</si>
  <si>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</si>
  <si>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</si>
  <si>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</si>
  <si>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</si>
  <si>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</si>
  <si>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</si>
  <si>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</si>
  <si>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</si>
  <si>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</si>
  <si>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</si>
  <si>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</si>
  <si>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</si>
  <si>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</si>
  <si>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</si>
  <si>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</si>
  <si>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</si>
  <si>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</si>
  <si>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</si>
  <si>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</si>
  <si>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</si>
  <si>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</si>
  <si>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</si>
  <si>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</si>
  <si>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</si>
  <si>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</si>
  <si>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</si>
  <si>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</si>
  <si>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</si>
  <si>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</si>
  <si>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</si>
  <si>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</si>
  <si>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</si>
  <si>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</si>
  <si>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</si>
  <si>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</si>
  <si>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</si>
  <si>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</si>
  <si>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</si>
  <si>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</si>
  <si>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</si>
  <si>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</si>
  <si>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</si>
  <si>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</si>
  <si>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</si>
  <si>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</si>
  <si>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</si>
  <si>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</si>
  <si>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</si>
  <si>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</si>
  <si>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</si>
  <si>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</si>
  <si>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</si>
  <si>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</si>
  <si>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</si>
  <si>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</si>
  <si>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</si>
  <si>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</si>
  <si>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</si>
  <si>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</si>
  <si>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</si>
  <si>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</si>
  <si>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</si>
  <si>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</si>
  <si>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</si>
  <si>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</si>
  <si>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</si>
  <si>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</si>
  <si>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</si>
  <si>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</si>
  <si>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</si>
  <si>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</si>
  <si>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</si>
  <si>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</si>
  <si>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</si>
  <si>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</si>
  <si>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</si>
  <si>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</si>
  <si>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</si>
  <si>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</si>
  <si>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</si>
  <si>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</si>
  <si>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</si>
  <si>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</si>
  <si>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</si>
  <si>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</si>
  <si>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</si>
  <si>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</si>
  <si>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</si>
  <si>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</si>
  <si>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</si>
  <si>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</si>
  <si>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</si>
  <si>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</si>
  <si>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</si>
  <si>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</si>
  <si>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</si>
  <si>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</si>
  <si>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</si>
  <si>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</si>
  <si>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</si>
  <si>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</si>
  <si>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</si>
  <si>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</si>
  <si>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</si>
  <si>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</si>
  <si>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</si>
  <si>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</si>
  <si>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</si>
  <si>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</si>
  <si>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</si>
  <si>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</si>
  <si>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</si>
  <si>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</si>
  <si>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</si>
  <si>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</si>
  <si>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</si>
  <si>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</si>
  <si>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</si>
  <si>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</si>
  <si>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</si>
  <si>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</si>
  <si>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</si>
  <si>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</si>
  <si>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</si>
  <si>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</si>
  <si>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</si>
  <si>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</si>
  <si>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</si>
  <si>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</si>
  <si>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</si>
  <si>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</si>
  <si>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</si>
  <si>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</si>
  <si>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</si>
  <si>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</si>
  <si>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</si>
  <si>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</si>
  <si>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</si>
  <si>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</si>
  <si>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</si>
  <si>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</si>
  <si>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</si>
  <si>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</si>
  <si>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</si>
  <si>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</si>
  <si>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</si>
  <si>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</si>
  <si>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</si>
  <si>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</si>
  <si>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</si>
  <si>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</si>
  <si>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</si>
  <si>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</si>
  <si>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</si>
  <si>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</si>
  <si>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</si>
  <si>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</si>
  <si>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</si>
  <si>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</si>
  <si>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</si>
  <si>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</si>
  <si>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</si>
  <si>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</si>
  <si>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</si>
  <si>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</si>
  <si>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</si>
  <si>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</si>
  <si>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</si>
  <si>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</si>
  <si>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</si>
  <si>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</si>
  <si>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</si>
  <si>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</si>
  <si>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</si>
  <si>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</si>
  <si>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</si>
  <si>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</si>
  <si>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</si>
  <si>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</si>
  <si>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</si>
  <si>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</si>
  <si>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</si>
  <si>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</si>
  <si>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</si>
  <si>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</si>
  <si>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</si>
  <si>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</si>
  <si>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</si>
  <si>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</si>
  <si>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</si>
  <si>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</si>
  <si>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</si>
  <si>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</si>
  <si>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</si>
  <si>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</si>
  <si>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</si>
  <si>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</si>
  <si>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</si>
  <si>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</si>
  <si>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</si>
  <si>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</si>
  <si>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</si>
  <si>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</si>
  <si>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</si>
  <si>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</si>
  <si>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</si>
  <si>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</si>
  <si>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</si>
  <si>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</si>
  <si>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</si>
  <si>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</si>
  <si>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</si>
  <si>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</si>
  <si>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</si>
  <si>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</si>
  <si>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</si>
  <si>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</si>
  <si>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</si>
  <si>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</si>
  <si>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</si>
  <si>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</si>
  <si>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</si>
  <si>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</si>
  <si>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</si>
  <si>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</si>
  <si>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</si>
  <si>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</si>
  <si>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</si>
  <si>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</si>
  <si>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</si>
  <si>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</si>
  <si>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</si>
  <si>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</si>
  <si>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</si>
  <si>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</si>
  <si>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</si>
  <si>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</si>
  <si>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</si>
  <si>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</si>
  <si>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</si>
  <si>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</si>
  <si>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</si>
  <si>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</si>
  <si>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</si>
  <si>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</si>
  <si>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</si>
  <si>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</si>
  <si>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</si>
  <si>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</si>
  <si>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</si>
  <si>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</si>
  <si>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</si>
  <si>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</si>
  <si>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</si>
  <si>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</si>
  <si>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</si>
  <si>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</si>
  <si>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</si>
  <si>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</si>
  <si>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</si>
  <si>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</si>
  <si>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</si>
  <si>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</si>
  <si>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</si>
  <si>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</si>
  <si>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</si>
  <si>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</si>
  <si>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</si>
  <si>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</si>
  <si>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</si>
  <si>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</si>
  <si>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</si>
  <si>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</si>
  <si>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</si>
  <si>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</si>
  <si>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</si>
  <si>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</si>
  <si>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</si>
  <si>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</si>
  <si>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</si>
  <si>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</si>
  <si>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</si>
  <si>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</si>
  <si>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</si>
  <si>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</si>
  <si>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</si>
  <si>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</si>
  <si>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</si>
  <si>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</si>
  <si>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</si>
  <si>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</si>
  <si>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</si>
  <si>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</si>
  <si>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</si>
  <si>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</si>
  <si>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</si>
  <si>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</si>
  <si>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</si>
  <si>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</si>
  <si>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</si>
  <si>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</si>
  <si>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</si>
  <si>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</si>
  <si>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</si>
  <si>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</si>
  <si>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</si>
  <si>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</si>
  <si>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</si>
  <si>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</si>
  <si>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</si>
  <si>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</si>
  <si>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</si>
  <si>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</si>
  <si>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</si>
  <si>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</si>
  <si>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</si>
  <si>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</si>
  <si>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</si>
  <si>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</si>
  <si>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</si>
  <si>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</si>
  <si>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</si>
  <si>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</si>
  <si>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</si>
  <si>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</si>
  <si>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</si>
  <si>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</si>
  <si>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</si>
  <si>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</si>
  <si>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</si>
  <si>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</si>
  <si>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</si>
  <si>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</si>
  <si>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</si>
  <si>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</si>
  <si>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</si>
  <si>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</si>
  <si>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</si>
  <si>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</si>
  <si>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</si>
  <si>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</si>
  <si>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</si>
  <si>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</si>
  <si>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</si>
  <si>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</si>
  <si>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</si>
  <si>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</si>
  <si>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</si>
  <si>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</si>
  <si>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</si>
  <si>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</si>
  <si>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</si>
  <si>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</si>
  <si>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</si>
  <si>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</si>
  <si>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</si>
  <si>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</si>
  <si>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</si>
  <si>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</si>
  <si>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</si>
  <si>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</si>
  <si>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</si>
  <si>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11050</t>
  </si>
  <si>
    <t>WIJNEGEM</t>
  </si>
  <si>
    <t>waterkracht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</si>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</sst>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0CEB408D-146E-4B68-9CD7-70BAF4A2493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77647.215572660614</c:v>
                </c:pt>
                <c:pt idx="1">
                  <c:v>62610.324483682081</c:v>
                </c:pt>
                <c:pt idx="2">
                  <c:v>667.33900000000006</c:v>
                </c:pt>
                <c:pt idx="3">
                  <c:v>322.19160849639343</c:v>
                </c:pt>
                <c:pt idx="4">
                  <c:v>50266.675487295186</c:v>
                </c:pt>
                <c:pt idx="5">
                  <c:v>62111.225810342941</c:v>
                </c:pt>
                <c:pt idx="6">
                  <c:v>1774.1641269997533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77647.215572660614</c:v>
                </c:pt>
                <c:pt idx="1">
                  <c:v>62610.324483682081</c:v>
                </c:pt>
                <c:pt idx="2">
                  <c:v>667.33900000000006</c:v>
                </c:pt>
                <c:pt idx="3">
                  <c:v>322.19160849639343</c:v>
                </c:pt>
                <c:pt idx="4">
                  <c:v>50266.675487295186</c:v>
                </c:pt>
                <c:pt idx="5">
                  <c:v>62111.225810342941</c:v>
                </c:pt>
                <c:pt idx="6">
                  <c:v>1774.1641269997533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15149.899778496212</c:v>
                </c:pt>
                <c:pt idx="1">
                  <c:v>12503.2205331855</c:v>
                </c:pt>
                <c:pt idx="2">
                  <c:v>129.04731771942602</c:v>
                </c:pt>
                <c:pt idx="3">
                  <c:v>72.115092761013528</c:v>
                </c:pt>
                <c:pt idx="4">
                  <c:v>10268.437947490685</c:v>
                </c:pt>
                <c:pt idx="5">
                  <c:v>15438.82605311481</c:v>
                </c:pt>
                <c:pt idx="6">
                  <c:v>412.73398570300731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15149.899778496212</c:v>
                </c:pt>
                <c:pt idx="1">
                  <c:v>12503.2205331855</c:v>
                </c:pt>
                <c:pt idx="2">
                  <c:v>129.04731771942602</c:v>
                </c:pt>
                <c:pt idx="3">
                  <c:v>72.115092761013528</c:v>
                </c:pt>
                <c:pt idx="4">
                  <c:v>10268.437947490685</c:v>
                </c:pt>
                <c:pt idx="5">
                  <c:v>15438.82605311481</c:v>
                </c:pt>
                <c:pt idx="6">
                  <c:v>412.73398570300731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11050</v>
      </c>
      <c r="B6" s="382"/>
      <c r="C6" s="383"/>
    </row>
    <row r="7" spans="1:7" s="380" customFormat="1" ht="15.75" customHeight="1">
      <c r="A7" s="384" t="str">
        <f>txtMunicipality</f>
        <v>WIJNEGEM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0.19337595692657855</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0.19337595692657855</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4136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93.94</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6</v>
      </c>
      <c r="C17" s="324"/>
      <c r="D17" s="324"/>
      <c r="E17" s="324"/>
      <c r="F17" s="324"/>
    </row>
    <row r="18" spans="1:6">
      <c r="A18" s="1264" t="s">
        <v>8</v>
      </c>
      <c r="B18" s="1265">
        <v>5</v>
      </c>
      <c r="C18" s="324"/>
      <c r="D18" s="324"/>
      <c r="E18" s="324"/>
      <c r="F18" s="324"/>
    </row>
    <row r="19" spans="1:6">
      <c r="A19" s="1264" t="s">
        <v>9</v>
      </c>
      <c r="B19" s="1265">
        <v>6</v>
      </c>
      <c r="C19" s="324"/>
      <c r="D19" s="324"/>
      <c r="E19" s="324"/>
      <c r="F19" s="324"/>
    </row>
    <row r="20" spans="1:6">
      <c r="A20" s="1264" t="s">
        <v>10</v>
      </c>
      <c r="B20" s="1265">
        <v>3</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8</v>
      </c>
      <c r="C29" s="324"/>
      <c r="D29" s="324"/>
      <c r="E29" s="324"/>
      <c r="F29" s="324"/>
    </row>
    <row r="30" spans="1:6">
      <c r="A30" s="1259" t="s">
        <v>658</v>
      </c>
      <c r="B30" s="1267">
        <v>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3614</v>
      </c>
      <c r="D39" s="1265">
        <v>53600480.578204401</v>
      </c>
      <c r="E39" s="1265">
        <v>4183</v>
      </c>
      <c r="F39" s="1265">
        <v>13245517.281355999</v>
      </c>
    </row>
    <row r="40" spans="1:6">
      <c r="A40" s="1264" t="s">
        <v>29</v>
      </c>
      <c r="B40" s="1264" t="s">
        <v>28</v>
      </c>
      <c r="C40" s="1265">
        <v>0</v>
      </c>
      <c r="D40" s="1265">
        <v>0</v>
      </c>
      <c r="E40" s="1265">
        <v>0</v>
      </c>
      <c r="F40" s="1265">
        <v>0</v>
      </c>
    </row>
    <row r="41" spans="1:6">
      <c r="A41" s="1264" t="s">
        <v>31</v>
      </c>
      <c r="B41" s="1264" t="s">
        <v>32</v>
      </c>
      <c r="C41" s="1265">
        <v>57</v>
      </c>
      <c r="D41" s="1265">
        <v>30032964.981143899</v>
      </c>
      <c r="E41" s="1265">
        <v>89</v>
      </c>
      <c r="F41" s="1265">
        <v>6388719.1749646002</v>
      </c>
    </row>
    <row r="42" spans="1:6">
      <c r="A42" s="1264" t="s">
        <v>31</v>
      </c>
      <c r="B42" s="1264" t="s">
        <v>33</v>
      </c>
      <c r="C42" s="1265">
        <v>0</v>
      </c>
      <c r="D42" s="1265">
        <v>0</v>
      </c>
      <c r="E42" s="1265">
        <v>3</v>
      </c>
      <c r="F42" s="1265">
        <v>1006125.6530881</v>
      </c>
    </row>
    <row r="43" spans="1:6">
      <c r="A43" s="1264" t="s">
        <v>31</v>
      </c>
      <c r="B43" s="1264" t="s">
        <v>34</v>
      </c>
      <c r="C43" s="1265">
        <v>0</v>
      </c>
      <c r="D43" s="1265">
        <v>0</v>
      </c>
      <c r="E43" s="1265">
        <v>0</v>
      </c>
      <c r="F43" s="1265">
        <v>0</v>
      </c>
    </row>
    <row r="44" spans="1:6">
      <c r="A44" s="1264" t="s">
        <v>31</v>
      </c>
      <c r="B44" s="1264" t="s">
        <v>35</v>
      </c>
      <c r="C44" s="1265">
        <v>5</v>
      </c>
      <c r="D44" s="1265">
        <v>1661203.36632061</v>
      </c>
      <c r="E44" s="1265">
        <v>13</v>
      </c>
      <c r="F44" s="1265">
        <v>1687572.6222826501</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5</v>
      </c>
      <c r="D48" s="1265">
        <v>1409620.52111308</v>
      </c>
      <c r="E48" s="1265">
        <v>3</v>
      </c>
      <c r="F48" s="1265">
        <v>299113.844548719</v>
      </c>
    </row>
    <row r="49" spans="1:6">
      <c r="A49" s="1264" t="s">
        <v>31</v>
      </c>
      <c r="B49" s="1264" t="s">
        <v>39</v>
      </c>
      <c r="C49" s="1265">
        <v>0</v>
      </c>
      <c r="D49" s="1265">
        <v>0</v>
      </c>
      <c r="E49" s="1265">
        <v>4</v>
      </c>
      <c r="F49" s="1265">
        <v>725511.41118896299</v>
      </c>
    </row>
    <row r="50" spans="1:6">
      <c r="A50" s="1264" t="s">
        <v>31</v>
      </c>
      <c r="B50" s="1264" t="s">
        <v>40</v>
      </c>
      <c r="C50" s="1265">
        <v>8</v>
      </c>
      <c r="D50" s="1265">
        <v>3627068.5841770298</v>
      </c>
      <c r="E50" s="1265">
        <v>9</v>
      </c>
      <c r="F50" s="1265">
        <v>2042917.5008932101</v>
      </c>
    </row>
    <row r="51" spans="1:6">
      <c r="A51" s="1264" t="s">
        <v>41</v>
      </c>
      <c r="B51" s="1264" t="s">
        <v>42</v>
      </c>
      <c r="C51" s="1265">
        <v>3</v>
      </c>
      <c r="D51" s="1265">
        <v>210269.44846813701</v>
      </c>
      <c r="E51" s="1265">
        <v>4</v>
      </c>
      <c r="F51" s="1265">
        <v>29667.566127016002</v>
      </c>
    </row>
    <row r="52" spans="1:6">
      <c r="A52" s="1264" t="s">
        <v>41</v>
      </c>
      <c r="B52" s="1264" t="s">
        <v>28</v>
      </c>
      <c r="C52" s="1265">
        <v>0</v>
      </c>
      <c r="D52" s="1265">
        <v>0</v>
      </c>
      <c r="E52" s="1265">
        <v>0</v>
      </c>
      <c r="F52" s="1265">
        <v>0</v>
      </c>
    </row>
    <row r="53" spans="1:6">
      <c r="A53" s="1264" t="s">
        <v>43</v>
      </c>
      <c r="B53" s="1264" t="s">
        <v>44</v>
      </c>
      <c r="C53" s="1265">
        <v>83</v>
      </c>
      <c r="D53" s="1265">
        <v>2223172.1186456899</v>
      </c>
      <c r="E53" s="1265">
        <v>182</v>
      </c>
      <c r="F53" s="1265">
        <v>7256485.5487414096</v>
      </c>
    </row>
    <row r="54" spans="1:6">
      <c r="A54" s="1264" t="s">
        <v>45</v>
      </c>
      <c r="B54" s="1264" t="s">
        <v>46</v>
      </c>
      <c r="C54" s="1265">
        <v>0</v>
      </c>
      <c r="D54" s="1265">
        <v>0</v>
      </c>
      <c r="E54" s="1265">
        <v>1</v>
      </c>
      <c r="F54" s="1265">
        <v>667339</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46</v>
      </c>
      <c r="D57" s="1265">
        <v>5424468.4548499202</v>
      </c>
      <c r="E57" s="1265">
        <v>110</v>
      </c>
      <c r="F57" s="1265">
        <v>2404447.9775675102</v>
      </c>
    </row>
    <row r="58" spans="1:6">
      <c r="A58" s="1264" t="s">
        <v>48</v>
      </c>
      <c r="B58" s="1264" t="s">
        <v>50</v>
      </c>
      <c r="C58" s="1265">
        <v>20</v>
      </c>
      <c r="D58" s="1265">
        <v>2798227.5286635198</v>
      </c>
      <c r="E58" s="1265">
        <v>29</v>
      </c>
      <c r="F58" s="1265">
        <v>919721.26120698499</v>
      </c>
    </row>
    <row r="59" spans="1:6">
      <c r="A59" s="1264" t="s">
        <v>48</v>
      </c>
      <c r="B59" s="1264" t="s">
        <v>51</v>
      </c>
      <c r="C59" s="1265">
        <v>109</v>
      </c>
      <c r="D59" s="1265">
        <v>8427659.2469653804</v>
      </c>
      <c r="E59" s="1265">
        <v>386</v>
      </c>
      <c r="F59" s="1265">
        <v>18692423.607174199</v>
      </c>
    </row>
    <row r="60" spans="1:6">
      <c r="A60" s="1264" t="s">
        <v>48</v>
      </c>
      <c r="B60" s="1264" t="s">
        <v>52</v>
      </c>
      <c r="C60" s="1265">
        <v>48</v>
      </c>
      <c r="D60" s="1265">
        <v>3142089.1018308802</v>
      </c>
      <c r="E60" s="1265">
        <v>83</v>
      </c>
      <c r="F60" s="1265">
        <v>4942931.34186834</v>
      </c>
    </row>
    <row r="61" spans="1:6">
      <c r="A61" s="1264" t="s">
        <v>48</v>
      </c>
      <c r="B61" s="1264" t="s">
        <v>53</v>
      </c>
      <c r="C61" s="1265">
        <v>206</v>
      </c>
      <c r="D61" s="1265">
        <v>6862287.22342938</v>
      </c>
      <c r="E61" s="1265">
        <v>346</v>
      </c>
      <c r="F61" s="1265">
        <v>3890923.3825244401</v>
      </c>
    </row>
    <row r="62" spans="1:6">
      <c r="A62" s="1264" t="s">
        <v>48</v>
      </c>
      <c r="B62" s="1264" t="s">
        <v>54</v>
      </c>
      <c r="C62" s="1265">
        <v>18</v>
      </c>
      <c r="D62" s="1265">
        <v>1511872.25436006</v>
      </c>
      <c r="E62" s="1265">
        <v>19</v>
      </c>
      <c r="F62" s="1265">
        <v>456100.61146310897</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3</v>
      </c>
      <c r="D65" s="1265">
        <v>69304.566669683394</v>
      </c>
      <c r="E65" s="1265">
        <v>2</v>
      </c>
      <c r="F65" s="1265">
        <v>12452.160841589501</v>
      </c>
    </row>
    <row r="66" spans="1:6">
      <c r="A66" s="1264" t="s">
        <v>55</v>
      </c>
      <c r="B66" s="1264" t="s">
        <v>57</v>
      </c>
      <c r="C66" s="1265">
        <v>0</v>
      </c>
      <c r="D66" s="1265">
        <v>0</v>
      </c>
      <c r="E66" s="1265">
        <v>21</v>
      </c>
      <c r="F66" s="1265">
        <v>213394.821939338</v>
      </c>
    </row>
    <row r="67" spans="1:6">
      <c r="A67" s="1264" t="s">
        <v>55</v>
      </c>
      <c r="B67" s="1264" t="s">
        <v>58</v>
      </c>
      <c r="C67" s="1265">
        <v>0</v>
      </c>
      <c r="D67" s="1265">
        <v>0</v>
      </c>
      <c r="E67" s="1265">
        <v>0</v>
      </c>
      <c r="F67" s="1265">
        <v>0</v>
      </c>
    </row>
    <row r="68" spans="1:6">
      <c r="A68" s="1259" t="s">
        <v>55</v>
      </c>
      <c r="B68" s="1259" t="s">
        <v>59</v>
      </c>
      <c r="C68" s="1267">
        <v>3</v>
      </c>
      <c r="D68" s="1267">
        <v>71677.219524144602</v>
      </c>
      <c r="E68" s="1267">
        <v>8</v>
      </c>
      <c r="F68" s="1267">
        <v>248709.825658129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63081544</v>
      </c>
      <c r="E73" s="443"/>
      <c r="F73" s="324"/>
    </row>
    <row r="74" spans="1:6">
      <c r="A74" s="1264" t="s">
        <v>63</v>
      </c>
      <c r="B74" s="1264" t="s">
        <v>608</v>
      </c>
      <c r="C74" s="1277" t="s">
        <v>610</v>
      </c>
      <c r="D74" s="1265">
        <v>6402671.2919176202</v>
      </c>
      <c r="E74" s="443"/>
      <c r="F74" s="324"/>
    </row>
    <row r="75" spans="1:6">
      <c r="A75" s="1264" t="s">
        <v>64</v>
      </c>
      <c r="B75" s="1264" t="s">
        <v>607</v>
      </c>
      <c r="C75" s="1277" t="s">
        <v>611</v>
      </c>
      <c r="D75" s="1265">
        <v>5066610</v>
      </c>
      <c r="E75" s="443"/>
      <c r="F75" s="324"/>
    </row>
    <row r="76" spans="1:6">
      <c r="A76" s="1264" t="s">
        <v>64</v>
      </c>
      <c r="B76" s="1264" t="s">
        <v>608</v>
      </c>
      <c r="C76" s="1277" t="s">
        <v>612</v>
      </c>
      <c r="D76" s="1265">
        <v>263890.29191761999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327679.41616476001</v>
      </c>
      <c r="C83" s="443"/>
      <c r="D83" s="324"/>
      <c r="E83" s="324"/>
      <c r="F83" s="324"/>
    </row>
    <row r="84" spans="1:6">
      <c r="A84" s="1259" t="s">
        <v>324</v>
      </c>
      <c r="B84" s="1267">
        <v>167660.78931198601</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546.7015835149374</v>
      </c>
      <c r="C89" s="324"/>
      <c r="D89" s="324"/>
      <c r="E89" s="324"/>
      <c r="F89" s="324"/>
    </row>
    <row r="90" spans="1:6">
      <c r="A90" s="1264" t="s">
        <v>524</v>
      </c>
      <c r="B90" s="1265">
        <v>0</v>
      </c>
      <c r="C90" s="324"/>
      <c r="D90" s="324"/>
      <c r="E90" s="324"/>
      <c r="F90" s="324"/>
    </row>
    <row r="91" spans="1:6">
      <c r="A91" s="1264" t="s">
        <v>67</v>
      </c>
      <c r="B91" s="1265">
        <v>1558.4725327676304</v>
      </c>
      <c r="C91" s="324"/>
      <c r="D91" s="324"/>
      <c r="E91" s="324"/>
      <c r="F91" s="324"/>
    </row>
    <row r="92" spans="1:6">
      <c r="A92" s="1259" t="s">
        <v>68</v>
      </c>
      <c r="B92" s="1260">
        <v>6275.4735234205073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2433</v>
      </c>
      <c r="C97" s="324"/>
      <c r="D97" s="324"/>
      <c r="E97" s="324"/>
      <c r="F97" s="324"/>
    </row>
    <row r="98" spans="1:6">
      <c r="A98" s="1264" t="s">
        <v>71</v>
      </c>
      <c r="B98" s="1265">
        <v>7</v>
      </c>
      <c r="C98" s="324"/>
      <c r="D98" s="324"/>
      <c r="E98" s="324"/>
      <c r="F98" s="324"/>
    </row>
    <row r="99" spans="1:6">
      <c r="A99" s="1264" t="s">
        <v>72</v>
      </c>
      <c r="B99" s="1265">
        <v>11</v>
      </c>
      <c r="C99" s="324"/>
      <c r="D99" s="324"/>
      <c r="E99" s="324"/>
      <c r="F99" s="324"/>
    </row>
    <row r="100" spans="1:6">
      <c r="A100" s="1264" t="s">
        <v>73</v>
      </c>
      <c r="B100" s="1265">
        <v>240</v>
      </c>
      <c r="C100" s="324"/>
      <c r="D100" s="324"/>
      <c r="E100" s="324"/>
      <c r="F100" s="324"/>
    </row>
    <row r="101" spans="1:6">
      <c r="A101" s="1264" t="s">
        <v>74</v>
      </c>
      <c r="B101" s="1265">
        <v>35</v>
      </c>
      <c r="C101" s="324"/>
      <c r="D101" s="324"/>
      <c r="E101" s="324"/>
      <c r="F101" s="324"/>
    </row>
    <row r="102" spans="1:6">
      <c r="A102" s="1264" t="s">
        <v>75</v>
      </c>
      <c r="B102" s="1265">
        <v>54</v>
      </c>
      <c r="C102" s="324"/>
      <c r="D102" s="324"/>
      <c r="E102" s="324"/>
      <c r="F102" s="324"/>
    </row>
    <row r="103" spans="1:6">
      <c r="A103" s="1264" t="s">
        <v>76</v>
      </c>
      <c r="B103" s="1265">
        <v>51</v>
      </c>
      <c r="C103" s="324"/>
      <c r="D103" s="324"/>
      <c r="E103" s="324"/>
      <c r="F103" s="324"/>
    </row>
    <row r="104" spans="1:6">
      <c r="A104" s="1264" t="s">
        <v>77</v>
      </c>
      <c r="B104" s="1265">
        <v>534</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1</v>
      </c>
      <c r="C122" s="1265">
        <v>0</v>
      </c>
      <c r="D122" s="324"/>
      <c r="E122" s="324"/>
      <c r="F122" s="324"/>
    </row>
    <row r="123" spans="1:6">
      <c r="A123" s="1264" t="s">
        <v>87</v>
      </c>
      <c r="B123" s="1265">
        <v>2</v>
      </c>
      <c r="C123" s="1265">
        <v>92</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43</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7</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66998.69065837079</v>
      </c>
      <c r="C3" s="43" t="s">
        <v>163</v>
      </c>
      <c r="D3" s="43"/>
      <c r="E3" s="153"/>
      <c r="F3" s="43"/>
      <c r="G3" s="43"/>
      <c r="H3" s="43"/>
      <c r="I3" s="43"/>
      <c r="J3" s="43"/>
      <c r="K3" s="96"/>
    </row>
    <row r="4" spans="1:11">
      <c r="A4" s="350" t="s">
        <v>164</v>
      </c>
      <c r="B4" s="49">
        <f>IF(ISERROR('SEAP template'!B78+'SEAP template'!C78),0,'SEAP template'!B78+'SEAP template'!C78)</f>
        <v>8461.6476397030747</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19.249411764705883</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0.19337595692657855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27.499159663865555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115.71428571428572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667.33900000000006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667.33900000000006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0.19337595692657855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129.04731771942602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13245.517281356</v>
      </c>
      <c r="C5" s="17">
        <f>IF(ISERROR('Eigen informatie GS &amp; warmtenet'!B59),0,'Eigen informatie GS &amp; warmtenet'!B59)</f>
        <v>0</v>
      </c>
      <c r="D5" s="30">
        <f>(SUM(HH_hh_gas_kWh,HH_rest_gas_kWh)/1000)*0.903</f>
        <v>48401.233962118575</v>
      </c>
      <c r="E5" s="17">
        <f>B32*B41</f>
        <v>541.61139880480494</v>
      </c>
      <c r="F5" s="17">
        <f>B36*B45</f>
        <v>8875.7553285726026</v>
      </c>
      <c r="G5" s="18"/>
      <c r="H5" s="17"/>
      <c r="I5" s="17"/>
      <c r="J5" s="17">
        <f>B35*B44+C35*C44</f>
        <v>48.989721054256016</v>
      </c>
      <c r="K5" s="17"/>
      <c r="L5" s="17"/>
      <c r="M5" s="17"/>
      <c r="N5" s="17">
        <f>B34*B43+C34*C43</f>
        <v>4602.4613952926629</v>
      </c>
      <c r="O5" s="17">
        <f>B52*B53*B54</f>
        <v>267.83435961724928</v>
      </c>
      <c r="P5" s="17">
        <f>B60*B61*B62/1000-B60*B61*B62/1000/B63</f>
        <v>105.33959307685021</v>
      </c>
    </row>
    <row r="6" spans="1:16">
      <c r="A6" s="16" t="s">
        <v>573</v>
      </c>
      <c r="B6" s="739">
        <f>kWh_PV_kleiner_dan_10kW</f>
        <v>1558.4725327676304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14803.98981412363</v>
      </c>
      <c r="C8" s="21">
        <f>C5</f>
        <v>0</v>
      </c>
      <c r="D8" s="21">
        <f>D5</f>
        <v>48401.233962118575</v>
      </c>
      <c r="E8" s="21">
        <f>E5</f>
        <v>541.61139880480494</v>
      </c>
      <c r="F8" s="21">
        <f>F5</f>
        <v>8875.7553285726026</v>
      </c>
      <c r="G8" s="21"/>
      <c r="H8" s="21"/>
      <c r="I8" s="21"/>
      <c r="J8" s="21">
        <f>J5</f>
        <v>48.989721054256016</v>
      </c>
      <c r="K8" s="21"/>
      <c r="L8" s="21">
        <f>L5</f>
        <v>0</v>
      </c>
      <c r="M8" s="21">
        <f>M5</f>
        <v>0</v>
      </c>
      <c r="N8" s="21">
        <f>N5</f>
        <v>4602.4613952926629</v>
      </c>
      <c r="O8" s="21">
        <f>O5</f>
        <v>267.83435961724928</v>
      </c>
      <c r="P8" s="21">
        <f>P5</f>
        <v>105.33959307685021</v>
      </c>
    </row>
    <row r="9" spans="1:16">
      <c r="B9" s="19"/>
      <c r="C9" s="19"/>
      <c r="D9" s="253"/>
      <c r="E9" s="19"/>
      <c r="F9" s="19"/>
      <c r="G9" s="19"/>
      <c r="H9" s="19"/>
      <c r="I9" s="19"/>
      <c r="J9" s="19"/>
      <c r="K9" s="19"/>
      <c r="L9" s="19"/>
      <c r="M9" s="19"/>
      <c r="N9" s="19"/>
      <c r="O9" s="19"/>
      <c r="P9" s="19"/>
    </row>
    <row r="10" spans="1:16">
      <c r="A10" s="24" t="s">
        <v>207</v>
      </c>
      <c r="B10" s="25">
        <f ca="1">'EF ele_warmte'!B12</f>
        <v>0.19337595692657855</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2862.7356966374787</v>
      </c>
      <c r="C12" s="23">
        <f ca="1">C10*C8</f>
        <v>0</v>
      </c>
      <c r="D12" s="23">
        <f>D8*D10</f>
        <v>9777.0492603479524</v>
      </c>
      <c r="E12" s="23">
        <f>E10*E8</f>
        <v>122.94578752869073</v>
      </c>
      <c r="F12" s="23">
        <f>F10*F8</f>
        <v>2369.8266727288851</v>
      </c>
      <c r="G12" s="23"/>
      <c r="H12" s="23"/>
      <c r="I12" s="23"/>
      <c r="J12" s="23">
        <f>J10*J8</f>
        <v>17.342361253206629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4136</v>
      </c>
      <c r="C26" s="36"/>
      <c r="D26" s="224"/>
    </row>
    <row r="27" spans="1:5" s="15" customFormat="1">
      <c r="A27" s="226" t="s">
        <v>784</v>
      </c>
      <c r="B27" s="37">
        <f>SUM(HH_hh_gas_aantal,HH_rest_gas_aantal)</f>
        <v>3614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3433.3</v>
      </c>
      <c r="C31" s="34" t="s">
        <v>104</v>
      </c>
      <c r="D31" s="170"/>
    </row>
    <row r="32" spans="1:5">
      <c r="A32" s="167" t="s">
        <v>72</v>
      </c>
      <c r="B32" s="33">
        <f>IF((B21*($B$26-($B$27-0.05*$B$27)-$B$60))&lt;0,0,B21*($B$26-($B$27-0.05*$B$27)-$B$60))</f>
        <v>10.684871306038454</v>
      </c>
      <c r="C32" s="34" t="s">
        <v>104</v>
      </c>
      <c r="D32" s="170"/>
    </row>
    <row r="33" spans="1:6">
      <c r="A33" s="167" t="s">
        <v>73</v>
      </c>
      <c r="B33" s="33">
        <f>IF((B22*($B$26-($B$27-0.05*$B$27)-$B$60))&lt;0,0,B22*($B$26-($B$27-0.05*$B$27)-$B$60))</f>
        <v>173.50114839017533</v>
      </c>
      <c r="C33" s="34" t="s">
        <v>104</v>
      </c>
      <c r="D33" s="170"/>
    </row>
    <row r="34" spans="1:6">
      <c r="A34" s="167" t="s">
        <v>74</v>
      </c>
      <c r="B34" s="33">
        <f>IF((B24*($B$26-($B$27-0.05*$B$27)-$B$60))&lt;0,0,B24*($B$26-($B$27-0.05*$B$27)-$B$60))</f>
        <v>75.864985752585767</v>
      </c>
      <c r="C34" s="33">
        <f>B26*C24</f>
        <v>694.84771797686528</v>
      </c>
      <c r="D34" s="229"/>
    </row>
    <row r="35" spans="1:6">
      <c r="A35" s="167" t="s">
        <v>76</v>
      </c>
      <c r="B35" s="33">
        <f>IF((B19*($B$26-($B$27-0.05*$B$27)-$B$60))&lt;0,0,B19*($B$26-($B$27-0.05*$B$27)-$B$60))</f>
        <v>4.6446880833044801</v>
      </c>
      <c r="C35" s="33">
        <f>B35/2</f>
        <v>2.3223440416522401</v>
      </c>
      <c r="D35" s="229"/>
    </row>
    <row r="36" spans="1:6">
      <c r="A36" s="167" t="s">
        <v>77</v>
      </c>
      <c r="B36" s="33">
        <f>IF((B18*($B$26-($B$27-0.05*$B$27)-$B$60))&lt;0,0,B18*($B$26-($B$27-0.05*$B$27)-$B$60))</f>
        <v>428.00430646789562</v>
      </c>
      <c r="C36" s="34" t="s">
        <v>104</v>
      </c>
      <c r="D36" s="170"/>
    </row>
    <row r="37" spans="1:6">
      <c r="A37" s="167" t="s">
        <v>78</v>
      </c>
      <c r="B37" s="33">
        <f>B60</f>
        <v>10</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135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10</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31306.548181804581</v>
      </c>
      <c r="C5" s="17">
        <f>IF(ISERROR('Eigen informatie GS &amp; warmtenet'!B60),0,'Eigen informatie GS &amp; warmtenet'!B60)</f>
        <v>0</v>
      </c>
      <c r="D5" s="30">
        <f>SUM(D6:D12)</f>
        <v>25434.443240519526</v>
      </c>
      <c r="E5" s="17">
        <f>SUM(E6:E12)</f>
        <v>101.53228341827366</v>
      </c>
      <c r="F5" s="17">
        <f>SUM(F6:F12)</f>
        <v>4839.172324893967</v>
      </c>
      <c r="G5" s="18"/>
      <c r="H5" s="17"/>
      <c r="I5" s="17"/>
      <c r="J5" s="17">
        <f>SUM(J6:J12)</f>
        <v>2.3745895683359504E-2</v>
      </c>
      <c r="K5" s="17"/>
      <c r="L5" s="17"/>
      <c r="M5" s="17"/>
      <c r="N5" s="17">
        <f>SUM(N6:N12)</f>
        <v>858.24071625135025</v>
      </c>
      <c r="O5" s="17">
        <f>B38*B39*B40</f>
        <v>0</v>
      </c>
      <c r="P5" s="17">
        <f>B46*B47*B48/1000-B46*B47*B48/1000/B49</f>
        <v>105.07827661299004</v>
      </c>
      <c r="R5" s="32"/>
    </row>
    <row r="6" spans="1:18">
      <c r="A6" s="32" t="s">
        <v>53</v>
      </c>
      <c r="B6" s="37">
        <f>B26</f>
        <v>3890.9233825244401</v>
      </c>
      <c r="C6" s="33"/>
      <c r="D6" s="37">
        <f>IF(ISERROR(TER_kantoor_gas_kWh/1000),0,TER_kantoor_gas_kWh/1000)*0.903</f>
        <v>6196.6453627567307</v>
      </c>
      <c r="E6" s="33">
        <f>$C$26*'E Balans VL '!I12/100/3.6*1000000</f>
        <v>0.94630010481411286</v>
      </c>
      <c r="F6" s="33">
        <f>$C$26*('E Balans VL '!L12+'E Balans VL '!N12)/100/3.6*1000000</f>
        <v>372.5805517381807</v>
      </c>
      <c r="G6" s="34"/>
      <c r="H6" s="33"/>
      <c r="I6" s="33"/>
      <c r="J6" s="33">
        <f>$C$26*('E Balans VL '!D12+'E Balans VL '!E12)/100/3.6*1000000</f>
        <v>0</v>
      </c>
      <c r="K6" s="33"/>
      <c r="L6" s="33"/>
      <c r="M6" s="33"/>
      <c r="N6" s="33">
        <f>$C$26*'E Balans VL '!Y12/100/3.6*1000000</f>
        <v>1.9753206953056321</v>
      </c>
      <c r="O6" s="33"/>
      <c r="P6" s="33"/>
      <c r="R6" s="32"/>
    </row>
    <row r="7" spans="1:18">
      <c r="A7" s="32" t="s">
        <v>52</v>
      </c>
      <c r="B7" s="37">
        <f t="shared" ref="B7:B12" si="0">B27</f>
        <v>4942.9313418683396</v>
      </c>
      <c r="C7" s="33"/>
      <c r="D7" s="37">
        <f>IF(ISERROR(TER_horeca_gas_kWh/1000),0,TER_horeca_gas_kWh/1000)*0.903</f>
        <v>2837.3064589532851</v>
      </c>
      <c r="E7" s="33">
        <f>$C$27*'E Balans VL '!I9/100/3.6*1000000</f>
        <v>0</v>
      </c>
      <c r="F7" s="33">
        <f>$C$27*('E Balans VL '!L9+'E Balans VL '!N9)/100/3.6*1000000</f>
        <v>405.41472588040403</v>
      </c>
      <c r="G7" s="34"/>
      <c r="H7" s="33"/>
      <c r="I7" s="33"/>
      <c r="J7" s="33">
        <f>$C$27*('E Balans VL '!D9+'E Balans VL '!E9)/100/3.6*1000000</f>
        <v>0</v>
      </c>
      <c r="K7" s="33"/>
      <c r="L7" s="33"/>
      <c r="M7" s="33"/>
      <c r="N7" s="33">
        <f>$C$27*'E Balans VL '!Y9/100/3.6*1000000</f>
        <v>32.464193629650573</v>
      </c>
      <c r="O7" s="33"/>
      <c r="P7" s="33"/>
      <c r="R7" s="32"/>
    </row>
    <row r="8" spans="1:18">
      <c r="A8" s="6" t="s">
        <v>51</v>
      </c>
      <c r="B8" s="37">
        <f t="shared" si="0"/>
        <v>18692.423607174198</v>
      </c>
      <c r="C8" s="33"/>
      <c r="D8" s="37">
        <f>IF(ISERROR(TER_handel_gas_kWh/1000),0,TER_handel_gas_kWh/1000)*0.903</f>
        <v>7610.176300009739</v>
      </c>
      <c r="E8" s="33">
        <f>$C$28*'E Balans VL '!I13/100/3.6*1000000</f>
        <v>66.078685817707211</v>
      </c>
      <c r="F8" s="33">
        <f>$C$28*('E Balans VL '!L13+'E Balans VL '!N13)/100/3.6*1000000</f>
        <v>1721.1723544049928</v>
      </c>
      <c r="G8" s="34"/>
      <c r="H8" s="33"/>
      <c r="I8" s="33"/>
      <c r="J8" s="33">
        <f>$C$28*('E Balans VL '!D13+'E Balans VL '!E13)/100/3.6*1000000</f>
        <v>0</v>
      </c>
      <c r="K8" s="33"/>
      <c r="L8" s="33"/>
      <c r="M8" s="33"/>
      <c r="N8" s="33">
        <f>$C$28*'E Balans VL '!Y13/100/3.6*1000000</f>
        <v>6.7695910915651432</v>
      </c>
      <c r="O8" s="33"/>
      <c r="P8" s="33"/>
      <c r="R8" s="32"/>
    </row>
    <row r="9" spans="1:18">
      <c r="A9" s="32" t="s">
        <v>50</v>
      </c>
      <c r="B9" s="37">
        <f t="shared" si="0"/>
        <v>919.72126120698499</v>
      </c>
      <c r="C9" s="33"/>
      <c r="D9" s="37">
        <f>IF(ISERROR(TER_gezond_gas_kWh/1000),0,TER_gezond_gas_kWh/1000)*0.903</f>
        <v>2526.7994583831587</v>
      </c>
      <c r="E9" s="33">
        <f>$C$29*'E Balans VL '!I10/100/3.6*1000000</f>
        <v>0</v>
      </c>
      <c r="F9" s="33">
        <f>$C$29*('E Balans VL '!L10+'E Balans VL '!N10)/100/3.6*1000000</f>
        <v>112.98400204804766</v>
      </c>
      <c r="G9" s="34"/>
      <c r="H9" s="33"/>
      <c r="I9" s="33"/>
      <c r="J9" s="33">
        <f>$C$29*('E Balans VL '!D10+'E Balans VL '!E10)/100/3.6*1000000</f>
        <v>0</v>
      </c>
      <c r="K9" s="33"/>
      <c r="L9" s="33"/>
      <c r="M9" s="33"/>
      <c r="N9" s="33">
        <f>$C$29*'E Balans VL '!Y10/100/3.6*1000000</f>
        <v>6.7823033891934887</v>
      </c>
      <c r="O9" s="33"/>
      <c r="P9" s="33"/>
      <c r="R9" s="32"/>
    </row>
    <row r="10" spans="1:18">
      <c r="A10" s="32" t="s">
        <v>49</v>
      </c>
      <c r="B10" s="37">
        <f t="shared" si="0"/>
        <v>2404.4479775675104</v>
      </c>
      <c r="C10" s="33"/>
      <c r="D10" s="37">
        <f>IF(ISERROR(TER_ander_gas_kWh/1000),0,TER_ander_gas_kWh/1000)*0.903</f>
        <v>4898.2950147294778</v>
      </c>
      <c r="E10" s="33">
        <f>$C$30*'E Balans VL '!I14/100/3.6*1000000</f>
        <v>34.507297495752347</v>
      </c>
      <c r="F10" s="33">
        <f>$C$30*('E Balans VL '!L14+'E Balans VL '!N14)/100/3.6*1000000</f>
        <v>2173.6970979079501</v>
      </c>
      <c r="G10" s="34"/>
      <c r="H10" s="33"/>
      <c r="I10" s="33"/>
      <c r="J10" s="33">
        <f>$C$30*('E Balans VL '!D14+'E Balans VL '!E14)/100/3.6*1000000</f>
        <v>2.3745895683359504E-2</v>
      </c>
      <c r="K10" s="33"/>
      <c r="L10" s="33"/>
      <c r="M10" s="33"/>
      <c r="N10" s="33">
        <f>$C$30*'E Balans VL '!Y14/100/3.6*1000000</f>
        <v>808.96498049834372</v>
      </c>
      <c r="O10" s="33"/>
      <c r="P10" s="33"/>
      <c r="R10" s="32"/>
    </row>
    <row r="11" spans="1:18">
      <c r="A11" s="32" t="s">
        <v>54</v>
      </c>
      <c r="B11" s="37">
        <f t="shared" si="0"/>
        <v>456.10061146310898</v>
      </c>
      <c r="C11" s="33"/>
      <c r="D11" s="37">
        <f>IF(ISERROR(TER_onderwijs_gas_kWh/1000),0,TER_onderwijs_gas_kWh/1000)*0.903</f>
        <v>1365.2206456871343</v>
      </c>
      <c r="E11" s="33">
        <f>$C$31*'E Balans VL '!I11/100/3.6*1000000</f>
        <v>0</v>
      </c>
      <c r="F11" s="33">
        <f>$C$31*('E Balans VL '!L11+'E Balans VL '!N11)/100/3.6*1000000</f>
        <v>53.32359291439176</v>
      </c>
      <c r="G11" s="34"/>
      <c r="H11" s="33"/>
      <c r="I11" s="33"/>
      <c r="J11" s="33">
        <f>$C$31*('E Balans VL '!D11+'E Balans VL '!E11)/100/3.6*1000000</f>
        <v>0</v>
      </c>
      <c r="K11" s="33"/>
      <c r="L11" s="33"/>
      <c r="M11" s="33"/>
      <c r="N11" s="33">
        <f>$C$31*'E Balans VL '!Y11/100/3.6*1000000</f>
        <v>1.2843269472916938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81</v>
      </c>
      <c r="C13" s="242">
        <f ca="1">'lokale energieproductie'!O38+'lokale energieproductie'!O31</f>
        <v>115.71428571428572</v>
      </c>
      <c r="D13" s="302">
        <f ca="1">('lokale energieproductie'!P31+'lokale energieproductie'!P38)*(-1)</f>
        <v>-231.42857142857144</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31387.548181804581</v>
      </c>
      <c r="C16" s="21">
        <f t="shared" ca="1" si="1"/>
        <v>115.71428571428572</v>
      </c>
      <c r="D16" s="21">
        <f t="shared" ca="1" si="1"/>
        <v>25203.014669090953</v>
      </c>
      <c r="E16" s="21">
        <f t="shared" si="1"/>
        <v>101.53228341827366</v>
      </c>
      <c r="F16" s="21">
        <f t="shared" ca="1" si="1"/>
        <v>4839.172324893967</v>
      </c>
      <c r="G16" s="21">
        <f t="shared" si="1"/>
        <v>0</v>
      </c>
      <c r="H16" s="21">
        <f t="shared" si="1"/>
        <v>0</v>
      </c>
      <c r="I16" s="21">
        <f t="shared" si="1"/>
        <v>0</v>
      </c>
      <c r="J16" s="21">
        <f t="shared" si="1"/>
        <v>2.3745895683359504E-2</v>
      </c>
      <c r="K16" s="21">
        <f t="shared" si="1"/>
        <v>0</v>
      </c>
      <c r="L16" s="21">
        <f t="shared" ca="1" si="1"/>
        <v>0</v>
      </c>
      <c r="M16" s="21">
        <f t="shared" si="1"/>
        <v>0</v>
      </c>
      <c r="N16" s="21">
        <f t="shared" ca="1" si="1"/>
        <v>858.24071625135025</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0.19337595692657855</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6069.597165235552</v>
      </c>
      <c r="C20" s="23">
        <f t="shared" ref="C20:P20" ca="1" si="2">C16*C18</f>
        <v>27.499159663865555</v>
      </c>
      <c r="D20" s="23">
        <f t="shared" ca="1" si="2"/>
        <v>5091.0089631563733</v>
      </c>
      <c r="E20" s="23">
        <f t="shared" si="2"/>
        <v>23.047828335948122</v>
      </c>
      <c r="F20" s="23">
        <f t="shared" ca="1" si="2"/>
        <v>1292.0590107466892</v>
      </c>
      <c r="G20" s="23">
        <f t="shared" si="2"/>
        <v>0</v>
      </c>
      <c r="H20" s="23">
        <f t="shared" si="2"/>
        <v>0</v>
      </c>
      <c r="I20" s="23">
        <f t="shared" si="2"/>
        <v>0</v>
      </c>
      <c r="J20" s="23">
        <f t="shared" si="2"/>
        <v>8.4060470719092631E-3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3890.9233825244401</v>
      </c>
      <c r="C26" s="39">
        <f>IF(ISERROR(B26*3.6/1000000/'E Balans VL '!Z12*100),0,B26*3.6/1000000/'E Balans VL '!Z12*100)</f>
        <v>0.10967509315515767</v>
      </c>
      <c r="D26" s="232" t="s">
        <v>660</v>
      </c>
      <c r="F26" s="6"/>
    </row>
    <row r="27" spans="1:18">
      <c r="A27" s="227" t="s">
        <v>52</v>
      </c>
      <c r="B27" s="33">
        <f>IF(ISERROR(TER_horeca_ele_kWh/1000),0,TER_horeca_ele_kWh/1000)</f>
        <v>4942.9313418683396</v>
      </c>
      <c r="C27" s="39">
        <f>IF(ISERROR(B27*3.6/1000000/'E Balans VL '!Z9*100),0,B27*3.6/1000000/'E Balans VL '!Z9*100)</f>
        <v>0.3664576366834309</v>
      </c>
      <c r="D27" s="232" t="s">
        <v>660</v>
      </c>
      <c r="F27" s="6"/>
    </row>
    <row r="28" spans="1:18">
      <c r="A28" s="167" t="s">
        <v>51</v>
      </c>
      <c r="B28" s="33">
        <f>IF(ISERROR(TER_handel_ele_kWh/1000),0,TER_handel_ele_kWh/1000)</f>
        <v>18692.423607174198</v>
      </c>
      <c r="C28" s="39">
        <f>IF(ISERROR(B28*3.6/1000000/'E Balans VL '!Z13*100),0,B28*3.6/1000000/'E Balans VL '!Z13*100)</f>
        <v>0.55998056837450183</v>
      </c>
      <c r="D28" s="232" t="s">
        <v>660</v>
      </c>
      <c r="F28" s="6"/>
    </row>
    <row r="29" spans="1:18">
      <c r="A29" s="227" t="s">
        <v>50</v>
      </c>
      <c r="B29" s="33">
        <f>IF(ISERROR(TER_gezond_ele_kWh/1000),0,TER_gezond_ele_kWh/1000)</f>
        <v>919.72126120698499</v>
      </c>
      <c r="C29" s="39">
        <f>IF(ISERROR(B29*3.6/1000000/'E Balans VL '!Z10*100),0,B29*3.6/1000000/'E Balans VL '!Z10*100)</f>
        <v>9.094239879115848E-2</v>
      </c>
      <c r="D29" s="232" t="s">
        <v>660</v>
      </c>
      <c r="F29" s="6"/>
    </row>
    <row r="30" spans="1:18">
      <c r="A30" s="227" t="s">
        <v>49</v>
      </c>
      <c r="B30" s="33">
        <f>IF(ISERROR(TER_ander_ele_kWh/1000),0,TER_ander_ele_kWh/1000)</f>
        <v>2404.4479775675104</v>
      </c>
      <c r="C30" s="39">
        <f>IF(ISERROR(B30*3.6/1000000/'E Balans VL '!Z14*100),0,B30*3.6/1000000/'E Balans VL '!Z14*100)</f>
        <v>9.7252815085431404E-2</v>
      </c>
      <c r="D30" s="232" t="s">
        <v>660</v>
      </c>
      <c r="F30" s="6"/>
    </row>
    <row r="31" spans="1:18">
      <c r="A31" s="227" t="s">
        <v>54</v>
      </c>
      <c r="B31" s="33">
        <f>IF(ISERROR(TER_onderwijs_ele_kWh/1000),0,TER_onderwijs_ele_kWh/1000)</f>
        <v>456.10061146310898</v>
      </c>
      <c r="C31" s="39">
        <f>IF(ISERROR(B31*3.6/1000000/'E Balans VL '!Z11*100),0,B31*3.6/1000000/'E Balans VL '!Z11*100)</f>
        <v>0.12531078536315529</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12149.960206966243</v>
      </c>
      <c r="C5" s="17">
        <f>IF(ISERROR('Eigen informatie GS &amp; warmtenet'!B61),0,'Eigen informatie GS &amp; warmtenet'!B61)</f>
        <v>0</v>
      </c>
      <c r="D5" s="30">
        <f>SUM(D6:D15)</f>
        <v>33167.964279837419</v>
      </c>
      <c r="E5" s="17">
        <f>SUM(E6:E15)</f>
        <v>249.57899696334152</v>
      </c>
      <c r="F5" s="17">
        <f>SUM(F6:F15)</f>
        <v>4349.3804467484479</v>
      </c>
      <c r="G5" s="18"/>
      <c r="H5" s="17"/>
      <c r="I5" s="17"/>
      <c r="J5" s="17">
        <f>SUM(J6:J15)</f>
        <v>2.9942647713655965</v>
      </c>
      <c r="K5" s="17"/>
      <c r="L5" s="17"/>
      <c r="M5" s="17"/>
      <c r="N5" s="17">
        <f>SUM(N6:N15)</f>
        <v>346.79729200836215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1687.5726222826502</v>
      </c>
      <c r="C8" s="33"/>
      <c r="D8" s="37">
        <f>IF( ISERROR(IND_metaal_Gas_kWH/1000),0,IND_metaal_Gas_kWH/1000)*0.903</f>
        <v>1500.0666397875109</v>
      </c>
      <c r="E8" s="33">
        <f>C30*'E Balans VL '!I18/100/3.6*1000000</f>
        <v>9.2233173902447945</v>
      </c>
      <c r="F8" s="33">
        <f>C30*'E Balans VL '!L18/100/3.6*1000000+C30*'E Balans VL '!N18/100/3.6*1000000</f>
        <v>115.51183287164822</v>
      </c>
      <c r="G8" s="34"/>
      <c r="H8" s="33"/>
      <c r="I8" s="33"/>
      <c r="J8" s="40">
        <f>C30*'E Balans VL '!D18/100/3.6*1000000+C30*'E Balans VL '!E18/100/3.6*1000000</f>
        <v>1.6817798840464173</v>
      </c>
      <c r="K8" s="33"/>
      <c r="L8" s="33"/>
      <c r="M8" s="33"/>
      <c r="N8" s="33">
        <f>C30*'E Balans VL '!Y18/100/3.6*1000000</f>
        <v>24.960011702594453</v>
      </c>
      <c r="O8" s="33"/>
      <c r="P8" s="33"/>
      <c r="R8" s="32"/>
    </row>
    <row r="9" spans="1:18">
      <c r="A9" s="6" t="s">
        <v>32</v>
      </c>
      <c r="B9" s="37">
        <f t="shared" si="0"/>
        <v>6388.7191749645999</v>
      </c>
      <c r="C9" s="33"/>
      <c r="D9" s="37">
        <f>IF( ISERROR(IND_andere_gas_kWh/1000),0,IND_andere_gas_kWh/1000)*0.903</f>
        <v>27119.767377972941</v>
      </c>
      <c r="E9" s="33">
        <f>C31*'E Balans VL '!I19/100/3.6*1000000</f>
        <v>24.04243971004588</v>
      </c>
      <c r="F9" s="33">
        <f>C31*'E Balans VL '!L19/100/3.6*1000000+C31*'E Balans VL '!N19/100/3.6*1000000</f>
        <v>4111.9524277487908</v>
      </c>
      <c r="G9" s="34"/>
      <c r="H9" s="33"/>
      <c r="I9" s="33"/>
      <c r="J9" s="40">
        <f>C31*'E Balans VL '!D19/100/3.6*1000000+C31*'E Balans VL '!E19/100/3.6*1000000</f>
        <v>0</v>
      </c>
      <c r="K9" s="33"/>
      <c r="L9" s="33"/>
      <c r="M9" s="33"/>
      <c r="N9" s="33">
        <f>C31*'E Balans VL '!Y19/100/3.6*1000000</f>
        <v>230.79675514134289</v>
      </c>
      <c r="O9" s="33"/>
      <c r="P9" s="33"/>
      <c r="R9" s="32"/>
    </row>
    <row r="10" spans="1:18">
      <c r="A10" s="6" t="s">
        <v>40</v>
      </c>
      <c r="B10" s="37">
        <f t="shared" si="0"/>
        <v>2042.91750089321</v>
      </c>
      <c r="C10" s="33"/>
      <c r="D10" s="37">
        <f>IF( ISERROR(IND_voed_gas_kWh/1000),0,IND_voed_gas_kWh/1000)*0.903</f>
        <v>3275.2429315118579</v>
      </c>
      <c r="E10" s="33">
        <f>C32*'E Balans VL '!I20/100/3.6*1000000</f>
        <v>4.0441082084067688</v>
      </c>
      <c r="F10" s="33">
        <f>C32*'E Balans VL '!L20/100/3.6*1000000+C32*'E Balans VL '!N20/100/3.6*1000000</f>
        <v>43.38906230254193</v>
      </c>
      <c r="G10" s="34"/>
      <c r="H10" s="33"/>
      <c r="I10" s="33"/>
      <c r="J10" s="40">
        <f>C32*'E Balans VL '!D20/100/3.6*1000000+C32*'E Balans VL '!E20/100/3.6*1000000</f>
        <v>0</v>
      </c>
      <c r="K10" s="33"/>
      <c r="L10" s="33"/>
      <c r="M10" s="33"/>
      <c r="N10" s="33">
        <f>C32*'E Balans VL '!Y20/100/3.6*1000000</f>
        <v>82.337338291073067</v>
      </c>
      <c r="O10" s="33"/>
      <c r="P10" s="33"/>
      <c r="R10" s="32"/>
    </row>
    <row r="11" spans="1:18">
      <c r="A11" s="6" t="s">
        <v>39</v>
      </c>
      <c r="B11" s="37">
        <f t="shared" si="0"/>
        <v>725.51141118896294</v>
      </c>
      <c r="C11" s="33"/>
      <c r="D11" s="37">
        <f>IF( ISERROR(IND_textiel_gas_kWh/1000),0,IND_textiel_gas_kWh/1000)*0.903</f>
        <v>0</v>
      </c>
      <c r="E11" s="33">
        <f>C33*'E Balans VL '!I21/100/3.6*1000000</f>
        <v>1.4127403133052365</v>
      </c>
      <c r="F11" s="33">
        <f>C33*'E Balans VL '!L21/100/3.6*1000000+C33*'E Balans VL '!N21/100/3.6*1000000</f>
        <v>17.185103919225739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1006.1256530881</v>
      </c>
      <c r="C14" s="33"/>
      <c r="D14" s="37">
        <f>IF( ISERROR(IND_chemie_gas_kWh/1000),0,IND_chemie_gas_kWh/1000)*0.903</f>
        <v>0</v>
      </c>
      <c r="E14" s="33">
        <f>C36*'E Balans VL '!I24/100/3.6*1000000</f>
        <v>194.66256618560931</v>
      </c>
      <c r="F14" s="33">
        <f>C36*'E Balans VL '!L24/100/3.6*1000000+C36*'E Balans VL '!N24/100/3.6*1000000</f>
        <v>15.693054612216708</v>
      </c>
      <c r="G14" s="34"/>
      <c r="H14" s="33"/>
      <c r="I14" s="33"/>
      <c r="J14" s="40">
        <f>C36*'E Balans VL '!D24/100/3.6*1000000+C36*'E Balans VL '!E24/100/3.6*1000000</f>
        <v>0</v>
      </c>
      <c r="K14" s="33"/>
      <c r="L14" s="33"/>
      <c r="M14" s="33"/>
      <c r="N14" s="33">
        <f>C36*'E Balans VL '!Y24/100/3.6*1000000</f>
        <v>0.22432943778904063</v>
      </c>
      <c r="O14" s="33"/>
      <c r="P14" s="33"/>
      <c r="R14" s="32"/>
    </row>
    <row r="15" spans="1:18">
      <c r="A15" s="6" t="s">
        <v>259</v>
      </c>
      <c r="B15" s="37">
        <f t="shared" si="0"/>
        <v>299.11384454871899</v>
      </c>
      <c r="C15" s="33"/>
      <c r="D15" s="37">
        <f>IF( ISERROR(IND_rest_gas_kWh/1000),0,IND_rest_gas_kWh/1000)*0.903</f>
        <v>1272.8873305651114</v>
      </c>
      <c r="E15" s="33">
        <f>C37*'E Balans VL '!I15/100/3.6*1000000</f>
        <v>16.193825155729545</v>
      </c>
      <c r="F15" s="33">
        <f>C37*'E Balans VL '!L15/100/3.6*1000000+C37*'E Balans VL '!N15/100/3.6*1000000</f>
        <v>45.648965294024734</v>
      </c>
      <c r="G15" s="34"/>
      <c r="H15" s="33"/>
      <c r="I15" s="33"/>
      <c r="J15" s="40">
        <f>C37*'E Balans VL '!D15/100/3.6*1000000+C37*'E Balans VL '!E15/100/3.6*1000000</f>
        <v>1.3124848873191792</v>
      </c>
      <c r="K15" s="33"/>
      <c r="L15" s="33"/>
      <c r="M15" s="33"/>
      <c r="N15" s="33">
        <f>C37*'E Balans VL '!Y15/100/3.6*1000000</f>
        <v>8.4788574355627038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12149.960206966243</v>
      </c>
      <c r="C18" s="21">
        <f>C5+C16</f>
        <v>0</v>
      </c>
      <c r="D18" s="21">
        <f>MAX((D5+D16),0)</f>
        <v>33167.964279837419</v>
      </c>
      <c r="E18" s="21">
        <f>MAX((E5+E16),0)</f>
        <v>249.57899696334152</v>
      </c>
      <c r="F18" s="21">
        <f>MAX((F5+F16),0)</f>
        <v>4349.3804467484479</v>
      </c>
      <c r="G18" s="21"/>
      <c r="H18" s="21"/>
      <c r="I18" s="21"/>
      <c r="J18" s="21">
        <f>MAX((J5+J16),0)</f>
        <v>2.9942647713655965</v>
      </c>
      <c r="K18" s="21"/>
      <c r="L18" s="21">
        <f>MAX((L5+L16),0)</f>
        <v>0</v>
      </c>
      <c r="M18" s="21"/>
      <c r="N18" s="21">
        <f>MAX((N5+N16),0)</f>
        <v>346.79729200836215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0.19337595692657855</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2349.5101816419478</v>
      </c>
      <c r="C22" s="23">
        <f ca="1">C18*C20</f>
        <v>0</v>
      </c>
      <c r="D22" s="23">
        <f>D18*D20</f>
        <v>6699.9287845271592</v>
      </c>
      <c r="E22" s="23">
        <f>E18*E20</f>
        <v>56.65443231067853</v>
      </c>
      <c r="F22" s="23">
        <f>F18*F20</f>
        <v>1161.2845792818357</v>
      </c>
      <c r="G22" s="23"/>
      <c r="H22" s="23"/>
      <c r="I22" s="23"/>
      <c r="J22" s="23">
        <f>J18*J20</f>
        <v>1.0599697290634211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1687.5726222826502</v>
      </c>
      <c r="C30" s="39">
        <f>IF(ISERROR(B30*3.6/1000000/'E Balans VL '!Z18*100),0,B30*3.6/1000000/'E Balans VL '!Z18*100)</f>
        <v>9.415874934007909E-2</v>
      </c>
      <c r="D30" s="232" t="s">
        <v>660</v>
      </c>
    </row>
    <row r="31" spans="1:18">
      <c r="A31" s="6" t="s">
        <v>32</v>
      </c>
      <c r="B31" s="37">
        <f>IF( ISERROR(IND_ander_ele_kWh/1000),0,IND_ander_ele_kWh/1000)</f>
        <v>6388.7191749645999</v>
      </c>
      <c r="C31" s="39">
        <f>IF(ISERROR(B31*3.6/1000000/'E Balans VL '!Z19*100),0,B31*3.6/1000000/'E Balans VL '!Z19*100)</f>
        <v>0.26004058440980882</v>
      </c>
      <c r="D31" s="232" t="s">
        <v>660</v>
      </c>
    </row>
    <row r="32" spans="1:18">
      <c r="A32" s="167" t="s">
        <v>40</v>
      </c>
      <c r="B32" s="37">
        <f>IF( ISERROR(IND_voed_ele_kWh/1000),0,IND_voed_ele_kWh/1000)</f>
        <v>2042.91750089321</v>
      </c>
      <c r="C32" s="39">
        <f>IF(ISERROR(B32*3.6/1000000/'E Balans VL '!Z20*100),0,B32*3.6/1000000/'E Balans VL '!Z20*100)</f>
        <v>5.9417930946780266E-2</v>
      </c>
      <c r="D32" s="232" t="s">
        <v>660</v>
      </c>
    </row>
    <row r="33" spans="1:5">
      <c r="A33" s="167" t="s">
        <v>39</v>
      </c>
      <c r="B33" s="37">
        <f>IF( ISERROR(IND_textiel_ele_kWh/1000),0,IND_textiel_ele_kWh/1000)</f>
        <v>725.51141118896294</v>
      </c>
      <c r="C33" s="39">
        <f>IF(ISERROR(B33*3.6/1000000/'E Balans VL '!Z21*100),0,B33*3.6/1000000/'E Balans VL '!Z21*100)</f>
        <v>0.10686835738388002</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1006.1256530881</v>
      </c>
      <c r="C36" s="39">
        <f>IF(ISERROR(B36*3.6/1000000/'E Balans VL '!Z24*100),0,B36*3.6/1000000/'E Balans VL '!Z24*100)</f>
        <v>3.039465472489801E-2</v>
      </c>
      <c r="D36" s="232" t="s">
        <v>660</v>
      </c>
    </row>
    <row r="37" spans="1:5">
      <c r="A37" s="167" t="s">
        <v>259</v>
      </c>
      <c r="B37" s="37">
        <f>IF( ISERROR(IND_rest_ele_kWh/1000),0,IND_rest_ele_kWh/1000)</f>
        <v>299.11384454871899</v>
      </c>
      <c r="C37" s="39">
        <f>IF(ISERROR(B37*3.6/1000000/'E Balans VL '!Z15*100),0,B37*3.6/1000000/'E Balans VL '!Z15*100)</f>
        <v>2.4092247576497209E-3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29.667566127016002</v>
      </c>
      <c r="C5" s="17">
        <f>'Eigen informatie GS &amp; warmtenet'!B62</f>
        <v>0</v>
      </c>
      <c r="D5" s="30">
        <f>IF(ISERROR(SUM(LB_lb_gas_kWh,LB_rest_gas_kWh)/1000),0,SUM(LB_lb_gas_kWh,LB_rest_gas_kWh)/1000)*0.903</f>
        <v>189.87331196672773</v>
      </c>
      <c r="E5" s="17">
        <f>B17*'E Balans VL '!I25/3.6*1000000/100</f>
        <v>0.87468372348588841</v>
      </c>
      <c r="F5" s="17">
        <f>B17*('E Balans VL '!L25/3.6*1000000+'E Balans VL '!N25/3.6*1000000)/100</f>
        <v>94.294068682931155</v>
      </c>
      <c r="G5" s="18"/>
      <c r="H5" s="17"/>
      <c r="I5" s="17"/>
      <c r="J5" s="17">
        <f>('E Balans VL '!D25+'E Balans VL '!E25)/3.6*1000000*landbouw!B17/100</f>
        <v>7.4819779962326045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29.667566127016002</v>
      </c>
      <c r="C8" s="21">
        <f>C5+C6</f>
        <v>0</v>
      </c>
      <c r="D8" s="21">
        <f>MAX((D5+D6),0)</f>
        <v>189.87331196672773</v>
      </c>
      <c r="E8" s="21">
        <f>MAX((E5+E6),0)</f>
        <v>0.87468372348588841</v>
      </c>
      <c r="F8" s="21">
        <f>MAX((F5+F6),0)</f>
        <v>94.294068682931155</v>
      </c>
      <c r="G8" s="21"/>
      <c r="H8" s="21"/>
      <c r="I8" s="21"/>
      <c r="J8" s="21">
        <f>MAX((J5+J6),0)</f>
        <v>7.4819779962326045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0.19337595692657855</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5.736993989494267</v>
      </c>
      <c r="C12" s="23">
        <f ca="1">C8*C10</f>
        <v>0</v>
      </c>
      <c r="D12" s="23">
        <f>D8*D10</f>
        <v>38.354409017279004</v>
      </c>
      <c r="E12" s="23">
        <f>E8*E10</f>
        <v>0.19855320523129669</v>
      </c>
      <c r="F12" s="23">
        <f>F8*F10</f>
        <v>25.176516338342619</v>
      </c>
      <c r="G12" s="23"/>
      <c r="H12" s="23"/>
      <c r="I12" s="23"/>
      <c r="J12" s="23">
        <f>J8*J10</f>
        <v>2.6486202106663419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4.0747627894873184E-3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1.1692798732364358</v>
      </c>
      <c r="C26" s="242">
        <f>B26*'GWP N2O_CH4'!B5</f>
        <v>24.554877337965152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7.3544951892311375E-2</v>
      </c>
      <c r="C27" s="242">
        <f>B27*'GWP N2O_CH4'!B5</f>
        <v>1.5444439897385389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1.8658586592378564E-2</v>
      </c>
      <c r="C28" s="242">
        <f>B28*'GWP N2O_CH4'!B4</f>
        <v>5.7841618436373547</v>
      </c>
      <c r="D28" s="50"/>
    </row>
    <row r="29" spans="1:4">
      <c r="A29" s="41" t="s">
        <v>266</v>
      </c>
      <c r="B29" s="242">
        <f>B34*'ha_N2O bodem landbouw'!B4</f>
        <v>0.6098293446917139</v>
      </c>
      <c r="C29" s="242">
        <f>B29*'GWP N2O_CH4'!B4</f>
        <v>189.04709685443132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1.3898184921312662E-4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3.4989609220554993E-4</v>
      </c>
      <c r="C5" s="430" t="s">
        <v>204</v>
      </c>
      <c r="D5" s="415">
        <f>SUM(D6:D11)</f>
        <v>6.2440873099703289E-4</v>
      </c>
      <c r="E5" s="415">
        <f>SUM(E6:E11)</f>
        <v>3.4146943634629016E-4</v>
      </c>
      <c r="F5" s="428" t="s">
        <v>204</v>
      </c>
      <c r="G5" s="415">
        <f>SUM(G6:G11)</f>
        <v>0.16877239699695493</v>
      </c>
      <c r="H5" s="415">
        <f>SUM(H6:H11)</f>
        <v>4.1149550906261947E-2</v>
      </c>
      <c r="I5" s="430" t="s">
        <v>204</v>
      </c>
      <c r="J5" s="430" t="s">
        <v>204</v>
      </c>
      <c r="K5" s="430" t="s">
        <v>204</v>
      </c>
      <c r="L5" s="430" t="s">
        <v>204</v>
      </c>
      <c r="M5" s="415">
        <f>SUM(M6:M11)</f>
        <v>1.2362690754468835E-2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3.1485538337409772E-4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5.4946871767451682E-4</v>
      </c>
      <c r="E6" s="844">
        <f>vkm_GW_PW*SUMIFS(TableVerdeelsleutelVkm[LPG],TableVerdeelsleutelVkm[Voertuigtype],"Lichte voertuigen")*SUMIFS(TableECFTransport[EnergieConsumptieFactor (PJ per km)],TableECFTransport[Index],CONCATENATE($A6,"_LPG_LPG"))</f>
        <v>3.0211472953739672E-4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9.298315559448489E-2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3.627819962600129E-2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7.7570431300789337E-3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1.4821030806251611E-6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6.1340460165864648E-2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6.7226097489233206E-7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3.4535658293019752E-3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3.3497519901379829E-5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7.4940013322516102E-5</v>
      </c>
      <c r="E8" s="418">
        <f>vkm_NGW_PW*SUMIFS(TableVerdeelsleutelVkm[LPG],TableVerdeelsleutelVkm[Voertuigtype],"Lichte voertuigen")*SUMIFS(TableECFTransport[EnergieConsumptieFactor (PJ per km)],TableECFTransport[Index],CONCATENATE($A8,"_LPG_LPG"))</f>
        <v>3.9354706808893447E-5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1.1193065029648196E-2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4.8706455754135985E-3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9.6877993083872675E-4</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6.1085849447229416E-8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3.2557162069571967E-3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3.3443872161395409E-8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1.8330186424919974E-4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97.193358945986091</v>
      </c>
      <c r="C14" s="21"/>
      <c r="D14" s="21">
        <f t="shared" ref="D14:M14" si="0">((D5)*10^9/3600)+D12</f>
        <v>173.446869721398</v>
      </c>
      <c r="E14" s="21">
        <f t="shared" si="0"/>
        <v>94.852621207302818</v>
      </c>
      <c r="F14" s="21"/>
      <c r="G14" s="21">
        <f t="shared" si="0"/>
        <v>46881.221388043035</v>
      </c>
      <c r="H14" s="21">
        <f t="shared" si="0"/>
        <v>11430.430807294986</v>
      </c>
      <c r="I14" s="21"/>
      <c r="J14" s="21"/>
      <c r="K14" s="21"/>
      <c r="L14" s="21"/>
      <c r="M14" s="21">
        <f t="shared" si="0"/>
        <v>3434.0807651302321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0.19337595692657855</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18.794858793088494</v>
      </c>
      <c r="C18" s="23"/>
      <c r="D18" s="23">
        <f t="shared" ref="D18:M18" si="1">D14*D16</f>
        <v>35.0362676837224</v>
      </c>
      <c r="E18" s="23">
        <f t="shared" si="1"/>
        <v>21.531545014057741</v>
      </c>
      <c r="F18" s="23"/>
      <c r="G18" s="23">
        <f t="shared" si="1"/>
        <v>12517.286110607491</v>
      </c>
      <c r="H18" s="23">
        <f t="shared" si="1"/>
        <v>2846.1772710164514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2.1834251339829303E-3</v>
      </c>
      <c r="C50" s="313">
        <f t="shared" ref="C50:P50" si="2">SUM(C51:C52)</f>
        <v>0</v>
      </c>
      <c r="D50" s="313">
        <f t="shared" si="2"/>
        <v>0</v>
      </c>
      <c r="E50" s="313">
        <f t="shared" si="2"/>
        <v>0</v>
      </c>
      <c r="F50" s="313">
        <f t="shared" si="2"/>
        <v>0</v>
      </c>
      <c r="G50" s="313">
        <f t="shared" si="2"/>
        <v>3.9835970931435738E-3</v>
      </c>
      <c r="H50" s="313">
        <f t="shared" si="2"/>
        <v>0</v>
      </c>
      <c r="I50" s="313">
        <f t="shared" si="2"/>
        <v>0</v>
      </c>
      <c r="J50" s="313">
        <f t="shared" si="2"/>
        <v>0</v>
      </c>
      <c r="K50" s="313">
        <f t="shared" si="2"/>
        <v>0</v>
      </c>
      <c r="L50" s="313">
        <f t="shared" si="2"/>
        <v>0</v>
      </c>
      <c r="M50" s="313">
        <f t="shared" si="2"/>
        <v>2.1996863007260812E-4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5.5809717613827852E-5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3.9835970931435738E-3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2.1996863007260812E-4</v>
      </c>
      <c r="N51" s="315"/>
      <c r="O51" s="315"/>
      <c r="P51" s="318"/>
    </row>
    <row r="52" spans="1:18">
      <c r="A52" s="4" t="s">
        <v>318</v>
      </c>
      <c r="B52" s="845">
        <f>vkm_tram*SUMIFS(TableECFTransport[EnergieConsumptieFactor (PJ per km)],TableECFTransport[Index],"Tram_gemiddeld_Electric_Electric")</f>
        <v>2.1276154163691026E-3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606.50698166192512</v>
      </c>
      <c r="C54" s="21">
        <f t="shared" ref="C54:P54" si="3">(C50)*10^9/3600</f>
        <v>0</v>
      </c>
      <c r="D54" s="21">
        <f t="shared" si="3"/>
        <v>0</v>
      </c>
      <c r="E54" s="21">
        <f t="shared" si="3"/>
        <v>0</v>
      </c>
      <c r="F54" s="21">
        <f t="shared" si="3"/>
        <v>0</v>
      </c>
      <c r="G54" s="21">
        <f t="shared" si="3"/>
        <v>1106.5547480954372</v>
      </c>
      <c r="H54" s="21">
        <f t="shared" si="3"/>
        <v>0</v>
      </c>
      <c r="I54" s="21">
        <f t="shared" si="3"/>
        <v>0</v>
      </c>
      <c r="J54" s="21">
        <f t="shared" si="3"/>
        <v>0</v>
      </c>
      <c r="K54" s="21">
        <f t="shared" si="3"/>
        <v>0</v>
      </c>
      <c r="L54" s="21">
        <f t="shared" si="3"/>
        <v>0</v>
      </c>
      <c r="M54" s="21">
        <f t="shared" si="3"/>
        <v>61.102397242391149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0.19337595692657855</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117.2838679615256</v>
      </c>
      <c r="C58" s="23">
        <f t="shared" ref="C58:P58" ca="1" si="4">C54*C56</f>
        <v>0</v>
      </c>
      <c r="D58" s="23">
        <f t="shared" si="4"/>
        <v>0</v>
      </c>
      <c r="E58" s="23">
        <f t="shared" si="4"/>
        <v>0</v>
      </c>
      <c r="F58" s="23">
        <f t="shared" si="4"/>
        <v>0</v>
      </c>
      <c r="G58" s="23">
        <f t="shared" si="4"/>
        <v>295.45011774148173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546.7015835149374</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7833.9460561881378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81</v>
      </c>
      <c r="C8" s="540">
        <f>B48</f>
        <v>95.294117647058826</v>
      </c>
      <c r="D8" s="541"/>
      <c r="E8" s="541">
        <f>E48</f>
        <v>0</v>
      </c>
      <c r="F8" s="542"/>
      <c r="G8" s="543"/>
      <c r="H8" s="541">
        <f>I48</f>
        <v>0</v>
      </c>
      <c r="I8" s="541">
        <f>G48+F48</f>
        <v>0</v>
      </c>
      <c r="J8" s="541">
        <f>H48+D48+C48</f>
        <v>0</v>
      </c>
      <c r="K8" s="541"/>
      <c r="L8" s="541"/>
      <c r="M8" s="541"/>
      <c r="N8" s="544"/>
      <c r="O8" s="545">
        <f>C8*$C$12+D8*$D$12+E8*$E$12+F8*$F$12+G8*$G$12+H8*$H$12+I8*$I$12+J8*$J$12</f>
        <v>19.249411764705883</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8461.6476397030747</v>
      </c>
      <c r="C10" s="555">
        <f t="shared" ref="C10:L10" si="0">SUM(C8:C9)</f>
        <v>95.294117647058826</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19.249411764705883</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115.71428571428572</v>
      </c>
      <c r="C17" s="571">
        <f>B49</f>
        <v>136.13445378151263</v>
      </c>
      <c r="D17" s="572"/>
      <c r="E17" s="572">
        <f>E49</f>
        <v>0</v>
      </c>
      <c r="F17" s="573"/>
      <c r="G17" s="574"/>
      <c r="H17" s="571">
        <f>I49</f>
        <v>0</v>
      </c>
      <c r="I17" s="572">
        <f>G49+F49</f>
        <v>0</v>
      </c>
      <c r="J17" s="572">
        <f>H49+D49+C49</f>
        <v>0</v>
      </c>
      <c r="K17" s="572"/>
      <c r="L17" s="572"/>
      <c r="M17" s="572"/>
      <c r="N17" s="918"/>
      <c r="O17" s="575">
        <f>C17*$C$22+E17*$E$22+H17*$H$22+I17*$I$22+J17*$J$22+D17*$D$22+F17*$F$22+G17*$G$22+K17*$K$22+L17*$L$22</f>
        <v>27.499159663865555</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115.71428571428572</v>
      </c>
      <c r="C20" s="554">
        <f>SUM(C17:C19)</f>
        <v>136.13445378151263</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27.499159663865555</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51" hidden="1">
      <c r="A28" s="584"/>
      <c r="B28" s="746">
        <v>11050</v>
      </c>
      <c r="C28" s="746">
        <v>2210</v>
      </c>
      <c r="D28" s="632"/>
      <c r="E28" s="631"/>
      <c r="F28" s="631"/>
      <c r="G28" s="631" t="s">
        <v>861</v>
      </c>
      <c r="H28" s="631" t="s">
        <v>862</v>
      </c>
      <c r="I28" s="631"/>
      <c r="J28" s="745"/>
      <c r="K28" s="745"/>
      <c r="L28" s="631" t="s">
        <v>863</v>
      </c>
      <c r="M28" s="631">
        <v>18</v>
      </c>
      <c r="N28" s="631">
        <v>81</v>
      </c>
      <c r="O28" s="631">
        <v>115.71428571428572</v>
      </c>
      <c r="P28" s="631">
        <v>231.42857142857144</v>
      </c>
      <c r="Q28" s="631">
        <v>0</v>
      </c>
      <c r="R28" s="631">
        <v>0</v>
      </c>
      <c r="S28" s="631">
        <v>0</v>
      </c>
      <c r="T28" s="631">
        <v>0</v>
      </c>
      <c r="U28" s="631">
        <v>0</v>
      </c>
      <c r="V28" s="631">
        <v>0</v>
      </c>
      <c r="W28" s="631">
        <v>0</v>
      </c>
      <c r="X28" s="631"/>
      <c r="Y28" s="631">
        <v>1500</v>
      </c>
      <c r="Z28" s="631" t="s">
        <v>50</v>
      </c>
      <c r="AA28" s="633" t="s">
        <v>149</v>
      </c>
    </row>
    <row r="29" spans="1:27" s="565" customFormat="1" hidden="1">
      <c r="A29" s="587" t="s">
        <v>269</v>
      </c>
      <c r="B29" s="588"/>
      <c r="C29" s="588"/>
      <c r="D29" s="588"/>
      <c r="E29" s="588"/>
      <c r="F29" s="588"/>
      <c r="G29" s="588"/>
      <c r="H29" s="588"/>
      <c r="I29" s="588"/>
      <c r="J29" s="588"/>
      <c r="K29" s="588"/>
      <c r="L29" s="589"/>
      <c r="M29" s="589">
        <f>SUM(M28:M28)</f>
        <v>18</v>
      </c>
      <c r="N29" s="589">
        <f>SUM(N28:N28)</f>
        <v>81</v>
      </c>
      <c r="O29" s="589">
        <f>SUM(O28:O28)</f>
        <v>115.71428571428572</v>
      </c>
      <c r="P29" s="589">
        <f>SUM(P28:P28)</f>
        <v>231.42857142857144</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18</v>
      </c>
      <c r="N31" s="589">
        <f ca="1">SUMIF($AA$28:AE28,"tertiair",N28:N28)</f>
        <v>81</v>
      </c>
      <c r="O31" s="589">
        <f ca="1">SUMIF($AA$28:AF28,"tertiair",O28:O28)</f>
        <v>115.71428571428572</v>
      </c>
      <c r="P31" s="589">
        <f ca="1">SUMIF($AA$28:AG28,"tertiair",P28:P28)</f>
        <v>231.42857142857144</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95.294117647058826</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136.13445378151263</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32054.887181804581</v>
      </c>
      <c r="D10" s="642">
        <f ca="1">tertiair!C16</f>
        <v>115.71428571428572</v>
      </c>
      <c r="E10" s="642">
        <f ca="1">tertiair!D16</f>
        <v>25203.014669090953</v>
      </c>
      <c r="F10" s="642">
        <f>tertiair!E16</f>
        <v>101.53228341827366</v>
      </c>
      <c r="G10" s="642">
        <f ca="1">tertiair!F16</f>
        <v>4839.172324893967</v>
      </c>
      <c r="H10" s="642">
        <f>tertiair!G16</f>
        <v>0</v>
      </c>
      <c r="I10" s="642">
        <f>tertiair!H16</f>
        <v>0</v>
      </c>
      <c r="J10" s="642">
        <f>tertiair!I16</f>
        <v>0</v>
      </c>
      <c r="K10" s="642">
        <f>tertiair!J16</f>
        <v>2.3745895683359504E-2</v>
      </c>
      <c r="L10" s="642">
        <f>tertiair!K16</f>
        <v>0</v>
      </c>
      <c r="M10" s="642">
        <f ca="1">tertiair!L16</f>
        <v>0</v>
      </c>
      <c r="N10" s="642">
        <f>tertiair!M16</f>
        <v>0</v>
      </c>
      <c r="O10" s="642">
        <f ca="1">tertiair!N16</f>
        <v>858.24071625135025</v>
      </c>
      <c r="P10" s="642">
        <f>tertiair!O16</f>
        <v>0</v>
      </c>
      <c r="Q10" s="643">
        <f>tertiair!P16</f>
        <v>105.07827661299004</v>
      </c>
      <c r="R10" s="645">
        <f ca="1">SUM(C10:Q10)</f>
        <v>63277.663483682089</v>
      </c>
      <c r="S10" s="67"/>
    </row>
    <row r="11" spans="1:19" s="441" customFormat="1">
      <c r="A11" s="762" t="s">
        <v>214</v>
      </c>
      <c r="B11" s="767"/>
      <c r="C11" s="642">
        <f>huishoudens!B8</f>
        <v>14803.98981412363</v>
      </c>
      <c r="D11" s="642">
        <f>huishoudens!C8</f>
        <v>0</v>
      </c>
      <c r="E11" s="642">
        <f>huishoudens!D8</f>
        <v>48401.233962118575</v>
      </c>
      <c r="F11" s="642">
        <f>huishoudens!E8</f>
        <v>541.61139880480494</v>
      </c>
      <c r="G11" s="642">
        <f>huishoudens!F8</f>
        <v>8875.7553285726026</v>
      </c>
      <c r="H11" s="642">
        <f>huishoudens!G8</f>
        <v>0</v>
      </c>
      <c r="I11" s="642">
        <f>huishoudens!H8</f>
        <v>0</v>
      </c>
      <c r="J11" s="642">
        <f>huishoudens!I8</f>
        <v>0</v>
      </c>
      <c r="K11" s="642">
        <f>huishoudens!J8</f>
        <v>48.989721054256016</v>
      </c>
      <c r="L11" s="642">
        <f>huishoudens!K8</f>
        <v>0</v>
      </c>
      <c r="M11" s="642">
        <f>huishoudens!L8</f>
        <v>0</v>
      </c>
      <c r="N11" s="642">
        <f>huishoudens!M8</f>
        <v>0</v>
      </c>
      <c r="O11" s="642">
        <f>huishoudens!N8</f>
        <v>4602.4613952926629</v>
      </c>
      <c r="P11" s="642">
        <f>huishoudens!O8</f>
        <v>267.83435961724928</v>
      </c>
      <c r="Q11" s="643">
        <f>huishoudens!P8</f>
        <v>105.33959307685021</v>
      </c>
      <c r="R11" s="645">
        <f>SUM(C11:Q11)</f>
        <v>77647.215572660614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12149.960206966243</v>
      </c>
      <c r="D13" s="642">
        <f>industrie!C18</f>
        <v>0</v>
      </c>
      <c r="E13" s="642">
        <f>industrie!D18</f>
        <v>33167.964279837419</v>
      </c>
      <c r="F13" s="642">
        <f>industrie!E18</f>
        <v>249.57899696334152</v>
      </c>
      <c r="G13" s="642">
        <f>industrie!F18</f>
        <v>4349.3804467484479</v>
      </c>
      <c r="H13" s="642">
        <f>industrie!G18</f>
        <v>0</v>
      </c>
      <c r="I13" s="642">
        <f>industrie!H18</f>
        <v>0</v>
      </c>
      <c r="J13" s="642">
        <f>industrie!I18</f>
        <v>0</v>
      </c>
      <c r="K13" s="642">
        <f>industrie!J18</f>
        <v>2.9942647713655965</v>
      </c>
      <c r="L13" s="642">
        <f>industrie!K18</f>
        <v>0</v>
      </c>
      <c r="M13" s="642">
        <f>industrie!L18</f>
        <v>0</v>
      </c>
      <c r="N13" s="642">
        <f>industrie!M18</f>
        <v>0</v>
      </c>
      <c r="O13" s="642">
        <f>industrie!N18</f>
        <v>346.79729200836215</v>
      </c>
      <c r="P13" s="642">
        <f>industrie!O18</f>
        <v>0</v>
      </c>
      <c r="Q13" s="643">
        <f>industrie!P18</f>
        <v>0</v>
      </c>
      <c r="R13" s="645">
        <f>SUM(C13:Q13)</f>
        <v>50266.675487295186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59008.83720289445</v>
      </c>
      <c r="D16" s="678">
        <f t="shared" ref="D16:R16" ca="1" si="0">SUM(D9:D15)</f>
        <v>115.71428571428572</v>
      </c>
      <c r="E16" s="678">
        <f t="shared" ca="1" si="0"/>
        <v>106772.21291104695</v>
      </c>
      <c r="F16" s="678">
        <f t="shared" si="0"/>
        <v>892.72267918642012</v>
      </c>
      <c r="G16" s="678">
        <f t="shared" ca="1" si="0"/>
        <v>18064.308100215017</v>
      </c>
      <c r="H16" s="678">
        <f t="shared" si="0"/>
        <v>0</v>
      </c>
      <c r="I16" s="678">
        <f t="shared" si="0"/>
        <v>0</v>
      </c>
      <c r="J16" s="678">
        <f t="shared" si="0"/>
        <v>0</v>
      </c>
      <c r="K16" s="678">
        <f t="shared" si="0"/>
        <v>52.007731721304978</v>
      </c>
      <c r="L16" s="678">
        <f t="shared" si="0"/>
        <v>0</v>
      </c>
      <c r="M16" s="678">
        <f t="shared" ca="1" si="0"/>
        <v>0</v>
      </c>
      <c r="N16" s="678">
        <f t="shared" si="0"/>
        <v>0</v>
      </c>
      <c r="O16" s="678">
        <f t="shared" ca="1" si="0"/>
        <v>5807.499403552375</v>
      </c>
      <c r="P16" s="678">
        <f t="shared" si="0"/>
        <v>267.83435961724928</v>
      </c>
      <c r="Q16" s="678">
        <f t="shared" si="0"/>
        <v>210.41786968984024</v>
      </c>
      <c r="R16" s="678">
        <f t="shared" ca="1" si="0"/>
        <v>191191.5545436379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606.50698166192512</v>
      </c>
      <c r="D19" s="642">
        <f>transport!C54</f>
        <v>0</v>
      </c>
      <c r="E19" s="642">
        <f>transport!D54</f>
        <v>0</v>
      </c>
      <c r="F19" s="642">
        <f>transport!E54</f>
        <v>0</v>
      </c>
      <c r="G19" s="642">
        <f>transport!F54</f>
        <v>0</v>
      </c>
      <c r="H19" s="642">
        <f>transport!G54</f>
        <v>1106.5547480954372</v>
      </c>
      <c r="I19" s="642">
        <f>transport!H54</f>
        <v>0</v>
      </c>
      <c r="J19" s="642">
        <f>transport!I54</f>
        <v>0</v>
      </c>
      <c r="K19" s="642">
        <f>transport!J54</f>
        <v>0</v>
      </c>
      <c r="L19" s="642">
        <f>transport!K54</f>
        <v>0</v>
      </c>
      <c r="M19" s="642">
        <f>transport!L54</f>
        <v>0</v>
      </c>
      <c r="N19" s="642">
        <f>transport!M54</f>
        <v>61.102397242391149</v>
      </c>
      <c r="O19" s="642">
        <f>transport!N54</f>
        <v>0</v>
      </c>
      <c r="P19" s="642">
        <f>transport!O54</f>
        <v>0</v>
      </c>
      <c r="Q19" s="643">
        <f>transport!P54</f>
        <v>0</v>
      </c>
      <c r="R19" s="645">
        <f>SUM(C19:Q19)</f>
        <v>1774.1641269997533</v>
      </c>
      <c r="S19" s="67"/>
    </row>
    <row r="20" spans="1:19" s="441" customFormat="1">
      <c r="A20" s="762" t="s">
        <v>296</v>
      </c>
      <c r="B20" s="767"/>
      <c r="C20" s="642">
        <f>transport!B14</f>
        <v>97.193358945986091</v>
      </c>
      <c r="D20" s="642">
        <f>transport!C14</f>
        <v>0</v>
      </c>
      <c r="E20" s="642">
        <f>transport!D14</f>
        <v>173.446869721398</v>
      </c>
      <c r="F20" s="642">
        <f>transport!E14</f>
        <v>94.852621207302818</v>
      </c>
      <c r="G20" s="642">
        <f>transport!F14</f>
        <v>0</v>
      </c>
      <c r="H20" s="642">
        <f>transport!G14</f>
        <v>46881.221388043035</v>
      </c>
      <c r="I20" s="642">
        <f>transport!H14</f>
        <v>11430.430807294986</v>
      </c>
      <c r="J20" s="642">
        <f>transport!I14</f>
        <v>0</v>
      </c>
      <c r="K20" s="642">
        <f>transport!J14</f>
        <v>0</v>
      </c>
      <c r="L20" s="642">
        <f>transport!K14</f>
        <v>0</v>
      </c>
      <c r="M20" s="642">
        <f>transport!L14</f>
        <v>0</v>
      </c>
      <c r="N20" s="642">
        <f>transport!M14</f>
        <v>3434.0807651302321</v>
      </c>
      <c r="O20" s="642">
        <f>transport!N14</f>
        <v>0</v>
      </c>
      <c r="P20" s="642">
        <f>transport!O14</f>
        <v>0</v>
      </c>
      <c r="Q20" s="643">
        <f>transport!P14</f>
        <v>0</v>
      </c>
      <c r="R20" s="645">
        <f>SUM(C20:Q20)</f>
        <v>62111.225810342941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703.70034060791124</v>
      </c>
      <c r="D22" s="765">
        <f t="shared" ref="D22:R22" si="1">SUM(D18:D21)</f>
        <v>0</v>
      </c>
      <c r="E22" s="765">
        <f t="shared" si="1"/>
        <v>173.446869721398</v>
      </c>
      <c r="F22" s="765">
        <f t="shared" si="1"/>
        <v>94.852621207302818</v>
      </c>
      <c r="G22" s="765">
        <f t="shared" si="1"/>
        <v>0</v>
      </c>
      <c r="H22" s="765">
        <f t="shared" si="1"/>
        <v>47987.776136138469</v>
      </c>
      <c r="I22" s="765">
        <f t="shared" si="1"/>
        <v>11430.430807294986</v>
      </c>
      <c r="J22" s="765">
        <f t="shared" si="1"/>
        <v>0</v>
      </c>
      <c r="K22" s="765">
        <f t="shared" si="1"/>
        <v>0</v>
      </c>
      <c r="L22" s="765">
        <f t="shared" si="1"/>
        <v>0</v>
      </c>
      <c r="M22" s="765">
        <f t="shared" si="1"/>
        <v>0</v>
      </c>
      <c r="N22" s="765">
        <f t="shared" si="1"/>
        <v>3495.1831623726234</v>
      </c>
      <c r="O22" s="765">
        <f t="shared" si="1"/>
        <v>0</v>
      </c>
      <c r="P22" s="765">
        <f t="shared" si="1"/>
        <v>0</v>
      </c>
      <c r="Q22" s="765">
        <f t="shared" si="1"/>
        <v>0</v>
      </c>
      <c r="R22" s="765">
        <f t="shared" si="1"/>
        <v>63885.389937342698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29.667566127016002</v>
      </c>
      <c r="D24" s="642">
        <f>+landbouw!C8</f>
        <v>0</v>
      </c>
      <c r="E24" s="642">
        <f>+landbouw!D8</f>
        <v>189.87331196672773</v>
      </c>
      <c r="F24" s="642">
        <f>+landbouw!E8</f>
        <v>0.87468372348588841</v>
      </c>
      <c r="G24" s="642">
        <f>+landbouw!F8</f>
        <v>94.294068682931155</v>
      </c>
      <c r="H24" s="642">
        <f>+landbouw!G8</f>
        <v>0</v>
      </c>
      <c r="I24" s="642">
        <f>+landbouw!H8</f>
        <v>0</v>
      </c>
      <c r="J24" s="642">
        <f>+landbouw!I8</f>
        <v>0</v>
      </c>
      <c r="K24" s="642">
        <f>+landbouw!J8</f>
        <v>7.4819779962326045</v>
      </c>
      <c r="L24" s="642">
        <f>+landbouw!K8</f>
        <v>0</v>
      </c>
      <c r="M24" s="642">
        <f>+landbouw!L8</f>
        <v>0</v>
      </c>
      <c r="N24" s="642">
        <f>+landbouw!M8</f>
        <v>0</v>
      </c>
      <c r="O24" s="642">
        <f>+landbouw!N8</f>
        <v>0</v>
      </c>
      <c r="P24" s="642">
        <f>+landbouw!O8</f>
        <v>0</v>
      </c>
      <c r="Q24" s="643">
        <f>+landbouw!P8</f>
        <v>0</v>
      </c>
      <c r="R24" s="645">
        <f>SUM(C24:Q24)</f>
        <v>322.19160849639343</v>
      </c>
      <c r="S24" s="67"/>
    </row>
    <row r="25" spans="1:19" s="441" customFormat="1" ht="15" thickBot="1">
      <c r="A25" s="784" t="s">
        <v>672</v>
      </c>
      <c r="B25" s="895"/>
      <c r="C25" s="896">
        <f>IF(Onbekend_ele_kWh="---",0,Onbekend_ele_kWh)/1000+IF(REST_rest_ele_kWh="---",0,REST_rest_ele_kWh)/1000</f>
        <v>7256.4855487414097</v>
      </c>
      <c r="D25" s="896"/>
      <c r="E25" s="896">
        <f>IF(onbekend_gas_kWh="---",0,onbekend_gas_kWh)/1000+IF(REST_rest_gas_kWh="---",0,REST_rest_gas_kWh)/1000</f>
        <v>2223.1721186456898</v>
      </c>
      <c r="F25" s="896"/>
      <c r="G25" s="896"/>
      <c r="H25" s="896"/>
      <c r="I25" s="896"/>
      <c r="J25" s="896"/>
      <c r="K25" s="896"/>
      <c r="L25" s="896"/>
      <c r="M25" s="896"/>
      <c r="N25" s="896"/>
      <c r="O25" s="896"/>
      <c r="P25" s="896"/>
      <c r="Q25" s="897"/>
      <c r="R25" s="645">
        <f>SUM(C25:Q25)</f>
        <v>9479.6576673870986</v>
      </c>
      <c r="S25" s="67"/>
    </row>
    <row r="26" spans="1:19" s="441" customFormat="1" ht="15.75" thickBot="1">
      <c r="A26" s="650" t="s">
        <v>673</v>
      </c>
      <c r="B26" s="770"/>
      <c r="C26" s="765">
        <f>SUM(C24:C25)</f>
        <v>7286.1531148684253</v>
      </c>
      <c r="D26" s="765">
        <f t="shared" ref="D26:R26" si="2">SUM(D24:D25)</f>
        <v>0</v>
      </c>
      <c r="E26" s="765">
        <f t="shared" si="2"/>
        <v>2413.0454306124175</v>
      </c>
      <c r="F26" s="765">
        <f t="shared" si="2"/>
        <v>0.87468372348588841</v>
      </c>
      <c r="G26" s="765">
        <f t="shared" si="2"/>
        <v>94.294068682931155</v>
      </c>
      <c r="H26" s="765">
        <f t="shared" si="2"/>
        <v>0</v>
      </c>
      <c r="I26" s="765">
        <f t="shared" si="2"/>
        <v>0</v>
      </c>
      <c r="J26" s="765">
        <f t="shared" si="2"/>
        <v>0</v>
      </c>
      <c r="K26" s="765">
        <f t="shared" si="2"/>
        <v>7.4819779962326045</v>
      </c>
      <c r="L26" s="765">
        <f t="shared" si="2"/>
        <v>0</v>
      </c>
      <c r="M26" s="765">
        <f t="shared" si="2"/>
        <v>0</v>
      </c>
      <c r="N26" s="765">
        <f t="shared" si="2"/>
        <v>0</v>
      </c>
      <c r="O26" s="765">
        <f t="shared" si="2"/>
        <v>0</v>
      </c>
      <c r="P26" s="765">
        <f t="shared" si="2"/>
        <v>0</v>
      </c>
      <c r="Q26" s="765">
        <f t="shared" si="2"/>
        <v>0</v>
      </c>
      <c r="R26" s="765">
        <f t="shared" si="2"/>
        <v>9801.8492758834927</v>
      </c>
      <c r="S26" s="67"/>
    </row>
    <row r="27" spans="1:19" s="441" customFormat="1" ht="17.25" thickTop="1" thickBot="1">
      <c r="A27" s="651" t="s">
        <v>109</v>
      </c>
      <c r="B27" s="757"/>
      <c r="C27" s="652">
        <f ca="1">C22+C16+C26</f>
        <v>66998.69065837079</v>
      </c>
      <c r="D27" s="652">
        <f t="shared" ref="D27:R27" ca="1" si="3">D22+D16+D26</f>
        <v>115.71428571428572</v>
      </c>
      <c r="E27" s="652">
        <f t="shared" ca="1" si="3"/>
        <v>109358.70521138077</v>
      </c>
      <c r="F27" s="652">
        <f t="shared" si="3"/>
        <v>988.44998411720883</v>
      </c>
      <c r="G27" s="652">
        <f t="shared" ca="1" si="3"/>
        <v>18158.602168897949</v>
      </c>
      <c r="H27" s="652">
        <f t="shared" si="3"/>
        <v>47987.776136138469</v>
      </c>
      <c r="I27" s="652">
        <f t="shared" si="3"/>
        <v>11430.430807294986</v>
      </c>
      <c r="J27" s="652">
        <f t="shared" si="3"/>
        <v>0</v>
      </c>
      <c r="K27" s="652">
        <f t="shared" si="3"/>
        <v>59.489709717537579</v>
      </c>
      <c r="L27" s="652">
        <f t="shared" si="3"/>
        <v>0</v>
      </c>
      <c r="M27" s="652">
        <f t="shared" ca="1" si="3"/>
        <v>0</v>
      </c>
      <c r="N27" s="652">
        <f t="shared" si="3"/>
        <v>3495.1831623726234</v>
      </c>
      <c r="O27" s="652">
        <f t="shared" ca="1" si="3"/>
        <v>5807.499403552375</v>
      </c>
      <c r="P27" s="652">
        <f t="shared" si="3"/>
        <v>267.83435961724928</v>
      </c>
      <c r="Q27" s="652">
        <f t="shared" si="3"/>
        <v>210.41786968984024</v>
      </c>
      <c r="R27" s="652">
        <f t="shared" ca="1" si="3"/>
        <v>264878.79375686409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6198.6444829549782</v>
      </c>
      <c r="D40" s="642">
        <f ca="1">tertiair!C20</f>
        <v>27.499159663865555</v>
      </c>
      <c r="E40" s="642">
        <f ca="1">tertiair!D20</f>
        <v>5091.0089631563733</v>
      </c>
      <c r="F40" s="642">
        <f>tertiair!E20</f>
        <v>23.047828335948122</v>
      </c>
      <c r="G40" s="642">
        <f ca="1">tertiair!F20</f>
        <v>1292.0590107466892</v>
      </c>
      <c r="H40" s="642">
        <f>tertiair!G20</f>
        <v>0</v>
      </c>
      <c r="I40" s="642">
        <f>tertiair!H20</f>
        <v>0</v>
      </c>
      <c r="J40" s="642">
        <f>tertiair!I20</f>
        <v>0</v>
      </c>
      <c r="K40" s="642">
        <f>tertiair!J20</f>
        <v>8.4060470719092631E-3</v>
      </c>
      <c r="L40" s="642">
        <f>tertiair!K20</f>
        <v>0</v>
      </c>
      <c r="M40" s="642">
        <f ca="1">tertiair!L20</f>
        <v>0</v>
      </c>
      <c r="N40" s="642">
        <f>tertiair!M20</f>
        <v>0</v>
      </c>
      <c r="O40" s="642">
        <f ca="1">tertiair!N20</f>
        <v>0</v>
      </c>
      <c r="P40" s="642">
        <f>tertiair!O20</f>
        <v>0</v>
      </c>
      <c r="Q40" s="725">
        <f>tertiair!P20</f>
        <v>0</v>
      </c>
      <c r="R40" s="803">
        <f t="shared" ca="1" si="4"/>
        <v>12632.267850904926</v>
      </c>
    </row>
    <row r="41" spans="1:18">
      <c r="A41" s="775" t="s">
        <v>214</v>
      </c>
      <c r="B41" s="782"/>
      <c r="C41" s="642">
        <f ca="1">huishoudens!B12</f>
        <v>2862.7356966374787</v>
      </c>
      <c r="D41" s="642">
        <f ca="1">huishoudens!C12</f>
        <v>0</v>
      </c>
      <c r="E41" s="642">
        <f>huishoudens!D12</f>
        <v>9777.0492603479524</v>
      </c>
      <c r="F41" s="642">
        <f>huishoudens!E12</f>
        <v>122.94578752869073</v>
      </c>
      <c r="G41" s="642">
        <f>huishoudens!F12</f>
        <v>2369.8266727288851</v>
      </c>
      <c r="H41" s="642">
        <f>huishoudens!G12</f>
        <v>0</v>
      </c>
      <c r="I41" s="642">
        <f>huishoudens!H12</f>
        <v>0</v>
      </c>
      <c r="J41" s="642">
        <f>huishoudens!I12</f>
        <v>0</v>
      </c>
      <c r="K41" s="642">
        <f>huishoudens!J12</f>
        <v>17.342361253206629</v>
      </c>
      <c r="L41" s="642">
        <f>huishoudens!K12</f>
        <v>0</v>
      </c>
      <c r="M41" s="642">
        <f>huishoudens!L12</f>
        <v>0</v>
      </c>
      <c r="N41" s="642">
        <f>huishoudens!M12</f>
        <v>0</v>
      </c>
      <c r="O41" s="642">
        <f>huishoudens!N12</f>
        <v>0</v>
      </c>
      <c r="P41" s="642">
        <f>huishoudens!O12</f>
        <v>0</v>
      </c>
      <c r="Q41" s="725">
        <f>huishoudens!P12</f>
        <v>0</v>
      </c>
      <c r="R41" s="803">
        <f t="shared" ca="1" si="4"/>
        <v>15149.899778496212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2349.5101816419478</v>
      </c>
      <c r="D43" s="642">
        <f ca="1">industrie!C22</f>
        <v>0</v>
      </c>
      <c r="E43" s="642">
        <f>industrie!D22</f>
        <v>6699.9287845271592</v>
      </c>
      <c r="F43" s="642">
        <f>industrie!E22</f>
        <v>56.65443231067853</v>
      </c>
      <c r="G43" s="642">
        <f>industrie!F22</f>
        <v>1161.2845792818357</v>
      </c>
      <c r="H43" s="642">
        <f>industrie!G22</f>
        <v>0</v>
      </c>
      <c r="I43" s="642">
        <f>industrie!H22</f>
        <v>0</v>
      </c>
      <c r="J43" s="642">
        <f>industrie!I22</f>
        <v>0</v>
      </c>
      <c r="K43" s="642">
        <f>industrie!J22</f>
        <v>1.0599697290634211</v>
      </c>
      <c r="L43" s="642">
        <f>industrie!K22</f>
        <v>0</v>
      </c>
      <c r="M43" s="642">
        <f>industrie!L22</f>
        <v>0</v>
      </c>
      <c r="N43" s="642">
        <f>industrie!M22</f>
        <v>0</v>
      </c>
      <c r="O43" s="642">
        <f>industrie!N22</f>
        <v>0</v>
      </c>
      <c r="P43" s="642">
        <f>industrie!O22</f>
        <v>0</v>
      </c>
      <c r="Q43" s="725">
        <f>industrie!P22</f>
        <v>0</v>
      </c>
      <c r="R43" s="802">
        <f t="shared" ca="1" si="4"/>
        <v>10268.437947490685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11410.890361234406</v>
      </c>
      <c r="D46" s="678">
        <f t="shared" ref="D46:Q46" ca="1" si="5">SUM(D39:D45)</f>
        <v>27.499159663865555</v>
      </c>
      <c r="E46" s="678">
        <f t="shared" ca="1" si="5"/>
        <v>21567.987008031487</v>
      </c>
      <c r="F46" s="678">
        <f t="shared" si="5"/>
        <v>202.6480481753174</v>
      </c>
      <c r="G46" s="678">
        <f t="shared" ca="1" si="5"/>
        <v>4823.1702627574105</v>
      </c>
      <c r="H46" s="678">
        <f t="shared" si="5"/>
        <v>0</v>
      </c>
      <c r="I46" s="678">
        <f t="shared" si="5"/>
        <v>0</v>
      </c>
      <c r="J46" s="678">
        <f t="shared" si="5"/>
        <v>0</v>
      </c>
      <c r="K46" s="678">
        <f t="shared" si="5"/>
        <v>18.410737029341959</v>
      </c>
      <c r="L46" s="678">
        <f t="shared" si="5"/>
        <v>0</v>
      </c>
      <c r="M46" s="678">
        <f t="shared" ca="1" si="5"/>
        <v>0</v>
      </c>
      <c r="N46" s="678">
        <f t="shared" si="5"/>
        <v>0</v>
      </c>
      <c r="O46" s="678">
        <f t="shared" ca="1" si="5"/>
        <v>0</v>
      </c>
      <c r="P46" s="678">
        <f t="shared" si="5"/>
        <v>0</v>
      </c>
      <c r="Q46" s="678">
        <f t="shared" si="5"/>
        <v>0</v>
      </c>
      <c r="R46" s="678">
        <f ca="1">SUM(R39:R45)</f>
        <v>38050.605576891823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117.2838679615256</v>
      </c>
      <c r="D49" s="642">
        <f ca="1">transport!C58</f>
        <v>0</v>
      </c>
      <c r="E49" s="642">
        <f>transport!D58</f>
        <v>0</v>
      </c>
      <c r="F49" s="642">
        <f>transport!E58</f>
        <v>0</v>
      </c>
      <c r="G49" s="642">
        <f>transport!F58</f>
        <v>0</v>
      </c>
      <c r="H49" s="642">
        <f>transport!G58</f>
        <v>295.45011774148173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412.73398570300731</v>
      </c>
    </row>
    <row r="50" spans="1:18">
      <c r="A50" s="778" t="s">
        <v>296</v>
      </c>
      <c r="B50" s="788"/>
      <c r="C50" s="648">
        <f ca="1">transport!B18</f>
        <v>18.794858793088494</v>
      </c>
      <c r="D50" s="648">
        <f>transport!C18</f>
        <v>0</v>
      </c>
      <c r="E50" s="648">
        <f>transport!D18</f>
        <v>35.0362676837224</v>
      </c>
      <c r="F50" s="648">
        <f>transport!E18</f>
        <v>21.531545014057741</v>
      </c>
      <c r="G50" s="648">
        <f>transport!F18</f>
        <v>0</v>
      </c>
      <c r="H50" s="648">
        <f>transport!G18</f>
        <v>12517.286110607491</v>
      </c>
      <c r="I50" s="648">
        <f>transport!H18</f>
        <v>2846.1772710164514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15438.82605311481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136.07872675461408</v>
      </c>
      <c r="D52" s="678">
        <f t="shared" ref="D52:Q52" ca="1" si="6">SUM(D48:D51)</f>
        <v>0</v>
      </c>
      <c r="E52" s="678">
        <f t="shared" si="6"/>
        <v>35.0362676837224</v>
      </c>
      <c r="F52" s="678">
        <f t="shared" si="6"/>
        <v>21.531545014057741</v>
      </c>
      <c r="G52" s="678">
        <f t="shared" si="6"/>
        <v>0</v>
      </c>
      <c r="H52" s="678">
        <f t="shared" si="6"/>
        <v>12812.736228348973</v>
      </c>
      <c r="I52" s="678">
        <f t="shared" si="6"/>
        <v>2846.1772710164514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15851.560038817817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5.736993989494267</v>
      </c>
      <c r="D54" s="648">
        <f ca="1">+landbouw!C12</f>
        <v>0</v>
      </c>
      <c r="E54" s="648">
        <f>+landbouw!D12</f>
        <v>38.354409017279004</v>
      </c>
      <c r="F54" s="648">
        <f>+landbouw!E12</f>
        <v>0.19855320523129669</v>
      </c>
      <c r="G54" s="648">
        <f>+landbouw!F12</f>
        <v>25.176516338342619</v>
      </c>
      <c r="H54" s="648">
        <f>+landbouw!G12</f>
        <v>0</v>
      </c>
      <c r="I54" s="648">
        <f>+landbouw!H12</f>
        <v>0</v>
      </c>
      <c r="J54" s="648">
        <f>+landbouw!I12</f>
        <v>0</v>
      </c>
      <c r="K54" s="648">
        <f>+landbouw!J12</f>
        <v>2.6486202106663419</v>
      </c>
      <c r="L54" s="648">
        <f>+landbouw!K12</f>
        <v>0</v>
      </c>
      <c r="M54" s="648">
        <f>+landbouw!L12</f>
        <v>0</v>
      </c>
      <c r="N54" s="648">
        <f>+landbouw!M12</f>
        <v>0</v>
      </c>
      <c r="O54" s="648">
        <f>+landbouw!N12</f>
        <v>0</v>
      </c>
      <c r="P54" s="648">
        <f>+landbouw!O12</f>
        <v>0</v>
      </c>
      <c r="Q54" s="649">
        <f>+landbouw!P12</f>
        <v>0</v>
      </c>
      <c r="R54" s="677">
        <f ca="1">SUM(C54:Q54)</f>
        <v>72.115092761013528</v>
      </c>
    </row>
    <row r="55" spans="1:18" ht="15" thickBot="1">
      <c r="A55" s="778" t="s">
        <v>672</v>
      </c>
      <c r="B55" s="788"/>
      <c r="C55" s="648">
        <f ca="1">C25*'EF ele_warmte'!B12</f>
        <v>1403.2298369117586</v>
      </c>
      <c r="D55" s="648"/>
      <c r="E55" s="648">
        <f>E25*EF_CO2_aardgas</f>
        <v>449.08076796642939</v>
      </c>
      <c r="F55" s="648"/>
      <c r="G55" s="648"/>
      <c r="H55" s="648"/>
      <c r="I55" s="648"/>
      <c r="J55" s="648"/>
      <c r="K55" s="648"/>
      <c r="L55" s="648"/>
      <c r="M55" s="648"/>
      <c r="N55" s="648"/>
      <c r="O55" s="648"/>
      <c r="P55" s="648"/>
      <c r="Q55" s="649"/>
      <c r="R55" s="677">
        <f ca="1">SUM(C55:Q55)</f>
        <v>1852.3106048781881</v>
      </c>
    </row>
    <row r="56" spans="1:18" ht="15.75" thickBot="1">
      <c r="A56" s="776" t="s">
        <v>673</v>
      </c>
      <c r="B56" s="789"/>
      <c r="C56" s="678">
        <f ca="1">SUM(C54:C55)</f>
        <v>1408.9668309012529</v>
      </c>
      <c r="D56" s="678">
        <f t="shared" ref="D56:Q56" ca="1" si="7">SUM(D54:D55)</f>
        <v>0</v>
      </c>
      <c r="E56" s="678">
        <f t="shared" si="7"/>
        <v>487.4351769837084</v>
      </c>
      <c r="F56" s="678">
        <f t="shared" si="7"/>
        <v>0.19855320523129669</v>
      </c>
      <c r="G56" s="678">
        <f t="shared" si="7"/>
        <v>25.176516338342619</v>
      </c>
      <c r="H56" s="678">
        <f t="shared" si="7"/>
        <v>0</v>
      </c>
      <c r="I56" s="678">
        <f t="shared" si="7"/>
        <v>0</v>
      </c>
      <c r="J56" s="678">
        <f t="shared" si="7"/>
        <v>0</v>
      </c>
      <c r="K56" s="678">
        <f t="shared" si="7"/>
        <v>2.6486202106663419</v>
      </c>
      <c r="L56" s="678">
        <f t="shared" si="7"/>
        <v>0</v>
      </c>
      <c r="M56" s="678">
        <f t="shared" si="7"/>
        <v>0</v>
      </c>
      <c r="N56" s="678">
        <f t="shared" si="7"/>
        <v>0</v>
      </c>
      <c r="O56" s="678">
        <f t="shared" si="7"/>
        <v>0</v>
      </c>
      <c r="P56" s="678">
        <f t="shared" si="7"/>
        <v>0</v>
      </c>
      <c r="Q56" s="679">
        <f t="shared" si="7"/>
        <v>0</v>
      </c>
      <c r="R56" s="680">
        <f ca="1">SUM(R54:R55)</f>
        <v>1924.4256976392016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12955.935918890273</v>
      </c>
      <c r="D61" s="686">
        <f t="shared" ref="D61:Q61" ca="1" si="8">D46+D52+D56</f>
        <v>27.499159663865555</v>
      </c>
      <c r="E61" s="686">
        <f t="shared" ca="1" si="8"/>
        <v>22090.458452698917</v>
      </c>
      <c r="F61" s="686">
        <f t="shared" si="8"/>
        <v>224.37814639460643</v>
      </c>
      <c r="G61" s="686">
        <f t="shared" ca="1" si="8"/>
        <v>4848.3467790957529</v>
      </c>
      <c r="H61" s="686">
        <f t="shared" si="8"/>
        <v>12812.736228348973</v>
      </c>
      <c r="I61" s="686">
        <f t="shared" si="8"/>
        <v>2846.1772710164514</v>
      </c>
      <c r="J61" s="686">
        <f t="shared" si="8"/>
        <v>0</v>
      </c>
      <c r="K61" s="686">
        <f t="shared" si="8"/>
        <v>21.0593572400083</v>
      </c>
      <c r="L61" s="686">
        <f t="shared" si="8"/>
        <v>0</v>
      </c>
      <c r="M61" s="686">
        <f t="shared" ca="1" si="8"/>
        <v>0</v>
      </c>
      <c r="N61" s="686">
        <f t="shared" si="8"/>
        <v>0</v>
      </c>
      <c r="O61" s="686">
        <f t="shared" ca="1" si="8"/>
        <v>0</v>
      </c>
      <c r="P61" s="686">
        <f t="shared" si="8"/>
        <v>0</v>
      </c>
      <c r="Q61" s="686">
        <f t="shared" si="8"/>
        <v>0</v>
      </c>
      <c r="R61" s="686">
        <f ca="1">R46+R52+R56</f>
        <v>55826.591313348843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0.19337595692657858</v>
      </c>
      <c r="D63" s="732">
        <f t="shared" ca="1" si="9"/>
        <v>0.23764705882352946</v>
      </c>
      <c r="E63" s="921">
        <f t="shared" ca="1" si="9"/>
        <v>0.20200000000000001</v>
      </c>
      <c r="F63" s="732">
        <f t="shared" si="9"/>
        <v>0.22700000000000004</v>
      </c>
      <c r="G63" s="732">
        <f t="shared" ca="1" si="9"/>
        <v>0.26700000000000002</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546.7015835149374</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7833.9460561881378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81</v>
      </c>
      <c r="D76" s="904">
        <f>'lokale energieproductie'!C8</f>
        <v>95.294117647058826</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19.249411764705883</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8380.6476397030747</v>
      </c>
      <c r="C78" s="704">
        <f>SUM(C72:C77)</f>
        <v>81</v>
      </c>
      <c r="D78" s="705">
        <f t="shared" ref="D78:H78" si="10">SUM(D76:D77)</f>
        <v>95.294117647058826</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19.249411764705883</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115.71428571428572</v>
      </c>
      <c r="D87" s="728">
        <f>'lokale energieproductie'!C17</f>
        <v>136.13445378151263</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27.499159663865555</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115.71428571428572</v>
      </c>
      <c r="D90" s="704">
        <f t="shared" ref="D90:H90" si="12">SUM(D87:D89)</f>
        <v>136.13445378151263</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27.499159663865555</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14803.98981412363</v>
      </c>
      <c r="C4" s="445">
        <f>huishoudens!C8</f>
        <v>0</v>
      </c>
      <c r="D4" s="445">
        <f>huishoudens!D8</f>
        <v>48401.233962118575</v>
      </c>
      <c r="E4" s="445">
        <f>huishoudens!E8</f>
        <v>541.61139880480494</v>
      </c>
      <c r="F4" s="445">
        <f>huishoudens!F8</f>
        <v>8875.7553285726026</v>
      </c>
      <c r="G4" s="445">
        <f>huishoudens!G8</f>
        <v>0</v>
      </c>
      <c r="H4" s="445">
        <f>huishoudens!H8</f>
        <v>0</v>
      </c>
      <c r="I4" s="445">
        <f>huishoudens!I8</f>
        <v>0</v>
      </c>
      <c r="J4" s="445">
        <f>huishoudens!J8</f>
        <v>48.989721054256016</v>
      </c>
      <c r="K4" s="445">
        <f>huishoudens!K8</f>
        <v>0</v>
      </c>
      <c r="L4" s="445">
        <f>huishoudens!L8</f>
        <v>0</v>
      </c>
      <c r="M4" s="445">
        <f>huishoudens!M8</f>
        <v>0</v>
      </c>
      <c r="N4" s="445">
        <f>huishoudens!N8</f>
        <v>4602.4613952926629</v>
      </c>
      <c r="O4" s="445">
        <f>huishoudens!O8</f>
        <v>267.83435961724928</v>
      </c>
      <c r="P4" s="446">
        <f>huishoudens!P8</f>
        <v>105.33959307685021</v>
      </c>
      <c r="Q4" s="447">
        <f>SUM(B4:P4)</f>
        <v>77647.215572660614</v>
      </c>
    </row>
    <row r="5" spans="1:17">
      <c r="A5" s="444" t="s">
        <v>149</v>
      </c>
      <c r="B5" s="445">
        <f ca="1">tertiair!B16</f>
        <v>31387.548181804581</v>
      </c>
      <c r="C5" s="445">
        <f ca="1">tertiair!C16</f>
        <v>115.71428571428572</v>
      </c>
      <c r="D5" s="445">
        <f ca="1">tertiair!D16</f>
        <v>25203.014669090953</v>
      </c>
      <c r="E5" s="445">
        <f>tertiair!E16</f>
        <v>101.53228341827366</v>
      </c>
      <c r="F5" s="445">
        <f ca="1">tertiair!F16</f>
        <v>4839.172324893967</v>
      </c>
      <c r="G5" s="445">
        <f>tertiair!G16</f>
        <v>0</v>
      </c>
      <c r="H5" s="445">
        <f>tertiair!H16</f>
        <v>0</v>
      </c>
      <c r="I5" s="445">
        <f>tertiair!I16</f>
        <v>0</v>
      </c>
      <c r="J5" s="445">
        <f>tertiair!J16</f>
        <v>2.3745895683359504E-2</v>
      </c>
      <c r="K5" s="445">
        <f>tertiair!K16</f>
        <v>0</v>
      </c>
      <c r="L5" s="445">
        <f ca="1">tertiair!L16</f>
        <v>0</v>
      </c>
      <c r="M5" s="445">
        <f>tertiair!M16</f>
        <v>0</v>
      </c>
      <c r="N5" s="445">
        <f ca="1">tertiair!N16</f>
        <v>858.24071625135025</v>
      </c>
      <c r="O5" s="445">
        <f>tertiair!O16</f>
        <v>0</v>
      </c>
      <c r="P5" s="446">
        <f>tertiair!P16</f>
        <v>105.07827661299004</v>
      </c>
      <c r="Q5" s="444">
        <f t="shared" ref="Q5:Q14" ca="1" si="0">SUM(B5:P5)</f>
        <v>62610.324483682081</v>
      </c>
    </row>
    <row r="6" spans="1:17">
      <c r="A6" s="444" t="s">
        <v>187</v>
      </c>
      <c r="B6" s="445">
        <f>'openbare verlichting'!B8</f>
        <v>667.33900000000006</v>
      </c>
      <c r="C6" s="445"/>
      <c r="D6" s="445"/>
      <c r="E6" s="445"/>
      <c r="F6" s="445"/>
      <c r="G6" s="445"/>
      <c r="H6" s="445"/>
      <c r="I6" s="445"/>
      <c r="J6" s="445"/>
      <c r="K6" s="445"/>
      <c r="L6" s="445"/>
      <c r="M6" s="445"/>
      <c r="N6" s="445"/>
      <c r="O6" s="445"/>
      <c r="P6" s="446"/>
      <c r="Q6" s="444">
        <f t="shared" si="0"/>
        <v>667.33900000000006</v>
      </c>
    </row>
    <row r="7" spans="1:17">
      <c r="A7" s="444" t="s">
        <v>105</v>
      </c>
      <c r="B7" s="445">
        <f>landbouw!B8</f>
        <v>29.667566127016002</v>
      </c>
      <c r="C7" s="445">
        <f>landbouw!C8</f>
        <v>0</v>
      </c>
      <c r="D7" s="445">
        <f>landbouw!D8</f>
        <v>189.87331196672773</v>
      </c>
      <c r="E7" s="445">
        <f>landbouw!E8</f>
        <v>0.87468372348588841</v>
      </c>
      <c r="F7" s="445">
        <f>landbouw!F8</f>
        <v>94.294068682931155</v>
      </c>
      <c r="G7" s="445">
        <f>landbouw!G8</f>
        <v>0</v>
      </c>
      <c r="H7" s="445">
        <f>landbouw!H8</f>
        <v>0</v>
      </c>
      <c r="I7" s="445">
        <f>landbouw!I8</f>
        <v>0</v>
      </c>
      <c r="J7" s="445">
        <f>landbouw!J8</f>
        <v>7.4819779962326045</v>
      </c>
      <c r="K7" s="445">
        <f>landbouw!K8</f>
        <v>0</v>
      </c>
      <c r="L7" s="445">
        <f>landbouw!L8</f>
        <v>0</v>
      </c>
      <c r="M7" s="445">
        <f>landbouw!M8</f>
        <v>0</v>
      </c>
      <c r="N7" s="445">
        <f>landbouw!N8</f>
        <v>0</v>
      </c>
      <c r="O7" s="445">
        <f>landbouw!O8</f>
        <v>0</v>
      </c>
      <c r="P7" s="446">
        <f>landbouw!P8</f>
        <v>0</v>
      </c>
      <c r="Q7" s="444">
        <f t="shared" si="0"/>
        <v>322.19160849639343</v>
      </c>
    </row>
    <row r="8" spans="1:17">
      <c r="A8" s="444" t="s">
        <v>587</v>
      </c>
      <c r="B8" s="445">
        <f>industrie!B18</f>
        <v>12149.960206966243</v>
      </c>
      <c r="C8" s="445">
        <f>industrie!C18</f>
        <v>0</v>
      </c>
      <c r="D8" s="445">
        <f>industrie!D18</f>
        <v>33167.964279837419</v>
      </c>
      <c r="E8" s="445">
        <f>industrie!E18</f>
        <v>249.57899696334152</v>
      </c>
      <c r="F8" s="445">
        <f>industrie!F18</f>
        <v>4349.3804467484479</v>
      </c>
      <c r="G8" s="445">
        <f>industrie!G18</f>
        <v>0</v>
      </c>
      <c r="H8" s="445">
        <f>industrie!H18</f>
        <v>0</v>
      </c>
      <c r="I8" s="445">
        <f>industrie!I18</f>
        <v>0</v>
      </c>
      <c r="J8" s="445">
        <f>industrie!J18</f>
        <v>2.9942647713655965</v>
      </c>
      <c r="K8" s="445">
        <f>industrie!K18</f>
        <v>0</v>
      </c>
      <c r="L8" s="445">
        <f>industrie!L18</f>
        <v>0</v>
      </c>
      <c r="M8" s="445">
        <f>industrie!M18</f>
        <v>0</v>
      </c>
      <c r="N8" s="445">
        <f>industrie!N18</f>
        <v>346.79729200836215</v>
      </c>
      <c r="O8" s="445">
        <f>industrie!O18</f>
        <v>0</v>
      </c>
      <c r="P8" s="446">
        <f>industrie!P18</f>
        <v>0</v>
      </c>
      <c r="Q8" s="444">
        <f t="shared" si="0"/>
        <v>50266.675487295186</v>
      </c>
    </row>
    <row r="9" spans="1:17" s="450" customFormat="1">
      <c r="A9" s="448" t="s">
        <v>536</v>
      </c>
      <c r="B9" s="449">
        <f>transport!B14</f>
        <v>97.193358945986091</v>
      </c>
      <c r="C9" s="449">
        <f>transport!C14</f>
        <v>0</v>
      </c>
      <c r="D9" s="449">
        <f>transport!D14</f>
        <v>173.446869721398</v>
      </c>
      <c r="E9" s="449">
        <f>transport!E14</f>
        <v>94.852621207302818</v>
      </c>
      <c r="F9" s="449">
        <f>transport!F14</f>
        <v>0</v>
      </c>
      <c r="G9" s="449">
        <f>transport!G14</f>
        <v>46881.221388043035</v>
      </c>
      <c r="H9" s="449">
        <f>transport!H14</f>
        <v>11430.430807294986</v>
      </c>
      <c r="I9" s="449">
        <f>transport!I14</f>
        <v>0</v>
      </c>
      <c r="J9" s="449">
        <f>transport!J14</f>
        <v>0</v>
      </c>
      <c r="K9" s="449">
        <f>transport!K14</f>
        <v>0</v>
      </c>
      <c r="L9" s="449">
        <f>transport!L14</f>
        <v>0</v>
      </c>
      <c r="M9" s="449">
        <f>transport!M14</f>
        <v>3434.0807651302321</v>
      </c>
      <c r="N9" s="449">
        <f>transport!N14</f>
        <v>0</v>
      </c>
      <c r="O9" s="449">
        <f>transport!O14</f>
        <v>0</v>
      </c>
      <c r="P9" s="449">
        <f>transport!P14</f>
        <v>0</v>
      </c>
      <c r="Q9" s="448">
        <f>SUM(B9:P9)</f>
        <v>62111.225810342941</v>
      </c>
    </row>
    <row r="10" spans="1:17">
      <c r="A10" s="444" t="s">
        <v>526</v>
      </c>
      <c r="B10" s="445">
        <f>transport!B54</f>
        <v>606.50698166192512</v>
      </c>
      <c r="C10" s="445">
        <f>transport!C54</f>
        <v>0</v>
      </c>
      <c r="D10" s="445">
        <f>transport!D54</f>
        <v>0</v>
      </c>
      <c r="E10" s="445">
        <f>transport!E54</f>
        <v>0</v>
      </c>
      <c r="F10" s="445">
        <f>transport!F54</f>
        <v>0</v>
      </c>
      <c r="G10" s="445">
        <f>transport!G54</f>
        <v>1106.5547480954372</v>
      </c>
      <c r="H10" s="445">
        <f>transport!H54</f>
        <v>0</v>
      </c>
      <c r="I10" s="445">
        <f>transport!I54</f>
        <v>0</v>
      </c>
      <c r="J10" s="445">
        <f>transport!J54</f>
        <v>0</v>
      </c>
      <c r="K10" s="445">
        <f>transport!K54</f>
        <v>0</v>
      </c>
      <c r="L10" s="445">
        <f>transport!L54</f>
        <v>0</v>
      </c>
      <c r="M10" s="445">
        <f>transport!M54</f>
        <v>61.102397242391149</v>
      </c>
      <c r="N10" s="445">
        <f>transport!N54</f>
        <v>0</v>
      </c>
      <c r="O10" s="445">
        <f>transport!O54</f>
        <v>0</v>
      </c>
      <c r="P10" s="446">
        <f>transport!P54</f>
        <v>0</v>
      </c>
      <c r="Q10" s="444">
        <f t="shared" si="0"/>
        <v>1774.1641269997533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7256.4855487414097</v>
      </c>
      <c r="C14" s="452"/>
      <c r="D14" s="452">
        <f>'SEAP template'!E25</f>
        <v>2223.1721186456898</v>
      </c>
      <c r="E14" s="452"/>
      <c r="F14" s="452"/>
      <c r="G14" s="452"/>
      <c r="H14" s="452"/>
      <c r="I14" s="452"/>
      <c r="J14" s="452"/>
      <c r="K14" s="452"/>
      <c r="L14" s="452"/>
      <c r="M14" s="452"/>
      <c r="N14" s="452"/>
      <c r="O14" s="452"/>
      <c r="P14" s="453"/>
      <c r="Q14" s="444">
        <f t="shared" si="0"/>
        <v>9479.6576673870986</v>
      </c>
    </row>
    <row r="15" spans="1:17" s="456" customFormat="1">
      <c r="A15" s="454" t="s">
        <v>530</v>
      </c>
      <c r="B15" s="455">
        <f ca="1">SUM(B4:B14)</f>
        <v>66998.69065837079</v>
      </c>
      <c r="C15" s="455">
        <f t="shared" ref="C15:Q15" ca="1" si="1">SUM(C4:C14)</f>
        <v>115.71428571428572</v>
      </c>
      <c r="D15" s="455">
        <f t="shared" ca="1" si="1"/>
        <v>109358.70521138076</v>
      </c>
      <c r="E15" s="455">
        <f t="shared" si="1"/>
        <v>988.44998411720883</v>
      </c>
      <c r="F15" s="455">
        <f t="shared" ca="1" si="1"/>
        <v>18158.602168897949</v>
      </c>
      <c r="G15" s="455">
        <f t="shared" si="1"/>
        <v>47987.776136138469</v>
      </c>
      <c r="H15" s="455">
        <f t="shared" si="1"/>
        <v>11430.430807294986</v>
      </c>
      <c r="I15" s="455">
        <f t="shared" si="1"/>
        <v>0</v>
      </c>
      <c r="J15" s="455">
        <f t="shared" si="1"/>
        <v>59.489709717537579</v>
      </c>
      <c r="K15" s="455">
        <f t="shared" si="1"/>
        <v>0</v>
      </c>
      <c r="L15" s="455">
        <f t="shared" ca="1" si="1"/>
        <v>0</v>
      </c>
      <c r="M15" s="455">
        <f t="shared" si="1"/>
        <v>3495.1831623726234</v>
      </c>
      <c r="N15" s="455">
        <f t="shared" ca="1" si="1"/>
        <v>5807.499403552375</v>
      </c>
      <c r="O15" s="455">
        <f t="shared" si="1"/>
        <v>267.83435961724928</v>
      </c>
      <c r="P15" s="455">
        <f t="shared" si="1"/>
        <v>210.41786968984024</v>
      </c>
      <c r="Q15" s="455">
        <f t="shared" ca="1" si="1"/>
        <v>264878.79375686403</v>
      </c>
    </row>
    <row r="17" spans="1:17">
      <c r="A17" s="457" t="s">
        <v>531</v>
      </c>
      <c r="B17" s="737">
        <f ca="1">huishoudens!B10</f>
        <v>0.19337595692657855</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2862.7356966374787</v>
      </c>
      <c r="C22" s="445">
        <f t="shared" ref="C22:C32" ca="1" si="3">C4*$C$17</f>
        <v>0</v>
      </c>
      <c r="D22" s="445">
        <f t="shared" ref="D22:D32" si="4">D4*$D$17</f>
        <v>9777.0492603479524</v>
      </c>
      <c r="E22" s="445">
        <f t="shared" ref="E22:E32" si="5">E4*$E$17</f>
        <v>122.94578752869073</v>
      </c>
      <c r="F22" s="445">
        <f t="shared" ref="F22:F32" si="6">F4*$F$17</f>
        <v>2369.8266727288851</v>
      </c>
      <c r="G22" s="445">
        <f t="shared" ref="G22:G32" si="7">G4*$G$17</f>
        <v>0</v>
      </c>
      <c r="H22" s="445">
        <f t="shared" ref="H22:H32" si="8">H4*$H$17</f>
        <v>0</v>
      </c>
      <c r="I22" s="445">
        <f t="shared" ref="I22:I32" si="9">I4*$I$17</f>
        <v>0</v>
      </c>
      <c r="J22" s="445">
        <f t="shared" ref="J22:J32" si="10">J4*$J$17</f>
        <v>17.342361253206629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15149.899778496212</v>
      </c>
    </row>
    <row r="23" spans="1:17">
      <c r="A23" s="444" t="s">
        <v>149</v>
      </c>
      <c r="B23" s="445">
        <f t="shared" ca="1" si="2"/>
        <v>6069.597165235552</v>
      </c>
      <c r="C23" s="445">
        <f t="shared" ca="1" si="3"/>
        <v>27.499159663865555</v>
      </c>
      <c r="D23" s="445">
        <f t="shared" ca="1" si="4"/>
        <v>5091.0089631563733</v>
      </c>
      <c r="E23" s="445">
        <f t="shared" si="5"/>
        <v>23.047828335948122</v>
      </c>
      <c r="F23" s="445">
        <f t="shared" ca="1" si="6"/>
        <v>1292.0590107466892</v>
      </c>
      <c r="G23" s="445">
        <f t="shared" si="7"/>
        <v>0</v>
      </c>
      <c r="H23" s="445">
        <f t="shared" si="8"/>
        <v>0</v>
      </c>
      <c r="I23" s="445">
        <f t="shared" si="9"/>
        <v>0</v>
      </c>
      <c r="J23" s="445">
        <f t="shared" si="10"/>
        <v>8.4060470719092631E-3</v>
      </c>
      <c r="K23" s="445">
        <f t="shared" si="11"/>
        <v>0</v>
      </c>
      <c r="L23" s="445">
        <f t="shared" ca="1" si="12"/>
        <v>0</v>
      </c>
      <c r="M23" s="445">
        <f t="shared" si="13"/>
        <v>0</v>
      </c>
      <c r="N23" s="445">
        <f t="shared" ca="1" si="14"/>
        <v>0</v>
      </c>
      <c r="O23" s="445">
        <f t="shared" si="15"/>
        <v>0</v>
      </c>
      <c r="P23" s="446">
        <f t="shared" si="16"/>
        <v>0</v>
      </c>
      <c r="Q23" s="444">
        <f t="shared" ref="Q23:Q31" ca="1" si="17">SUM(B23:P23)</f>
        <v>12503.2205331855</v>
      </c>
    </row>
    <row r="24" spans="1:17">
      <c r="A24" s="444" t="s">
        <v>187</v>
      </c>
      <c r="B24" s="445">
        <f t="shared" ca="1" si="2"/>
        <v>129.04731771942602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129.04731771942602</v>
      </c>
    </row>
    <row r="25" spans="1:17">
      <c r="A25" s="444" t="s">
        <v>105</v>
      </c>
      <c r="B25" s="445">
        <f t="shared" ca="1" si="2"/>
        <v>5.736993989494267</v>
      </c>
      <c r="C25" s="445">
        <f t="shared" ca="1" si="3"/>
        <v>0</v>
      </c>
      <c r="D25" s="445">
        <f t="shared" si="4"/>
        <v>38.354409017279004</v>
      </c>
      <c r="E25" s="445">
        <f t="shared" si="5"/>
        <v>0.19855320523129669</v>
      </c>
      <c r="F25" s="445">
        <f t="shared" si="6"/>
        <v>25.176516338342619</v>
      </c>
      <c r="G25" s="445">
        <f t="shared" si="7"/>
        <v>0</v>
      </c>
      <c r="H25" s="445">
        <f t="shared" si="8"/>
        <v>0</v>
      </c>
      <c r="I25" s="445">
        <f t="shared" si="9"/>
        <v>0</v>
      </c>
      <c r="J25" s="445">
        <f t="shared" si="10"/>
        <v>2.6486202106663419</v>
      </c>
      <c r="K25" s="445">
        <f t="shared" si="11"/>
        <v>0</v>
      </c>
      <c r="L25" s="445">
        <f t="shared" si="12"/>
        <v>0</v>
      </c>
      <c r="M25" s="445">
        <f t="shared" si="13"/>
        <v>0</v>
      </c>
      <c r="N25" s="445">
        <f t="shared" si="14"/>
        <v>0</v>
      </c>
      <c r="O25" s="445">
        <f t="shared" si="15"/>
        <v>0</v>
      </c>
      <c r="P25" s="446">
        <f t="shared" si="16"/>
        <v>0</v>
      </c>
      <c r="Q25" s="444">
        <f t="shared" ca="1" si="17"/>
        <v>72.115092761013528</v>
      </c>
    </row>
    <row r="26" spans="1:17">
      <c r="A26" s="444" t="s">
        <v>587</v>
      </c>
      <c r="B26" s="445">
        <f t="shared" ca="1" si="2"/>
        <v>2349.5101816419478</v>
      </c>
      <c r="C26" s="445">
        <f t="shared" ca="1" si="3"/>
        <v>0</v>
      </c>
      <c r="D26" s="445">
        <f t="shared" si="4"/>
        <v>6699.9287845271592</v>
      </c>
      <c r="E26" s="445">
        <f t="shared" si="5"/>
        <v>56.65443231067853</v>
      </c>
      <c r="F26" s="445">
        <f t="shared" si="6"/>
        <v>1161.2845792818357</v>
      </c>
      <c r="G26" s="445">
        <f t="shared" si="7"/>
        <v>0</v>
      </c>
      <c r="H26" s="445">
        <f t="shared" si="8"/>
        <v>0</v>
      </c>
      <c r="I26" s="445">
        <f t="shared" si="9"/>
        <v>0</v>
      </c>
      <c r="J26" s="445">
        <f t="shared" si="10"/>
        <v>1.0599697290634211</v>
      </c>
      <c r="K26" s="445">
        <f t="shared" si="11"/>
        <v>0</v>
      </c>
      <c r="L26" s="445">
        <f t="shared" si="12"/>
        <v>0</v>
      </c>
      <c r="M26" s="445">
        <f t="shared" si="13"/>
        <v>0</v>
      </c>
      <c r="N26" s="445">
        <f t="shared" si="14"/>
        <v>0</v>
      </c>
      <c r="O26" s="445">
        <f t="shared" si="15"/>
        <v>0</v>
      </c>
      <c r="P26" s="446">
        <f t="shared" si="16"/>
        <v>0</v>
      </c>
      <c r="Q26" s="444">
        <f t="shared" ca="1" si="17"/>
        <v>10268.437947490685</v>
      </c>
    </row>
    <row r="27" spans="1:17" s="450" customFormat="1">
      <c r="A27" s="448" t="s">
        <v>536</v>
      </c>
      <c r="B27" s="731">
        <f t="shared" ca="1" si="2"/>
        <v>18.794858793088494</v>
      </c>
      <c r="C27" s="449">
        <f t="shared" ca="1" si="3"/>
        <v>0</v>
      </c>
      <c r="D27" s="449">
        <f t="shared" si="4"/>
        <v>35.0362676837224</v>
      </c>
      <c r="E27" s="449">
        <f t="shared" si="5"/>
        <v>21.531545014057741</v>
      </c>
      <c r="F27" s="449">
        <f t="shared" si="6"/>
        <v>0</v>
      </c>
      <c r="G27" s="449">
        <f t="shared" si="7"/>
        <v>12517.286110607491</v>
      </c>
      <c r="H27" s="449">
        <f t="shared" si="8"/>
        <v>2846.1772710164514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15438.82605311481</v>
      </c>
    </row>
    <row r="28" spans="1:17" ht="16.5" customHeight="1">
      <c r="A28" s="444" t="s">
        <v>526</v>
      </c>
      <c r="B28" s="445">
        <f t="shared" ca="1" si="2"/>
        <v>117.2838679615256</v>
      </c>
      <c r="C28" s="445">
        <f t="shared" ca="1" si="3"/>
        <v>0</v>
      </c>
      <c r="D28" s="445">
        <f t="shared" si="4"/>
        <v>0</v>
      </c>
      <c r="E28" s="445">
        <f t="shared" si="5"/>
        <v>0</v>
      </c>
      <c r="F28" s="445">
        <f t="shared" si="6"/>
        <v>0</v>
      </c>
      <c r="G28" s="445">
        <f t="shared" si="7"/>
        <v>295.45011774148173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412.73398570300731</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1403.2298369117586</v>
      </c>
      <c r="C32" s="445">
        <f t="shared" ca="1" si="3"/>
        <v>0</v>
      </c>
      <c r="D32" s="445">
        <f t="shared" si="4"/>
        <v>449.08076796642939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1852.3106048781881</v>
      </c>
    </row>
    <row r="33" spans="1:17" s="456" customFormat="1">
      <c r="A33" s="454" t="s">
        <v>530</v>
      </c>
      <c r="B33" s="455">
        <f ca="1">SUM(B22:B32)</f>
        <v>12955.935918890269</v>
      </c>
      <c r="C33" s="455">
        <f t="shared" ref="C33:Q33" ca="1" si="19">SUM(C22:C32)</f>
        <v>27.499159663865555</v>
      </c>
      <c r="D33" s="455">
        <f t="shared" ca="1" si="19"/>
        <v>22090.458452698913</v>
      </c>
      <c r="E33" s="455">
        <f t="shared" si="19"/>
        <v>224.37814639460643</v>
      </c>
      <c r="F33" s="455">
        <f t="shared" ca="1" si="19"/>
        <v>4848.3467790957529</v>
      </c>
      <c r="G33" s="455">
        <f t="shared" si="19"/>
        <v>12812.736228348973</v>
      </c>
      <c r="H33" s="455">
        <f t="shared" si="19"/>
        <v>2846.1772710164514</v>
      </c>
      <c r="I33" s="455">
        <f t="shared" si="19"/>
        <v>0</v>
      </c>
      <c r="J33" s="455">
        <f t="shared" si="19"/>
        <v>21.0593572400083</v>
      </c>
      <c r="K33" s="455">
        <f t="shared" si="19"/>
        <v>0</v>
      </c>
      <c r="L33" s="455">
        <f t="shared" ca="1" si="19"/>
        <v>0</v>
      </c>
      <c r="M33" s="455">
        <f t="shared" si="19"/>
        <v>0</v>
      </c>
      <c r="N33" s="455">
        <f t="shared" ca="1" si="19"/>
        <v>0</v>
      </c>
      <c r="O33" s="455">
        <f t="shared" si="19"/>
        <v>0</v>
      </c>
      <c r="P33" s="455">
        <f t="shared" si="19"/>
        <v>0</v>
      </c>
      <c r="Q33" s="455">
        <f t="shared" ca="1" si="19"/>
        <v>55826.591313348843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546.7015835149374</v>
      </c>
      <c r="C5" s="972"/>
      <c r="D5" s="972"/>
      <c r="E5" s="972"/>
      <c r="F5" s="972"/>
      <c r="G5" s="972"/>
      <c r="H5" s="972"/>
      <c r="I5" s="972"/>
      <c r="J5" s="972"/>
      <c r="K5" s="972"/>
      <c r="L5" s="972"/>
      <c r="M5" s="972"/>
      <c r="N5" s="972"/>
      <c r="O5" s="972"/>
      <c r="P5" s="973">
        <f>'SEAP template'!Q73</f>
        <v>0</v>
      </c>
    </row>
    <row r="6" spans="1:16">
      <c r="A6" s="977" t="s">
        <v>240</v>
      </c>
      <c r="B6" s="972">
        <f>'SEAP template'!B74</f>
        <v>7833.9460561881378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81</v>
      </c>
      <c r="D8" s="972">
        <f>'SEAP template'!D76</f>
        <v>95.294117647058826</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19.249411764705883</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8380.6476397030747</v>
      </c>
      <c r="C10" s="974">
        <f>SUM(C4:C9)</f>
        <v>81</v>
      </c>
      <c r="D10" s="974">
        <f t="shared" ref="D10:H10" si="0">SUM(D8:D9)</f>
        <v>95.294117647058826</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19.249411764705883</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0.19337595692657855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115.71428571428572</v>
      </c>
      <c r="D17" s="973">
        <f>'SEAP template'!D87</f>
        <v>136.13445378151263</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27.499159663865555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115.71428571428572</v>
      </c>
      <c r="D20" s="974">
        <f t="shared" ref="D20:H20" si="2">SUM(D17:D19)</f>
        <v>136.13445378151263</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27.499159663865555</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0.19337595692657855</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2022-07-26T09:38:46Z</dcterms:modified>
</cp:coreProperties>
</file>