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EB0B1D62-E31C-42C2-9D1F-160FDBF1838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<sst xmlns="http://schemas.openxmlformats.org/spreadsheetml/2006/main" count="2410" uniqueCount="885">
  <si>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</si>
  <si>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</si>
  <si>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</si>
  <si>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</si>
  <si>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</si>
  <si>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</si>
  <si>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</si>
  <si>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</si>
  <si>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</si>
  <si>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</si>
  <si>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</si>
  <si>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</si>
  <si>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</si>
  <si>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</si>
  <si>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</si>
  <si>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</si>
  <si>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</si>
  <si>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</si>
  <si>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</si>
  <si>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</si>
  <si>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</si>
  <si>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</si>
  <si>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</si>
  <si>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</si>
  <si>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</si>
  <si>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</si>
  <si>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</si>
  <si>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</si>
  <si>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</si>
  <si>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</si>
  <si>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</si>
  <si>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</si>
  <si>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</si>
  <si>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</si>
  <si>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</si>
  <si>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</si>
  <si>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</si>
  <si>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</si>
  <si>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</si>
  <si>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</si>
  <si>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</si>
  <si>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</si>
  <si>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</si>
  <si>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</si>
  <si>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</si>
  <si>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</si>
  <si>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</si>
  <si>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</si>
  <si>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</si>
  <si>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</si>
  <si>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</si>
  <si>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</si>
  <si>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</si>
  <si>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</si>
  <si>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</si>
  <si>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</si>
  <si>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</si>
  <si>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</si>
  <si>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</si>
  <si>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</si>
  <si>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</si>
  <si>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</si>
  <si>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</si>
  <si>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</si>
  <si>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</si>
  <si>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</si>
  <si>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</si>
  <si>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</si>
  <si>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</si>
  <si>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</si>
  <si>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</si>
  <si>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</si>
  <si>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</si>
  <si>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</si>
  <si>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</si>
  <si>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</si>
  <si>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</si>
  <si>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</si>
  <si>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</si>
  <si>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</si>
  <si>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</si>
  <si>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</si>
  <si>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</si>
  <si>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</si>
  <si>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</si>
  <si>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</si>
  <si>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</si>
  <si>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</si>
  <si>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</si>
  <si>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</si>
  <si>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</si>
  <si>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</si>
  <si>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</si>
  <si>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</si>
  <si>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</si>
  <si>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</si>
  <si>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</si>
  <si>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</si>
  <si>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</si>
  <si>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</si>
  <si>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</si>
  <si>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</si>
  <si>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</si>
  <si>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</si>
  <si>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</si>
  <si>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</si>
  <si>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</si>
  <si>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</si>
  <si>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</si>
  <si>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</si>
  <si>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</si>
  <si>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</si>
  <si>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</si>
  <si>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</si>
  <si>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</si>
  <si>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</si>
  <si>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</si>
  <si>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</si>
  <si>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</si>
  <si>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</si>
  <si>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</si>
  <si>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</si>
  <si>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</si>
  <si>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</si>
  <si>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</si>
  <si>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</si>
  <si>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</si>
  <si>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</si>
  <si>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</si>
  <si>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</si>
  <si>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</si>
  <si>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</si>
  <si>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</si>
  <si>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</si>
  <si>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</si>
  <si>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</si>
  <si>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</si>
  <si>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</si>
  <si>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</si>
  <si>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</si>
  <si>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</si>
  <si>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</si>
  <si>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</si>
  <si>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</si>
  <si>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</si>
  <si>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</si>
  <si>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</si>
  <si>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</si>
  <si>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</si>
  <si>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</si>
  <si>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</si>
  <si>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</si>
  <si>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</si>
  <si>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</si>
  <si>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</si>
  <si>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</si>
  <si>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</si>
  <si>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</si>
  <si>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</si>
  <si>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</si>
  <si>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</si>
  <si>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</si>
  <si>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</si>
  <si>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</si>
  <si>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</si>
  <si>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</si>
  <si>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</si>
  <si>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</si>
  <si>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</si>
  <si>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</si>
  <si>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</si>
  <si>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</si>
  <si>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</si>
  <si>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</si>
  <si>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</si>
  <si>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</si>
  <si>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</si>
  <si>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</si>
  <si>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</si>
  <si>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</si>
  <si>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</si>
  <si>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</si>
  <si>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</si>
  <si>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</si>
  <si>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</si>
  <si>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</si>
  <si>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</si>
  <si>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</si>
  <si>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</si>
  <si>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</si>
  <si>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</si>
  <si>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</si>
  <si>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</si>
  <si>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</si>
  <si>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</si>
  <si>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</si>
  <si>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</si>
  <si>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</si>
  <si>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</si>
  <si>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</si>
  <si>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</si>
  <si>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</si>
  <si>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</si>
  <si>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</si>
  <si>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</si>
  <si>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</si>
  <si>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</si>
  <si>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</si>
  <si>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</si>
  <si>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</si>
  <si>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</si>
  <si>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</si>
  <si>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</si>
  <si>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</si>
  <si>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</si>
  <si>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</si>
  <si>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</si>
  <si>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</si>
  <si>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</si>
  <si>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</si>
  <si>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</si>
  <si>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</si>
  <si>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</si>
  <si>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</si>
  <si>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</si>
  <si>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</si>
  <si>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</si>
  <si>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</si>
  <si>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</si>
  <si>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</si>
  <si>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</si>
  <si>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</si>
  <si>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</si>
  <si>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</si>
  <si>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</si>
  <si>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</si>
  <si>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</si>
  <si>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</si>
  <si>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</si>
  <si>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</si>
  <si>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</si>
  <si>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</si>
  <si>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</si>
  <si>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</si>
  <si>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</si>
  <si>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</si>
  <si>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</si>
  <si>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</si>
  <si>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</si>
  <si>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</si>
  <si>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</si>
  <si>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</si>
  <si>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</si>
  <si>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</si>
  <si>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</si>
  <si>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</si>
  <si>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</si>
  <si>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</si>
  <si>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</si>
  <si>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</si>
  <si>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</si>
  <si>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</si>
  <si>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</si>
  <si>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</si>
  <si>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</si>
  <si>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</si>
  <si>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</si>
  <si>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</si>
  <si>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</si>
  <si>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</si>
  <si>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</si>
  <si>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</si>
  <si>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</si>
  <si>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</si>
  <si>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</si>
  <si>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</si>
  <si>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</si>
  <si>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</si>
  <si>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</si>
  <si>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</si>
  <si>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</si>
  <si>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</si>
  <si>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</si>
  <si>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</si>
  <si>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</si>
  <si>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</si>
  <si>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</si>
  <si>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</si>
  <si>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</si>
  <si>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</si>
  <si>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</si>
  <si>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</si>
  <si>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</si>
  <si>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</si>
  <si>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</si>
  <si>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</si>
  <si>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</si>
  <si>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</si>
  <si>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</si>
  <si>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</si>
  <si>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</si>
  <si>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</si>
  <si>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</si>
  <si>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</si>
  <si>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</si>
  <si>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</si>
  <si>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</si>
  <si>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</si>
  <si>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</si>
  <si>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</si>
  <si>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</si>
  <si>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</si>
  <si>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</si>
  <si>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</si>
  <si>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</si>
  <si>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</si>
  <si>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</si>
  <si>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</si>
  <si>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</si>
  <si>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</si>
  <si>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</si>
  <si>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</si>
  <si>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</si>
  <si>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</si>
  <si>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</si>
  <si>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</si>
  <si>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</si>
  <si>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</si>
  <si>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</si>
  <si>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</si>
  <si>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</si>
  <si>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</si>
  <si>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</si>
  <si>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</si>
  <si>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</si>
  <si>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</si>
  <si>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</si>
  <si>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</si>
  <si>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</si>
  <si>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</si>
  <si>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</si>
  <si>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</si>
  <si>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</si>
  <si>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</si>
  <si>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</si>
  <si>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</si>
  <si>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</si>
  <si>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</si>
  <si>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</si>
  <si>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</si>
  <si>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</si>
  <si>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</si>
  <si>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</si>
  <si>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</si>
  <si>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</si>
  <si>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</si>
  <si>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</si>
  <si>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</si>
  <si>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</si>
  <si>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</si>
  <si>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</si>
  <si>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</si>
  <si>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</si>
  <si>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</si>
  <si>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</si>
  <si>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</si>
  <si>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</si>
  <si>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</si>
  <si>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</si>
  <si>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</si>
  <si>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</si>
  <si>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</si>
  <si>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</si>
  <si>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</si>
  <si>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</si>
  <si>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</si>
  <si>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</si>
  <si>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</si>
  <si>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</si>
  <si>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</si>
  <si>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</si>
  <si>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</si>
  <si>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</si>
  <si>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</si>
  <si>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</si>
  <si>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</si>
  <si>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</si>
  <si>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</si>
  <si>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</si>
  <si>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</si>
  <si>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</si>
  <si>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</si>
  <si>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</si>
  <si>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</si>
  <si>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</si>
  <si>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</si>
  <si>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</si>
  <si>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</si>
  <si>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</si>
  <si>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</si>
  <si>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</si>
  <si>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</si>
  <si>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</si>
  <si>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</si>
  <si>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</si>
  <si>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</si>
  <si>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</si>
  <si>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</si>
  <si>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</si>
  <si>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</si>
  <si>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</si>
  <si>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</si>
  <si>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</si>
  <si>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</si>
  <si>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</si>
  <si>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</si>
  <si>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</si>
  <si>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</si>
  <si>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</si>
  <si>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</si>
  <si>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</si>
  <si>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</si>
  <si>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</si>
  <si>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</si>
  <si>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</si>
  <si>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</si>
  <si>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</si>
  <si>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</si>
  <si>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</si>
  <si>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</si>
  <si>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</si>
  <si>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</si>
  <si>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</si>
  <si>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</si>
  <si>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</si>
  <si>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</si>
  <si>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</si>
  <si>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</si>
  <si>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</si>
  <si>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</si>
  <si>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</si>
  <si>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</si>
  <si>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</si>
  <si>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</si>
  <si>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</si>
  <si>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</si>
  <si>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</si>
  <si>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</si>
  <si>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</si>
  <si>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</si>
  <si>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</si>
  <si>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</si>
  <si>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</si>
  <si>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</si>
  <si>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</si>
  <si>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</si>
  <si>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</si>
  <si>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</si>
  <si>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</si>
  <si>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</si>
  <si>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</si>
  <si>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</si>
  <si>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</si>
  <si>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</si>
  <si>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</si>
  <si>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</si>
  <si>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</si>
  <si>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</si>
  <si>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</si>
  <si>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</si>
  <si>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</si>
  <si>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</si>
  <si>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</si>
  <si>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</si>
  <si>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</si>
  <si>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</si>
  <si>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</si>
  <si>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</si>
  <si>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</si>
  <si>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</si>
  <si>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</si>
  <si>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</si>
  <si>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</si>
  <si>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</si>
  <si>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</si>
  <si>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</si>
  <si>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</si>
  <si>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</si>
  <si>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</si>
  <si>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</si>
  <si>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</si>
  <si>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</si>
  <si>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</si>
  <si>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</si>
  <si>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</si>
  <si>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</si>
  <si>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</si>
  <si>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</si>
  <si>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</si>
  <si>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</si>
  <si>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</si>
  <si>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</si>
  <si>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</si>
  <si>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</si>
  <si>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</si>
  <si>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</si>
  <si>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</si>
  <si>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</si>
  <si>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</si>
  <si>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</si>
  <si>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</si>
  <si>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</si>
  <si>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</si>
  <si>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</si>
  <si>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</si>
  <si>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</si>
  <si>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</si>
  <si>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</si>
  <si>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</si>
  <si>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</si>
  <si>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</si>
  <si>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</si>
  <si>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</si>
  <si>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</si>
  <si>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</si>
  <si>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</si>
  <si>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</si>
  <si>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</si>
  <si>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</si>
  <si>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</si>
  <si>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</si>
  <si>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</si>
  <si>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</si>
  <si>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</si>
  <si>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</si>
  <si>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</si>
  <si>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</si>
  <si>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</si>
  <si>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</si>
  <si>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</si>
  <si>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</si>
  <si>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</si>
  <si>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</si>
  <si>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</si>
  <si>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</si>
  <si>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</si>
  <si>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</si>
  <si>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</si>
  <si>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</si>
  <si>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</si>
  <si>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</si>
  <si>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</si>
  <si>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</si>
  <si>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</si>
  <si>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</si>
  <si>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</si>
  <si>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</si>
  <si>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</si>
  <si>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</si>
  <si>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</si>
  <si>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</si>
  <si>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</si>
  <si>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</si>
  <si>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</si>
  <si>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</si>
  <si>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</si>
  <si>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</si>
  <si>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</si>
  <si>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</si>
  <si>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</si>
  <si>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</si>
  <si>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</si>
  <si>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</si>
  <si>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</si>
  <si>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</si>
  <si>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</si>
  <si>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</si>
  <si>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</si>
  <si>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</si>
  <si>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</si>
  <si>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</si>
  <si>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</si>
  <si>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</si>
  <si>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</si>
  <si>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</si>
  <si>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</si>
  <si>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</si>
  <si>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</si>
  <si>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</si>
  <si>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</si>
  <si>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</si>
  <si>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</si>
  <si>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</si>
  <si>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</si>
  <si>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</si>
  <si>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</si>
  <si>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</si>
  <si>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</si>
  <si>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</si>
  <si>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</si>
  <si>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</si>
  <si>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</si>
  <si>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</si>
  <si>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</si>
  <si>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</si>
  <si>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</si>
  <si>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</si>
  <si>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</si>
  <si>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</si>
  <si>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</si>
  <si>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</si>
  <si>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</si>
  <si>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</si>
  <si>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</si>
  <si>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</si>
  <si>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</si>
  <si>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</si>
  <si>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</si>
  <si>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</si>
  <si>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</si>
  <si>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</si>
  <si>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</si>
  <si>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</si>
  <si>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</si>
  <si>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</si>
  <si>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</si>
  <si>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</si>
  <si>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</si>
  <si>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</si>
  <si>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</si>
  <si>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</si>
  <si>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</si>
  <si>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</si>
  <si>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</si>
  <si>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</si>
  <si>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</si>
  <si>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</si>
  <si>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</si>
  <si>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</si>
  <si>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</si>
  <si>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</si>
  <si>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</si>
  <si>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</si>
  <si>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</si>
  <si>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</si>
  <si>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</si>
  <si>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</si>
  <si>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</si>
  <si>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</si>
  <si>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</si>
  <si>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</si>
  <si>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</si>
  <si>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</si>
  <si>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</si>
  <si>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</si>
  <si>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</si>
  <si>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</si>
  <si>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</si>
  <si>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</si>
  <si>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</si>
  <si>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</si>
  <si>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</si>
  <si>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</si>
  <si>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</si>
  <si>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</si>
  <si>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</si>
  <si>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</si>
  <si>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</si>
  <si>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</si>
  <si>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</si>
  <si>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</si>
  <si>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</si>
  <si>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</si>
  <si>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</si>
  <si>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</si>
  <si>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</si>
  <si>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</si>
  <si>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</si>
  <si>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</si>
  <si>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</si>
  <si>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</si>
  <si>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</si>
  <si>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</si>
  <si>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</si>
  <si>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</si>
  <si>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</si>
  <si>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</si>
  <si>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</si>
  <si>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</si>
  <si>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</si>
  <si>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</si>
  <si>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</si>
  <si>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</si>
  <si>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</si>
  <si>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</si>
  <si>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</si>
  <si>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</si>
  <si>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</si>
  <si>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</si>
  <si>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</si>
  <si>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</si>
  <si>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</si>
  <si>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</si>
  <si>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</si>
  <si>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</si>
  <si>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</si>
  <si>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</si>
  <si>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</si>
  <si>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</si>
  <si>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</si>
  <si>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</si>
  <si>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</si>
  <si>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</si>
  <si>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</si>
  <si>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</si>
  <si>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</si>
  <si>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</si>
  <si>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</si>
  <si>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</si>
  <si>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</si>
  <si>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</si>
  <si>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</si>
  <si>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</si>
  <si>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</si>
  <si>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</si>
  <si>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</si>
  <si>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</si>
  <si>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</si>
  <si>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</si>
  <si>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</si>
  <si>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</si>
  <si>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</si>
  <si>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</si>
  <si>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</si>
  <si>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</si>
  <si>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</si>
  <si>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</si>
  <si>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</si>
  <si>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</si>
  <si>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</si>
  <si>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</si>
  <si>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</si>
  <si>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</si>
  <si>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</si>
  <si>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</si>
  <si>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</si>
  <si>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</si>
  <si>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</si>
  <si>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</si>
  <si>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</si>
  <si>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</si>
  <si>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</si>
  <si>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</si>
  <si>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</si>
  <si>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</si>
  <si>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</si>
  <si>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</si>
  <si>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</si>
  <si>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</si>
  <si>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</si>
  <si>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</si>
  <si>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</si>
  <si>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</si>
  <si>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</si>
  <si>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</si>
  <si>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</si>
  <si>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</si>
  <si>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</si>
  <si>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</si>
  <si>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</si>
  <si>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</si>
  <si>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</si>
  <si>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</si>
  <si>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</si>
  <si>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</si>
  <si>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</si>
  <si>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</si>
  <si>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</si>
  <si>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</si>
  <si>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</si>
  <si>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</si>
  <si>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</si>
  <si>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</si>
  <si>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</si>
  <si>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</si>
  <si>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</si>
  <si>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</si>
  <si>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</si>
  <si>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</si>
  <si>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</si>
  <si>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</si>
  <si>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</si>
  <si>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</si>
  <si>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</si>
  <si>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</si>
  <si>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</si>
  <si>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</si>
  <si>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</si>
  <si>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</si>
  <si>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</si>
  <si>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</si>
  <si>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</si>
  <si>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</si>
  <si>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</si>
  <si>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</si>
  <si>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</si>
  <si>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</si>
  <si>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</si>
  <si>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</si>
  <si>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</si>
  <si>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</si>
  <si>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</si>
  <si>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</si>
  <si>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</si>
  <si>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</si>
  <si>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</si>
  <si>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</si>
  <si>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</si>
  <si>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</si>
  <si>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</si>
  <si>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</si>
  <si>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</si>
  <si>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</si>
  <si>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</si>
  <si>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</si>
  <si>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</si>
  <si>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</si>
  <si>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</si>
  <si>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</si>
  <si>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</si>
  <si>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</si>
  <si>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</si>
  <si>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</si>
  <si>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</si>
  <si>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</si>
  <si>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</si>
  <si>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</si>
  <si>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</si>
  <si>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</si>
  <si>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</si>
  <si>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</si>
  <si>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</si>
  <si>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</si>
  <si>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</si>
  <si>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</si>
  <si>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</si>
  <si>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</si>
  <si>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</si>
  <si>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</si>
  <si>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</si>
  <si>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</si>
  <si>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</si>
  <si>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</si>
  <si>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</si>
  <si>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</si>
  <si>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</si>
  <si>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</si>
  <si>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</si>
  <si>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</si>
  <si>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</si>
  <si>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</si>
  <si>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</si>
  <si>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</si>
  <si>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</si>
  <si>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</si>
  <si>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</si>
  <si>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</si>
  <si>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</si>
  <si>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</si>
  <si>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</si>
  <si>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</si>
  <si>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</si>
  <si>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</si>
  <si>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</si>
  <si>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</si>
  <si>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</si>
  <si>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</si>
  <si>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</si>
  <si>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</si>
  <si>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</si>
  <si>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71066</t>
  </si>
  <si>
    <t>ZONHOVEN</t>
  </si>
  <si>
    <t>vloeibaar gas (MWh)</t>
  </si>
  <si>
    <t>brandstofcel</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</si>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</sst>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AEBAEB9F-001D-4022-BDF8-90D3B685197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174510.69701996274</c:v>
                </c:pt>
                <c:pt idx="1">
                  <c:v>46719.465817258453</c:v>
                </c:pt>
                <c:pt idx="2">
                  <c:v>1473.6389999999999</c:v>
                </c:pt>
                <c:pt idx="3">
                  <c:v>988.71668617105558</c:v>
                </c:pt>
                <c:pt idx="4">
                  <c:v>171114.36962383188</c:v>
                </c:pt>
                <c:pt idx="5">
                  <c:v>280652.02057212772</c:v>
                </c:pt>
                <c:pt idx="6">
                  <c:v>2380.3710014035059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174510.69701996274</c:v>
                </c:pt>
                <c:pt idx="1">
                  <c:v>46719.465817258453</c:v>
                </c:pt>
                <c:pt idx="2">
                  <c:v>1473.6389999999999</c:v>
                </c:pt>
                <c:pt idx="3">
                  <c:v>988.71668617105558</c:v>
                </c:pt>
                <c:pt idx="4">
                  <c:v>171114.36962383188</c:v>
                </c:pt>
                <c:pt idx="5">
                  <c:v>280652.02057212772</c:v>
                </c:pt>
                <c:pt idx="6">
                  <c:v>2380.3710014035059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36161.589382781465</c:v>
                </c:pt>
                <c:pt idx="1">
                  <c:v>9414.3343260625843</c:v>
                </c:pt>
                <c:pt idx="2">
                  <c:v>293.66847812166259</c:v>
                </c:pt>
                <c:pt idx="3">
                  <c:v>250.30877843652092</c:v>
                </c:pt>
                <c:pt idx="4">
                  <c:v>34335.793760999892</c:v>
                </c:pt>
                <c:pt idx="5">
                  <c:v>69928.015259558641</c:v>
                </c:pt>
                <c:pt idx="6">
                  <c:v>599.89460383339861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36161.589382781465</c:v>
                </c:pt>
                <c:pt idx="1">
                  <c:v>9414.3343260625843</c:v>
                </c:pt>
                <c:pt idx="2">
                  <c:v>293.66847812166259</c:v>
                </c:pt>
                <c:pt idx="3">
                  <c:v>250.30877843652092</c:v>
                </c:pt>
                <c:pt idx="4">
                  <c:v>34335.793760999892</c:v>
                </c:pt>
                <c:pt idx="5">
                  <c:v>69928.015259558641</c:v>
                </c:pt>
                <c:pt idx="6">
                  <c:v>599.89460383339861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71066</v>
      </c>
      <c r="B6" s="382"/>
      <c r="C6" s="383"/>
    </row>
    <row r="7" spans="1:7" s="380" customFormat="1" ht="15.75" customHeight="1">
      <c r="A7" s="384" t="str">
        <f>txtMunicipality</f>
        <v>ZONHOVEN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0.19928115238648178</v>
      </c>
      <c r="C17" s="492">
        <f ca="1">'EF ele_warmte'!B22</f>
        <v>0.22444444444444442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0.19928115238648178</v>
      </c>
      <c r="C29" s="493">
        <f ca="1">'EF ele_warmte'!B22</f>
        <v>0.22444444444444442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8680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937.74</v>
      </c>
      <c r="C14" s="324"/>
      <c r="D14" s="324"/>
      <c r="E14" s="324"/>
      <c r="F14" s="324"/>
    </row>
    <row r="15" spans="1:6">
      <c r="A15" s="1257" t="s">
        <v>177</v>
      </c>
      <c r="B15" s="1258">
        <v>1</v>
      </c>
      <c r="C15" s="324"/>
      <c r="D15" s="324"/>
      <c r="E15" s="324"/>
      <c r="F15" s="324"/>
    </row>
    <row r="16" spans="1:6">
      <c r="A16" s="1257" t="s">
        <v>6</v>
      </c>
      <c r="B16" s="1258">
        <v>0</v>
      </c>
      <c r="C16" s="324"/>
      <c r="D16" s="324"/>
      <c r="E16" s="324"/>
      <c r="F16" s="324"/>
    </row>
    <row r="17" spans="1:6">
      <c r="A17" s="1257" t="s">
        <v>7</v>
      </c>
      <c r="B17" s="1258">
        <v>210</v>
      </c>
      <c r="C17" s="324"/>
      <c r="D17" s="324"/>
      <c r="E17" s="324"/>
      <c r="F17" s="324"/>
    </row>
    <row r="18" spans="1:6">
      <c r="A18" s="1257" t="s">
        <v>8</v>
      </c>
      <c r="B18" s="1258">
        <v>203</v>
      </c>
      <c r="C18" s="324"/>
      <c r="D18" s="324"/>
      <c r="E18" s="324"/>
      <c r="F18" s="324"/>
    </row>
    <row r="19" spans="1:6">
      <c r="A19" s="1257" t="s">
        <v>9</v>
      </c>
      <c r="B19" s="1258">
        <v>175</v>
      </c>
      <c r="C19" s="324"/>
      <c r="D19" s="324"/>
      <c r="E19" s="324"/>
      <c r="F19" s="324"/>
    </row>
    <row r="20" spans="1:6">
      <c r="A20" s="1257" t="s">
        <v>10</v>
      </c>
      <c r="B20" s="1258">
        <v>192</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160</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45</v>
      </c>
      <c r="C29" s="324"/>
      <c r="D29" s="324"/>
      <c r="E29" s="324"/>
      <c r="F29" s="324"/>
    </row>
    <row r="30" spans="1:6">
      <c r="A30" s="1252" t="s">
        <v>665</v>
      </c>
      <c r="B30" s="1260">
        <v>7</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5</v>
      </c>
      <c r="F36" s="1258">
        <v>37680</v>
      </c>
    </row>
    <row r="37" spans="1:6">
      <c r="A37" s="1257" t="s">
        <v>24</v>
      </c>
      <c r="B37" s="1257" t="s">
        <v>27</v>
      </c>
      <c r="C37" s="1258">
        <v>0</v>
      </c>
      <c r="D37" s="1258">
        <v>0</v>
      </c>
      <c r="E37" s="1258">
        <v>0</v>
      </c>
      <c r="F37" s="1258">
        <v>0</v>
      </c>
    </row>
    <row r="38" spans="1:6">
      <c r="A38" s="1257" t="s">
        <v>24</v>
      </c>
      <c r="B38" s="1257" t="s">
        <v>28</v>
      </c>
      <c r="C38" s="1258">
        <v>0</v>
      </c>
      <c r="D38" s="1258">
        <v>0</v>
      </c>
      <c r="E38" s="1258">
        <v>2</v>
      </c>
      <c r="F38" s="1258">
        <v>13219</v>
      </c>
    </row>
    <row r="39" spans="1:6">
      <c r="A39" s="1257" t="s">
        <v>29</v>
      </c>
      <c r="B39" s="1257" t="s">
        <v>30</v>
      </c>
      <c r="C39" s="1258">
        <v>4303</v>
      </c>
      <c r="D39" s="1258">
        <v>66559455.349999897</v>
      </c>
      <c r="E39" s="1258">
        <v>8278</v>
      </c>
      <c r="F39" s="1258">
        <v>28689926.149999999</v>
      </c>
    </row>
    <row r="40" spans="1:6">
      <c r="A40" s="1257" t="s">
        <v>29</v>
      </c>
      <c r="B40" s="1257" t="s">
        <v>28</v>
      </c>
      <c r="C40" s="1258">
        <v>1</v>
      </c>
      <c r="D40" s="1258">
        <v>69752</v>
      </c>
      <c r="E40" s="1258">
        <v>1</v>
      </c>
      <c r="F40" s="1258">
        <v>3849</v>
      </c>
    </row>
    <row r="41" spans="1:6">
      <c r="A41" s="1257" t="s">
        <v>31</v>
      </c>
      <c r="B41" s="1257" t="s">
        <v>32</v>
      </c>
      <c r="C41" s="1258">
        <v>78</v>
      </c>
      <c r="D41" s="1258">
        <v>2148697</v>
      </c>
      <c r="E41" s="1258">
        <v>167</v>
      </c>
      <c r="F41" s="1258">
        <v>1301492.9639999999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12</v>
      </c>
      <c r="D44" s="1258">
        <v>11679737.75</v>
      </c>
      <c r="E44" s="1258">
        <v>32</v>
      </c>
      <c r="F44" s="1258">
        <v>14939183</v>
      </c>
    </row>
    <row r="45" spans="1:6">
      <c r="A45" s="1257" t="s">
        <v>31</v>
      </c>
      <c r="B45" s="1257" t="s">
        <v>36</v>
      </c>
      <c r="C45" s="1258">
        <v>6</v>
      </c>
      <c r="D45" s="1258">
        <v>114904</v>
      </c>
      <c r="E45" s="1258">
        <v>8</v>
      </c>
      <c r="F45" s="1258">
        <v>86810</v>
      </c>
    </row>
    <row r="46" spans="1:6">
      <c r="A46" s="1257" t="s">
        <v>31</v>
      </c>
      <c r="B46" s="1257" t="s">
        <v>37</v>
      </c>
      <c r="C46" s="1258">
        <v>0</v>
      </c>
      <c r="D46" s="1258">
        <v>0</v>
      </c>
      <c r="E46" s="1258">
        <v>0</v>
      </c>
      <c r="F46" s="1258">
        <v>0</v>
      </c>
    </row>
    <row r="47" spans="1:6">
      <c r="A47" s="1257" t="s">
        <v>31</v>
      </c>
      <c r="B47" s="1257" t="s">
        <v>38</v>
      </c>
      <c r="C47" s="1258">
        <v>3</v>
      </c>
      <c r="D47" s="1258">
        <v>103273</v>
      </c>
      <c r="E47" s="1258">
        <v>3</v>
      </c>
      <c r="F47" s="1258">
        <v>26744</v>
      </c>
    </row>
    <row r="48" spans="1:6">
      <c r="A48" s="1257" t="s">
        <v>31</v>
      </c>
      <c r="B48" s="1257" t="s">
        <v>28</v>
      </c>
      <c r="C48" s="1258">
        <v>4</v>
      </c>
      <c r="D48" s="1258">
        <v>232662</v>
      </c>
      <c r="E48" s="1258">
        <v>2</v>
      </c>
      <c r="F48" s="1258">
        <v>47747</v>
      </c>
    </row>
    <row r="49" spans="1:6">
      <c r="A49" s="1257" t="s">
        <v>31</v>
      </c>
      <c r="B49" s="1257" t="s">
        <v>39</v>
      </c>
      <c r="C49" s="1258">
        <v>0</v>
      </c>
      <c r="D49" s="1258">
        <v>0</v>
      </c>
      <c r="E49" s="1258">
        <v>8</v>
      </c>
      <c r="F49" s="1258">
        <v>62619</v>
      </c>
    </row>
    <row r="50" spans="1:6">
      <c r="A50" s="1257" t="s">
        <v>31</v>
      </c>
      <c r="B50" s="1257" t="s">
        <v>40</v>
      </c>
      <c r="C50" s="1258">
        <v>9</v>
      </c>
      <c r="D50" s="1258">
        <v>123227879</v>
      </c>
      <c r="E50" s="1258">
        <v>20</v>
      </c>
      <c r="F50" s="1258">
        <v>25398010</v>
      </c>
    </row>
    <row r="51" spans="1:6">
      <c r="A51" s="1257" t="s">
        <v>41</v>
      </c>
      <c r="B51" s="1257" t="s">
        <v>42</v>
      </c>
      <c r="C51" s="1258">
        <v>4</v>
      </c>
      <c r="D51" s="1258">
        <v>91436</v>
      </c>
      <c r="E51" s="1258">
        <v>17</v>
      </c>
      <c r="F51" s="1258">
        <v>186389</v>
      </c>
    </row>
    <row r="52" spans="1:6">
      <c r="A52" s="1257" t="s">
        <v>41</v>
      </c>
      <c r="B52" s="1257" t="s">
        <v>28</v>
      </c>
      <c r="C52" s="1258">
        <v>0</v>
      </c>
      <c r="D52" s="1258">
        <v>0</v>
      </c>
      <c r="E52" s="1258">
        <v>0</v>
      </c>
      <c r="F52" s="1258">
        <v>0</v>
      </c>
    </row>
    <row r="53" spans="1:6">
      <c r="A53" s="1257" t="s">
        <v>43</v>
      </c>
      <c r="B53" s="1257" t="s">
        <v>44</v>
      </c>
      <c r="C53" s="1258">
        <v>60</v>
      </c>
      <c r="D53" s="1258">
        <v>1249093.8</v>
      </c>
      <c r="E53" s="1258">
        <v>144</v>
      </c>
      <c r="F53" s="1258">
        <v>771796.45</v>
      </c>
    </row>
    <row r="54" spans="1:6">
      <c r="A54" s="1257" t="s">
        <v>45</v>
      </c>
      <c r="B54" s="1257" t="s">
        <v>46</v>
      </c>
      <c r="C54" s="1258">
        <v>0</v>
      </c>
      <c r="D54" s="1258">
        <v>0</v>
      </c>
      <c r="E54" s="1258">
        <v>3</v>
      </c>
      <c r="F54" s="1258">
        <v>1473639</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68</v>
      </c>
      <c r="D57" s="1258">
        <v>2018218</v>
      </c>
      <c r="E57" s="1258">
        <v>116</v>
      </c>
      <c r="F57" s="1258">
        <v>1708594</v>
      </c>
    </row>
    <row r="58" spans="1:6">
      <c r="A58" s="1257" t="s">
        <v>48</v>
      </c>
      <c r="B58" s="1257" t="s">
        <v>50</v>
      </c>
      <c r="C58" s="1258">
        <v>44</v>
      </c>
      <c r="D58" s="1258">
        <v>4223825.0410000002</v>
      </c>
      <c r="E58" s="1258">
        <v>70</v>
      </c>
      <c r="F58" s="1258">
        <v>2057469.86</v>
      </c>
    </row>
    <row r="59" spans="1:6">
      <c r="A59" s="1257" t="s">
        <v>48</v>
      </c>
      <c r="B59" s="1257" t="s">
        <v>51</v>
      </c>
      <c r="C59" s="1258">
        <v>125</v>
      </c>
      <c r="D59" s="1258">
        <v>8204492.4239999996</v>
      </c>
      <c r="E59" s="1258">
        <v>266</v>
      </c>
      <c r="F59" s="1258">
        <v>10059861.532</v>
      </c>
    </row>
    <row r="60" spans="1:6">
      <c r="A60" s="1257" t="s">
        <v>48</v>
      </c>
      <c r="B60" s="1257" t="s">
        <v>52</v>
      </c>
      <c r="C60" s="1258">
        <v>60</v>
      </c>
      <c r="D60" s="1258">
        <v>3796314.4</v>
      </c>
      <c r="E60" s="1258">
        <v>126</v>
      </c>
      <c r="F60" s="1258">
        <v>2761462.2880000002</v>
      </c>
    </row>
    <row r="61" spans="1:6">
      <c r="A61" s="1257" t="s">
        <v>48</v>
      </c>
      <c r="B61" s="1257" t="s">
        <v>53</v>
      </c>
      <c r="C61" s="1258">
        <v>179</v>
      </c>
      <c r="D61" s="1258">
        <v>3956798.8</v>
      </c>
      <c r="E61" s="1258">
        <v>387</v>
      </c>
      <c r="F61" s="1258">
        <v>3397108.69</v>
      </c>
    </row>
    <row r="62" spans="1:6">
      <c r="A62" s="1257" t="s">
        <v>48</v>
      </c>
      <c r="B62" s="1257" t="s">
        <v>54</v>
      </c>
      <c r="C62" s="1258">
        <v>14</v>
      </c>
      <c r="D62" s="1258">
        <v>2538040.7930000001</v>
      </c>
      <c r="E62" s="1258">
        <v>22</v>
      </c>
      <c r="F62" s="1258">
        <v>462798.58799999999</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0</v>
      </c>
      <c r="D65" s="1258">
        <v>0</v>
      </c>
      <c r="E65" s="1258">
        <v>0</v>
      </c>
      <c r="F65" s="1258">
        <v>0</v>
      </c>
    </row>
    <row r="66" spans="1:6">
      <c r="A66" s="1257" t="s">
        <v>55</v>
      </c>
      <c r="B66" s="1257" t="s">
        <v>57</v>
      </c>
      <c r="C66" s="1258">
        <v>0</v>
      </c>
      <c r="D66" s="1258">
        <v>0</v>
      </c>
      <c r="E66" s="1258">
        <v>14</v>
      </c>
      <c r="F66" s="1258">
        <v>245231.40100000001</v>
      </c>
    </row>
    <row r="67" spans="1:6">
      <c r="A67" s="1257" t="s">
        <v>55</v>
      </c>
      <c r="B67" s="1257" t="s">
        <v>58</v>
      </c>
      <c r="C67" s="1258">
        <v>0</v>
      </c>
      <c r="D67" s="1258">
        <v>0</v>
      </c>
      <c r="E67" s="1258">
        <v>0</v>
      </c>
      <c r="F67" s="1258">
        <v>0</v>
      </c>
    </row>
    <row r="68" spans="1:6">
      <c r="A68" s="1252" t="s">
        <v>55</v>
      </c>
      <c r="B68" s="1252" t="s">
        <v>59</v>
      </c>
      <c r="C68" s="1260">
        <v>7</v>
      </c>
      <c r="D68" s="1260">
        <v>236210</v>
      </c>
      <c r="E68" s="1260">
        <v>11</v>
      </c>
      <c r="F68" s="1260">
        <v>84495</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57382422</v>
      </c>
      <c r="E73" s="442"/>
      <c r="F73" s="324"/>
    </row>
    <row r="74" spans="1:6">
      <c r="A74" s="1257" t="s">
        <v>63</v>
      </c>
      <c r="B74" s="1257" t="s">
        <v>608</v>
      </c>
      <c r="C74" s="1270" t="s">
        <v>610</v>
      </c>
      <c r="D74" s="1258">
        <v>6169967</v>
      </c>
      <c r="E74" s="442"/>
      <c r="F74" s="324"/>
    </row>
    <row r="75" spans="1:6">
      <c r="A75" s="1257" t="s">
        <v>64</v>
      </c>
      <c r="B75" s="1257" t="s">
        <v>607</v>
      </c>
      <c r="C75" s="1270" t="s">
        <v>611</v>
      </c>
      <c r="D75" s="1258">
        <v>32294470</v>
      </c>
      <c r="E75" s="442"/>
      <c r="F75" s="324"/>
    </row>
    <row r="76" spans="1:6">
      <c r="A76" s="1257" t="s">
        <v>64</v>
      </c>
      <c r="B76" s="1257" t="s">
        <v>608</v>
      </c>
      <c r="C76" s="1270" t="s">
        <v>612</v>
      </c>
      <c r="D76" s="1258">
        <v>1353602</v>
      </c>
      <c r="E76" s="442"/>
      <c r="F76" s="324"/>
    </row>
    <row r="77" spans="1:6">
      <c r="A77" s="1257" t="s">
        <v>65</v>
      </c>
      <c r="B77" s="1257" t="s">
        <v>607</v>
      </c>
      <c r="C77" s="1270" t="s">
        <v>613</v>
      </c>
      <c r="D77" s="1258">
        <v>174050567</v>
      </c>
      <c r="E77" s="442"/>
      <c r="F77" s="324"/>
    </row>
    <row r="78" spans="1:6">
      <c r="A78" s="1252" t="s">
        <v>65</v>
      </c>
      <c r="B78" s="1252" t="s">
        <v>608</v>
      </c>
      <c r="C78" s="1252" t="s">
        <v>614</v>
      </c>
      <c r="D78" s="1260">
        <v>29226670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652270</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7677.5196303903685</v>
      </c>
      <c r="C91" s="324"/>
      <c r="D91" s="324"/>
      <c r="E91" s="324"/>
      <c r="F91" s="324"/>
    </row>
    <row r="92" spans="1:6">
      <c r="A92" s="1252" t="s">
        <v>68</v>
      </c>
      <c r="B92" s="1253">
        <v>2291.6325877207087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1089</v>
      </c>
      <c r="C97" s="324"/>
      <c r="D97" s="324"/>
      <c r="E97" s="324"/>
      <c r="F97" s="324"/>
    </row>
    <row r="98" spans="1:6">
      <c r="A98" s="1257" t="s">
        <v>71</v>
      </c>
      <c r="B98" s="1258">
        <v>2</v>
      </c>
      <c r="C98" s="324"/>
      <c r="D98" s="324"/>
      <c r="E98" s="324"/>
      <c r="F98" s="324"/>
    </row>
    <row r="99" spans="1:6">
      <c r="A99" s="1257" t="s">
        <v>72</v>
      </c>
      <c r="B99" s="1258">
        <v>66</v>
      </c>
      <c r="C99" s="324"/>
      <c r="D99" s="324"/>
      <c r="E99" s="324"/>
      <c r="F99" s="324"/>
    </row>
    <row r="100" spans="1:6">
      <c r="A100" s="1257" t="s">
        <v>73</v>
      </c>
      <c r="B100" s="1258">
        <v>340</v>
      </c>
      <c r="C100" s="324"/>
      <c r="D100" s="324"/>
      <c r="E100" s="324"/>
      <c r="F100" s="324"/>
    </row>
    <row r="101" spans="1:6">
      <c r="A101" s="1257" t="s">
        <v>74</v>
      </c>
      <c r="B101" s="1258">
        <v>51</v>
      </c>
      <c r="C101" s="324"/>
      <c r="D101" s="324"/>
      <c r="E101" s="324"/>
      <c r="F101" s="324"/>
    </row>
    <row r="102" spans="1:6">
      <c r="A102" s="1257" t="s">
        <v>75</v>
      </c>
      <c r="B102" s="1258">
        <v>60</v>
      </c>
      <c r="C102" s="324"/>
      <c r="D102" s="324"/>
      <c r="E102" s="324"/>
      <c r="F102" s="324"/>
    </row>
    <row r="103" spans="1:6">
      <c r="A103" s="1257" t="s">
        <v>76</v>
      </c>
      <c r="B103" s="1258">
        <v>141</v>
      </c>
      <c r="C103" s="324"/>
      <c r="D103" s="324"/>
      <c r="E103" s="324"/>
      <c r="F103" s="324"/>
    </row>
    <row r="104" spans="1:6">
      <c r="A104" s="1257" t="s">
        <v>77</v>
      </c>
      <c r="B104" s="1258">
        <v>5249</v>
      </c>
      <c r="C104" s="324"/>
      <c r="D104" s="324"/>
      <c r="E104" s="324"/>
      <c r="F104" s="324"/>
    </row>
    <row r="105" spans="1:6">
      <c r="A105" s="1252" t="s">
        <v>78</v>
      </c>
      <c r="B105" s="1260">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84</v>
      </c>
      <c r="C123" s="1258">
        <v>54</v>
      </c>
      <c r="D123" s="324"/>
      <c r="E123" s="324"/>
      <c r="F123" s="324"/>
    </row>
    <row r="124" spans="1:6">
      <c r="A124" s="1257" t="s">
        <v>88</v>
      </c>
      <c r="B124" s="1258">
        <v>6</v>
      </c>
      <c r="C124" s="1258">
        <v>3</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327</v>
      </c>
      <c r="C129" s="324"/>
      <c r="D129" s="324"/>
      <c r="E129" s="324"/>
      <c r="F129" s="324"/>
    </row>
    <row r="130" spans="1:6">
      <c r="A130" s="1257" t="s">
        <v>283</v>
      </c>
      <c r="B130" s="1258">
        <v>3</v>
      </c>
      <c r="C130" s="324"/>
      <c r="D130" s="324"/>
      <c r="E130" s="324"/>
      <c r="F130" s="324"/>
    </row>
    <row r="131" spans="1:6">
      <c r="A131" s="1257" t="s">
        <v>284</v>
      </c>
      <c r="B131" s="1258">
        <v>3</v>
      </c>
      <c r="C131" s="324"/>
      <c r="D131" s="324"/>
      <c r="E131" s="324"/>
      <c r="F131" s="324"/>
    </row>
    <row r="132" spans="1:6">
      <c r="A132" s="1252" t="s">
        <v>285</v>
      </c>
      <c r="B132" s="1253">
        <v>48</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101439.69890250919</v>
      </c>
      <c r="C3" s="43" t="s">
        <v>163</v>
      </c>
      <c r="D3" s="43"/>
      <c r="E3" s="153"/>
      <c r="F3" s="43"/>
      <c r="G3" s="43"/>
      <c r="H3" s="43"/>
      <c r="I3" s="43"/>
      <c r="J3" s="43"/>
      <c r="K3" s="96"/>
    </row>
    <row r="4" spans="1:11">
      <c r="A4" s="350" t="s">
        <v>164</v>
      </c>
      <c r="B4" s="49">
        <f>IF(ISERROR('SEAP template'!B78+'SEAP template'!C78),0,'SEAP template'!B78+'SEAP template'!C78)</f>
        <v>9977.6522181110777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1.9077777777777776</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0.19928115238648178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2.7327627627627624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12.175675675675675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0.22444444444444442</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1473.6389999999999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1473.6389999999999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0.19928115238648178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293.66847812166259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28693.775149999998</v>
      </c>
      <c r="C5" s="17">
        <f>IF(ISERROR('Eigen informatie GS &amp; warmtenet'!B59),0,'Eigen informatie GS &amp; warmtenet'!B59)</f>
        <v>0</v>
      </c>
      <c r="D5" s="30">
        <f>(SUM(HH_hh_gas_kWh,HH_rest_gas_kWh)/1000)*0.902</f>
        <v>60099.545029699904</v>
      </c>
      <c r="E5" s="17">
        <f>B32*B41</f>
        <v>3106.1287136763322</v>
      </c>
      <c r="F5" s="17">
        <f>B36*B45</f>
        <v>59775.266982556954</v>
      </c>
      <c r="G5" s="18"/>
      <c r="H5" s="17"/>
      <c r="I5" s="17"/>
      <c r="J5" s="17">
        <f>B35*B44+C35*C44</f>
        <v>305.87640341873708</v>
      </c>
      <c r="K5" s="17"/>
      <c r="L5" s="17"/>
      <c r="M5" s="17"/>
      <c r="N5" s="17">
        <f>B34*B43+C34*C43</f>
        <v>12637.058769515275</v>
      </c>
      <c r="O5" s="17">
        <f>B52*B53*B54</f>
        <v>761.83995624462023</v>
      </c>
      <c r="P5" s="17">
        <f>B60*B61*B62/1000-B60*B61*B62/1000/B63</f>
        <v>1453.6863844605332</v>
      </c>
    </row>
    <row r="6" spans="1:16">
      <c r="A6" s="16" t="s">
        <v>573</v>
      </c>
      <c r="B6" s="738">
        <f>kWh_PV_kleiner_dan_10kW</f>
        <v>7677.5196303903685</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36371.294780390366</v>
      </c>
      <c r="C8" s="21">
        <f>C5</f>
        <v>0</v>
      </c>
      <c r="D8" s="21">
        <f>D5</f>
        <v>60099.545029699904</v>
      </c>
      <c r="E8" s="21">
        <f>E5</f>
        <v>3106.1287136763322</v>
      </c>
      <c r="F8" s="21">
        <f>F5</f>
        <v>59775.266982556954</v>
      </c>
      <c r="G8" s="21"/>
      <c r="H8" s="21"/>
      <c r="I8" s="21"/>
      <c r="J8" s="21">
        <f>J5</f>
        <v>305.87640341873708</v>
      </c>
      <c r="K8" s="21"/>
      <c r="L8" s="21">
        <f>L5</f>
        <v>0</v>
      </c>
      <c r="M8" s="21">
        <f>M5</f>
        <v>0</v>
      </c>
      <c r="N8" s="21">
        <f>N5</f>
        <v>12637.058769515275</v>
      </c>
      <c r="O8" s="21">
        <f>O5</f>
        <v>761.83995624462023</v>
      </c>
      <c r="P8" s="21">
        <f>P5</f>
        <v>1453.6863844605332</v>
      </c>
    </row>
    <row r="9" spans="1:16">
      <c r="B9" s="19"/>
      <c r="C9" s="19"/>
      <c r="D9" s="255"/>
      <c r="E9" s="19"/>
      <c r="F9" s="19"/>
      <c r="G9" s="19"/>
      <c r="H9" s="19"/>
      <c r="I9" s="19"/>
      <c r="J9" s="19"/>
      <c r="K9" s="19"/>
      <c r="L9" s="19"/>
      <c r="M9" s="19"/>
      <c r="N9" s="19"/>
      <c r="O9" s="19"/>
      <c r="P9" s="19"/>
    </row>
    <row r="10" spans="1:16">
      <c r="A10" s="24" t="s">
        <v>207</v>
      </c>
      <c r="B10" s="25">
        <f ca="1">'EF ele_warmte'!B12</f>
        <v>0.19928115238648178</v>
      </c>
      <c r="C10" s="25">
        <f ca="1">'EF ele_warmte'!B22</f>
        <v>0.22444444444444442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7248.113537624622</v>
      </c>
      <c r="C12" s="23">
        <f ca="1">C10*C8</f>
        <v>0</v>
      </c>
      <c r="D12" s="23">
        <f>D8*D10</f>
        <v>12140.108095999381</v>
      </c>
      <c r="E12" s="23">
        <f>E10*E8</f>
        <v>705.09121800452738</v>
      </c>
      <c r="F12" s="23">
        <f>F10*F8</f>
        <v>15959.996284342707</v>
      </c>
      <c r="G12" s="23"/>
      <c r="H12" s="23"/>
      <c r="I12" s="23"/>
      <c r="J12" s="23">
        <f>J10*J8</f>
        <v>108.28024681023292</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8680</v>
      </c>
      <c r="C26" s="36"/>
      <c r="D26" s="225"/>
    </row>
    <row r="27" spans="1:7" s="15" customFormat="1">
      <c r="A27" s="227" t="s">
        <v>774</v>
      </c>
      <c r="B27" s="37">
        <f>SUM(HH_hh_gas_aantal,HH_rest_gas_aantal)</f>
        <v>4304</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4088.8</v>
      </c>
      <c r="C31" s="165" t="s">
        <v>104</v>
      </c>
      <c r="D31" s="230"/>
      <c r="G31" s="15"/>
    </row>
    <row r="32" spans="1:7">
      <c r="A32" s="168" t="s">
        <v>72</v>
      </c>
      <c r="B32" s="165">
        <f>IF((B21*($B$26-($B$27-0.05*$B$27)-$B$60))&lt;0,0,B21*($B$26-($B$27-0.05*$B$27)-$B$60))</f>
        <v>50.201668754867796</v>
      </c>
      <c r="C32" s="165" t="s">
        <v>104</v>
      </c>
      <c r="D32" s="230"/>
      <c r="G32" s="15"/>
    </row>
    <row r="33" spans="1:7">
      <c r="A33" s="168" t="s">
        <v>73</v>
      </c>
      <c r="B33" s="165">
        <f>IF((B22*($B$26-($B$27-0.05*$B$27)-$B$60))&lt;0,0,B22*($B$26-($B$27-0.05*$B$27)-$B$60))</f>
        <v>1043.7348512330975</v>
      </c>
      <c r="C33" s="165" t="s">
        <v>104</v>
      </c>
      <c r="D33" s="230"/>
      <c r="G33" s="15"/>
    </row>
    <row r="34" spans="1:7">
      <c r="A34" s="168" t="s">
        <v>74</v>
      </c>
      <c r="B34" s="165">
        <f>IF((B24*($B$26-($B$27-0.05*$B$27)-$B$60))&lt;0,0,B24*($B$26-($B$27-0.05*$B$27)-$B$60))</f>
        <v>440.7108946510761</v>
      </c>
      <c r="C34" s="165">
        <f>B26*C24</f>
        <v>1497.8421339872887</v>
      </c>
      <c r="D34" s="230"/>
      <c r="G34" s="15"/>
    </row>
    <row r="35" spans="1:7">
      <c r="A35" s="168" t="s">
        <v>76</v>
      </c>
      <c r="B35" s="165">
        <f>IF((B19*($B$26-($B$27-0.05*$B$27)-$B$60))&lt;0,0,B19*($B$26-($B$27-0.05*$B$27)-$B$60))</f>
        <v>37.997249967482176</v>
      </c>
      <c r="C35" s="165">
        <f>B35/2</f>
        <v>18.998624983741088</v>
      </c>
      <c r="D35" s="231"/>
      <c r="G35" s="15"/>
    </row>
    <row r="36" spans="1:7">
      <c r="A36" s="168" t="s">
        <v>77</v>
      </c>
      <c r="B36" s="165">
        <f>IF((B18*($B$26-($B$27-0.05*$B$27)-$B$60))&lt;0,0,B18*($B$26-($B$27-0.05*$B$27)-$B$60))</f>
        <v>2880.5553353934761</v>
      </c>
      <c r="C36" s="165" t="s">
        <v>104</v>
      </c>
      <c r="D36" s="231"/>
      <c r="G36" s="15"/>
    </row>
    <row r="37" spans="1:7">
      <c r="A37" s="168" t="s">
        <v>78</v>
      </c>
      <c r="B37" s="165">
        <f>B60</f>
        <v>138</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384</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138</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20447.294958000002</v>
      </c>
      <c r="C5" s="17">
        <f>IF(ISERROR('Eigen informatie GS &amp; warmtenet'!B60),0,'Eigen informatie GS &amp; warmtenet'!B60)</f>
        <v>0</v>
      </c>
      <c r="D5" s="30">
        <f>SUM(D6:D12)</f>
        <v>22313.395891116004</v>
      </c>
      <c r="E5" s="17">
        <f>SUM(E6:E12)</f>
        <v>53.352911133563239</v>
      </c>
      <c r="F5" s="17">
        <f>SUM(F6:F12)</f>
        <v>3071.7256792983953</v>
      </c>
      <c r="G5" s="18"/>
      <c r="H5" s="17"/>
      <c r="I5" s="17"/>
      <c r="J5" s="17">
        <f>SUM(J6:J12)</f>
        <v>1.6910849218709091E-2</v>
      </c>
      <c r="K5" s="17"/>
      <c r="L5" s="17"/>
      <c r="M5" s="17"/>
      <c r="N5" s="17">
        <f>SUM(N6:N12)</f>
        <v>661.37026964425581</v>
      </c>
      <c r="O5" s="17">
        <f>B38*B39*B40</f>
        <v>14.691782297523464</v>
      </c>
      <c r="P5" s="17">
        <f>B46*B47*B48/1000-B46*B47*B48/1000/B49</f>
        <v>157.61741491948504</v>
      </c>
      <c r="R5" s="32"/>
    </row>
    <row r="6" spans="1:18">
      <c r="A6" s="32" t="s">
        <v>53</v>
      </c>
      <c r="B6" s="37">
        <f>B26</f>
        <v>3397.10869</v>
      </c>
      <c r="C6" s="33"/>
      <c r="D6" s="37">
        <f>IF(ISERROR(TER_kantoor_gas_kWh/1000),0,TER_kantoor_gas_kWh/1000)*0.902</f>
        <v>3569.0325176000001</v>
      </c>
      <c r="E6" s="33">
        <f>$C$26*'E Balans VL '!I12/100/3.6*1000000</f>
        <v>0.88708248681943036</v>
      </c>
      <c r="F6" s="33">
        <f>$C$26*('E Balans VL '!L12+'E Balans VL '!N12)/100/3.6*1000000</f>
        <v>339.4261879664781</v>
      </c>
      <c r="G6" s="34"/>
      <c r="H6" s="33"/>
      <c r="I6" s="33"/>
      <c r="J6" s="33">
        <f>$C$26*('E Balans VL '!D12+'E Balans VL '!E12)/100/3.6*1000000</f>
        <v>0</v>
      </c>
      <c r="K6" s="33"/>
      <c r="L6" s="33"/>
      <c r="M6" s="33"/>
      <c r="N6" s="33">
        <f>$C$26*'E Balans VL '!Y12/100/3.6*1000000</f>
        <v>2.4085323436573862</v>
      </c>
      <c r="O6" s="33"/>
      <c r="P6" s="33"/>
      <c r="R6" s="32"/>
    </row>
    <row r="7" spans="1:18">
      <c r="A7" s="32" t="s">
        <v>52</v>
      </c>
      <c r="B7" s="37">
        <f t="shared" ref="B7:B12" si="0">B27</f>
        <v>2761.4622880000002</v>
      </c>
      <c r="C7" s="33"/>
      <c r="D7" s="37">
        <f>IF(ISERROR(TER_horeca_gas_kWh/1000),0,TER_horeca_gas_kWh/1000)*0.902</f>
        <v>3424.2755887999997</v>
      </c>
      <c r="E7" s="33">
        <f>$C$27*'E Balans VL '!I9/100/3.6*1000000</f>
        <v>0</v>
      </c>
      <c r="F7" s="33">
        <f>$C$27*('E Balans VL '!L9+'E Balans VL '!N9)/100/3.6*1000000</f>
        <v>226.78915521453061</v>
      </c>
      <c r="G7" s="34"/>
      <c r="H7" s="33"/>
      <c r="I7" s="33"/>
      <c r="J7" s="33">
        <f>$C$27*('E Balans VL '!D9+'E Balans VL '!E9)/100/3.6*1000000</f>
        <v>0</v>
      </c>
      <c r="K7" s="33"/>
      <c r="L7" s="33"/>
      <c r="M7" s="33"/>
      <c r="N7" s="33">
        <f>$C$27*'E Balans VL '!Y9/100/3.6*1000000</f>
        <v>34.89679882972014</v>
      </c>
      <c r="O7" s="33"/>
      <c r="P7" s="33"/>
      <c r="R7" s="32"/>
    </row>
    <row r="8" spans="1:18">
      <c r="A8" s="6" t="s">
        <v>51</v>
      </c>
      <c r="B8" s="37">
        <f t="shared" si="0"/>
        <v>10059.861531999999</v>
      </c>
      <c r="C8" s="33"/>
      <c r="D8" s="37">
        <f>IF(ISERROR(TER_handel_gas_kWh/1000),0,TER_handel_gas_kWh/1000)*0.902</f>
        <v>7400.4521664479998</v>
      </c>
      <c r="E8" s="33">
        <f>$C$28*'E Balans VL '!I13/100/3.6*1000000</f>
        <v>36.972630934116822</v>
      </c>
      <c r="F8" s="33">
        <f>$C$28*('E Balans VL '!L13+'E Balans VL '!N13)/100/3.6*1000000</f>
        <v>960.88628984798549</v>
      </c>
      <c r="G8" s="34"/>
      <c r="H8" s="33"/>
      <c r="I8" s="33"/>
      <c r="J8" s="33">
        <f>$C$28*('E Balans VL '!D13+'E Balans VL '!E13)/100/3.6*1000000</f>
        <v>0</v>
      </c>
      <c r="K8" s="33"/>
      <c r="L8" s="33"/>
      <c r="M8" s="33"/>
      <c r="N8" s="33">
        <f>$C$28*'E Balans VL '!Y13/100/3.6*1000000</f>
        <v>3.9804508264235312</v>
      </c>
      <c r="O8" s="33"/>
      <c r="P8" s="33"/>
      <c r="R8" s="32"/>
    </row>
    <row r="9" spans="1:18">
      <c r="A9" s="32" t="s">
        <v>50</v>
      </c>
      <c r="B9" s="37">
        <f t="shared" si="0"/>
        <v>2057.4698600000002</v>
      </c>
      <c r="C9" s="33"/>
      <c r="D9" s="37">
        <f>IF(ISERROR(TER_gezond_gas_kWh/1000),0,TER_gezond_gas_kWh/1000)*0.902</f>
        <v>3809.8901869820002</v>
      </c>
      <c r="E9" s="33">
        <f>$C$29*'E Balans VL '!I10/100/3.6*1000000</f>
        <v>0</v>
      </c>
      <c r="F9" s="33">
        <f>$C$29*('E Balans VL '!L10+'E Balans VL '!N10)/100/3.6*1000000</f>
        <v>138.99167064450904</v>
      </c>
      <c r="G9" s="34"/>
      <c r="H9" s="33"/>
      <c r="I9" s="33"/>
      <c r="J9" s="33">
        <f>$C$29*('E Balans VL '!D10+'E Balans VL '!E10)/100/3.6*1000000</f>
        <v>0</v>
      </c>
      <c r="K9" s="33"/>
      <c r="L9" s="33"/>
      <c r="M9" s="33"/>
      <c r="N9" s="33">
        <f>$C$29*'E Balans VL '!Y10/100/3.6*1000000</f>
        <v>16.008650603888412</v>
      </c>
      <c r="O9" s="33"/>
      <c r="P9" s="33"/>
      <c r="R9" s="32"/>
    </row>
    <row r="10" spans="1:18">
      <c r="A10" s="32" t="s">
        <v>49</v>
      </c>
      <c r="B10" s="37">
        <f t="shared" si="0"/>
        <v>1708.5940000000001</v>
      </c>
      <c r="C10" s="33"/>
      <c r="D10" s="37">
        <f>IF(ISERROR(TER_ander_gas_kWh/1000),0,TER_ander_gas_kWh/1000)*0.902</f>
        <v>1820.432636</v>
      </c>
      <c r="E10" s="33">
        <f>$C$30*'E Balans VL '!I14/100/3.6*1000000</f>
        <v>15.493197712626987</v>
      </c>
      <c r="F10" s="33">
        <f>$C$30*('E Balans VL '!L14+'E Balans VL '!N14)/100/3.6*1000000</f>
        <v>1350.553121208249</v>
      </c>
      <c r="G10" s="34"/>
      <c r="H10" s="33"/>
      <c r="I10" s="33"/>
      <c r="J10" s="33">
        <f>$C$30*('E Balans VL '!D14+'E Balans VL '!E14)/100/3.6*1000000</f>
        <v>1.6910849218709091E-2</v>
      </c>
      <c r="K10" s="33"/>
      <c r="L10" s="33"/>
      <c r="M10" s="33"/>
      <c r="N10" s="33">
        <f>$C$30*'E Balans VL '!Y14/100/3.6*1000000</f>
        <v>603.04658427323727</v>
      </c>
      <c r="O10" s="33"/>
      <c r="P10" s="33"/>
      <c r="R10" s="32"/>
    </row>
    <row r="11" spans="1:18">
      <c r="A11" s="32" t="s">
        <v>54</v>
      </c>
      <c r="B11" s="37">
        <f t="shared" si="0"/>
        <v>462.798588</v>
      </c>
      <c r="C11" s="33"/>
      <c r="D11" s="37">
        <f>IF(ISERROR(TER_onderwijs_gas_kWh/1000),0,TER_onderwijs_gas_kWh/1000)*0.902</f>
        <v>2289.312795286</v>
      </c>
      <c r="E11" s="33">
        <f>$C$31*'E Balans VL '!I11/100/3.6*1000000</f>
        <v>0</v>
      </c>
      <c r="F11" s="33">
        <f>$C$31*('E Balans VL '!L11+'E Balans VL '!N11)/100/3.6*1000000</f>
        <v>55.079254416643408</v>
      </c>
      <c r="G11" s="34"/>
      <c r="H11" s="33"/>
      <c r="I11" s="33"/>
      <c r="J11" s="33">
        <f>$C$31*('E Balans VL '!D11+'E Balans VL '!E11)/100/3.6*1000000</f>
        <v>0</v>
      </c>
      <c r="K11" s="33"/>
      <c r="L11" s="33"/>
      <c r="M11" s="33"/>
      <c r="N11" s="33">
        <f>$C$31*'E Balans VL '!Y11/100/3.6*1000000</f>
        <v>1.0292527673291498</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20447.294958000002</v>
      </c>
      <c r="C16" s="21">
        <f t="shared" ca="1" si="1"/>
        <v>0</v>
      </c>
      <c r="D16" s="21">
        <f t="shared" ca="1" si="1"/>
        <v>22313.395891116004</v>
      </c>
      <c r="E16" s="21">
        <f t="shared" si="1"/>
        <v>53.352911133563239</v>
      </c>
      <c r="F16" s="21">
        <f t="shared" ca="1" si="1"/>
        <v>3071.7256792983953</v>
      </c>
      <c r="G16" s="21">
        <f t="shared" si="1"/>
        <v>0</v>
      </c>
      <c r="H16" s="21">
        <f t="shared" si="1"/>
        <v>0</v>
      </c>
      <c r="I16" s="21">
        <f t="shared" si="1"/>
        <v>0</v>
      </c>
      <c r="J16" s="21">
        <f t="shared" si="1"/>
        <v>1.6910849218709091E-2</v>
      </c>
      <c r="K16" s="21">
        <f t="shared" si="1"/>
        <v>0</v>
      </c>
      <c r="L16" s="21">
        <f t="shared" ca="1" si="1"/>
        <v>0</v>
      </c>
      <c r="M16" s="21">
        <f t="shared" si="1"/>
        <v>0</v>
      </c>
      <c r="N16" s="21">
        <f t="shared" ca="1" si="1"/>
        <v>661.37026964425581</v>
      </c>
      <c r="O16" s="21">
        <f>O5</f>
        <v>14.691782297523464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0.19928115238648178</v>
      </c>
      <c r="C18" s="25">
        <f ca="1">'EF ele_warmte'!B22</f>
        <v>0.22444444444444442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4074.7605024165391</v>
      </c>
      <c r="C20" s="23">
        <f t="shared" ref="C20:P20" ca="1" si="2">C16*C18</f>
        <v>0</v>
      </c>
      <c r="D20" s="23">
        <f t="shared" ca="1" si="2"/>
        <v>4507.3059700054328</v>
      </c>
      <c r="E20" s="23">
        <f t="shared" si="2"/>
        <v>12.111110827318855</v>
      </c>
      <c r="F20" s="23">
        <f t="shared" ca="1" si="2"/>
        <v>820.15075637267159</v>
      </c>
      <c r="G20" s="23">
        <f t="shared" si="2"/>
        <v>0</v>
      </c>
      <c r="H20" s="23">
        <f t="shared" si="2"/>
        <v>0</v>
      </c>
      <c r="I20" s="23">
        <f t="shared" si="2"/>
        <v>0</v>
      </c>
      <c r="J20" s="23">
        <f t="shared" si="2"/>
        <v>5.9864406234230181E-3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3397.10869</v>
      </c>
      <c r="C26" s="39">
        <f>IF(ISERROR(B26*3.6/1000000/'E Balans VL '!Z12*100),0,B26*3.6/1000000/'E Balans VL '!Z12*100)</f>
        <v>9.5068821859351796E-2</v>
      </c>
      <c r="D26" s="234" t="s">
        <v>667</v>
      </c>
      <c r="F26" s="6"/>
    </row>
    <row r="27" spans="1:18">
      <c r="A27" s="228" t="s">
        <v>52</v>
      </c>
      <c r="B27" s="33">
        <f>IF(ISERROR(TER_horeca_ele_kWh/1000),0,TER_horeca_ele_kWh/1000)</f>
        <v>2761.4622880000002</v>
      </c>
      <c r="C27" s="39">
        <f>IF(ISERROR(B27*3.6/1000000/'E Balans VL '!Z9*100),0,B27*3.6/1000000/'E Balans VL '!Z9*100)</f>
        <v>0.20581851866786752</v>
      </c>
      <c r="D27" s="234" t="s">
        <v>667</v>
      </c>
      <c r="F27" s="6"/>
    </row>
    <row r="28" spans="1:18">
      <c r="A28" s="168" t="s">
        <v>51</v>
      </c>
      <c r="B28" s="33">
        <f>IF(ISERROR(TER_handel_ele_kWh/1000),0,TER_handel_ele_kWh/1000)</f>
        <v>10059.861531999999</v>
      </c>
      <c r="C28" s="39">
        <f>IF(ISERROR(B28*3.6/1000000/'E Balans VL '!Z13*100),0,B28*3.6/1000000/'E Balans VL '!Z13*100)</f>
        <v>0.29146082147199193</v>
      </c>
      <c r="D28" s="234" t="s">
        <v>667</v>
      </c>
      <c r="F28" s="6"/>
    </row>
    <row r="29" spans="1:18">
      <c r="A29" s="228" t="s">
        <v>50</v>
      </c>
      <c r="B29" s="33">
        <f>IF(ISERROR(TER_gezond_ele_kWh/1000),0,TER_gezond_ele_kWh/1000)</f>
        <v>2057.4698600000002</v>
      </c>
      <c r="C29" s="39">
        <f>IF(ISERROR(B29*3.6/1000000/'E Balans VL '!Z10*100),0,B29*3.6/1000000/'E Balans VL '!Z10*100)</f>
        <v>0.20749828901374237</v>
      </c>
      <c r="D29" s="234" t="s">
        <v>667</v>
      </c>
      <c r="F29" s="6"/>
    </row>
    <row r="30" spans="1:18">
      <c r="A30" s="228" t="s">
        <v>49</v>
      </c>
      <c r="B30" s="33">
        <f>IF(ISERROR(TER_ander_ele_kWh/1000),0,TER_ander_ele_kWh/1000)</f>
        <v>1708.5940000000001</v>
      </c>
      <c r="C30" s="39">
        <f>IF(ISERROR(B30*3.6/1000000/'E Balans VL '!Z14*100),0,B30*3.6/1000000/'E Balans VL '!Z14*100)</f>
        <v>6.9259450725088434E-2</v>
      </c>
      <c r="D30" s="234" t="s">
        <v>667</v>
      </c>
      <c r="F30" s="6"/>
    </row>
    <row r="31" spans="1:18">
      <c r="A31" s="228" t="s">
        <v>54</v>
      </c>
      <c r="B31" s="33">
        <f>IF(ISERROR(TER_onderwijs_ele_kWh/1000),0,TER_onderwijs_ele_kWh/1000)</f>
        <v>462.798588</v>
      </c>
      <c r="C31" s="39">
        <f>IF(ISERROR(B31*3.6/1000000/'E Balans VL '!Z11*100),0,B31*3.6/1000000/'E Balans VL '!Z11*100)</f>
        <v>0.13191644361604313</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3</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3</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41862.605964000002</v>
      </c>
      <c r="C5" s="17">
        <f>IF(ISERROR('Eigen informatie GS &amp; warmtenet'!B61),0,'Eigen informatie GS &amp; warmtenet'!B61)</f>
        <v>0</v>
      </c>
      <c r="D5" s="30">
        <f>SUM(D6:D15)</f>
        <v>124031.45178050001</v>
      </c>
      <c r="E5" s="17">
        <f>SUM(E6:E15)</f>
        <v>157.34687667379569</v>
      </c>
      <c r="F5" s="17">
        <f>SUM(F6:F15)</f>
        <v>3364.5040440483431</v>
      </c>
      <c r="G5" s="18"/>
      <c r="H5" s="17"/>
      <c r="I5" s="17"/>
      <c r="J5" s="17">
        <f>SUM(J6:J15)</f>
        <v>14.648898724316222</v>
      </c>
      <c r="K5" s="17"/>
      <c r="L5" s="17"/>
      <c r="M5" s="17"/>
      <c r="N5" s="17">
        <f>SUM(N6:N15)</f>
        <v>1686.1093571826909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14939.183000000001</v>
      </c>
      <c r="C8" s="33"/>
      <c r="D8" s="37">
        <f>IF( ISERROR(IND_metaal_Gas_kWH/1000),0,IND_metaal_Gas_kWH/1000)*0.902</f>
        <v>10535.123450500001</v>
      </c>
      <c r="E8" s="33">
        <f>C30*'E Balans VL '!I18/100/3.6*1000000</f>
        <v>107.20714438267424</v>
      </c>
      <c r="F8" s="33">
        <f>C30*'E Balans VL '!L18/100/3.6*1000000+C30*'E Balans VL '!N18/100/3.6*1000000</f>
        <v>994.34132542050429</v>
      </c>
      <c r="G8" s="34"/>
      <c r="H8" s="33"/>
      <c r="I8" s="33"/>
      <c r="J8" s="40">
        <f>C30*'E Balans VL '!D18/100/3.6*1000000+C30*'E Balans VL '!E18/100/3.6*1000000</f>
        <v>14.402011228412789</v>
      </c>
      <c r="K8" s="33"/>
      <c r="L8" s="33"/>
      <c r="M8" s="33"/>
      <c r="N8" s="33">
        <f>C30*'E Balans VL '!Y18/100/3.6*1000000</f>
        <v>181.02850854489097</v>
      </c>
      <c r="O8" s="33"/>
      <c r="P8" s="33"/>
      <c r="R8" s="32"/>
    </row>
    <row r="9" spans="1:18">
      <c r="A9" s="6" t="s">
        <v>32</v>
      </c>
      <c r="B9" s="37">
        <f t="shared" si="0"/>
        <v>1301.492964</v>
      </c>
      <c r="C9" s="33"/>
      <c r="D9" s="37">
        <f>IF( ISERROR(IND_andere_gas_kWh/1000),0,IND_andere_gas_kWh/1000)*0.902</f>
        <v>1938.1246940000001</v>
      </c>
      <c r="E9" s="33">
        <f>C31*'E Balans VL '!I19/100/3.6*1000000</f>
        <v>3.4218546094591251</v>
      </c>
      <c r="F9" s="33">
        <f>C31*'E Balans VL '!L19/100/3.6*1000000+C31*'E Balans VL '!N19/100/3.6*1000000</f>
        <v>859.51203053399922</v>
      </c>
      <c r="G9" s="34"/>
      <c r="H9" s="33"/>
      <c r="I9" s="33"/>
      <c r="J9" s="40">
        <f>C31*'E Balans VL '!D19/100/3.6*1000000+C31*'E Balans VL '!E19/100/3.6*1000000</f>
        <v>0</v>
      </c>
      <c r="K9" s="33"/>
      <c r="L9" s="33"/>
      <c r="M9" s="33"/>
      <c r="N9" s="33">
        <f>C31*'E Balans VL '!Y19/100/3.6*1000000</f>
        <v>69.484638469305466</v>
      </c>
      <c r="O9" s="33"/>
      <c r="P9" s="33"/>
      <c r="R9" s="32"/>
    </row>
    <row r="10" spans="1:18">
      <c r="A10" s="6" t="s">
        <v>40</v>
      </c>
      <c r="B10" s="37">
        <f t="shared" si="0"/>
        <v>25398.01</v>
      </c>
      <c r="C10" s="33"/>
      <c r="D10" s="37">
        <f>IF( ISERROR(IND_voed_gas_kWh/1000),0,IND_voed_gas_kWh/1000)*0.902</f>
        <v>111151.546858</v>
      </c>
      <c r="E10" s="33">
        <f>C32*'E Balans VL '!I20/100/3.6*1000000</f>
        <v>42.877646891473177</v>
      </c>
      <c r="F10" s="33">
        <f>C32*'E Balans VL '!L20/100/3.6*1000000+C32*'E Balans VL '!N20/100/3.6*1000000</f>
        <v>1490.7523405938414</v>
      </c>
      <c r="G10" s="34"/>
      <c r="H10" s="33"/>
      <c r="I10" s="33"/>
      <c r="J10" s="40">
        <f>C32*'E Balans VL '!D20/100/3.6*1000000+C32*'E Balans VL '!E20/100/3.6*1000000</f>
        <v>0</v>
      </c>
      <c r="K10" s="33"/>
      <c r="L10" s="33"/>
      <c r="M10" s="33"/>
      <c r="N10" s="33">
        <f>C32*'E Balans VL '!Y20/100/3.6*1000000</f>
        <v>1382.7945020426021</v>
      </c>
      <c r="O10" s="33"/>
      <c r="P10" s="33"/>
      <c r="R10" s="32"/>
    </row>
    <row r="11" spans="1:18">
      <c r="A11" s="6" t="s">
        <v>39</v>
      </c>
      <c r="B11" s="37">
        <f t="shared" si="0"/>
        <v>62.619</v>
      </c>
      <c r="C11" s="33"/>
      <c r="D11" s="37">
        <f>IF( ISERROR(IND_textiel_gas_kWh/1000),0,IND_textiel_gas_kWh/1000)*0.902</f>
        <v>0</v>
      </c>
      <c r="E11" s="33">
        <f>C33*'E Balans VL '!I21/100/3.6*1000000</f>
        <v>0.21811816612828813</v>
      </c>
      <c r="F11" s="33">
        <f>C33*'E Balans VL '!L21/100/3.6*1000000+C33*'E Balans VL '!N21/100/3.6*1000000</f>
        <v>1.6640456806312178</v>
      </c>
      <c r="G11" s="34"/>
      <c r="H11" s="33"/>
      <c r="I11" s="33"/>
      <c r="J11" s="40">
        <f>C33*'E Balans VL '!D21/100/3.6*1000000+C33*'E Balans VL '!E21/100/3.6*1000000</f>
        <v>0</v>
      </c>
      <c r="K11" s="33"/>
      <c r="L11" s="33"/>
      <c r="M11" s="33"/>
      <c r="N11" s="33">
        <f>C33*'E Balans VL '!Y21/100/3.6*1000000</f>
        <v>7.740945549424753E-3</v>
      </c>
      <c r="O11" s="33"/>
      <c r="P11" s="33"/>
      <c r="R11" s="32"/>
    </row>
    <row r="12" spans="1:18">
      <c r="A12" s="6" t="s">
        <v>36</v>
      </c>
      <c r="B12" s="37">
        <f t="shared" si="0"/>
        <v>86.81</v>
      </c>
      <c r="C12" s="33"/>
      <c r="D12" s="37">
        <f>IF( ISERROR(IND_min_gas_kWh/1000),0,IND_min_gas_kWh/1000)*0.902</f>
        <v>103.64340799999999</v>
      </c>
      <c r="E12" s="33">
        <f>C34*'E Balans VL '!I22/100/3.6*1000000</f>
        <v>1.2497495275566535</v>
      </c>
      <c r="F12" s="33">
        <f>C34*'E Balans VL '!L22/100/3.6*1000000+C34*'E Balans VL '!N22/100/3.6*1000000</f>
        <v>10.437040602480959</v>
      </c>
      <c r="G12" s="34"/>
      <c r="H12" s="33"/>
      <c r="I12" s="33"/>
      <c r="J12" s="40">
        <f>C34*'E Balans VL '!D22/100/3.6*1000000+C34*'E Balans VL '!E22/100/3.6*1000000</f>
        <v>6.3382203128158149E-2</v>
      </c>
      <c r="K12" s="33"/>
      <c r="L12" s="33"/>
      <c r="M12" s="33"/>
      <c r="N12" s="33">
        <f>C34*'E Balans VL '!Y22/100/3.6*1000000</f>
        <v>51.637026613331727</v>
      </c>
      <c r="O12" s="33"/>
      <c r="P12" s="33"/>
      <c r="R12" s="32"/>
    </row>
    <row r="13" spans="1:18">
      <c r="A13" s="6" t="s">
        <v>38</v>
      </c>
      <c r="B13" s="37">
        <f t="shared" si="0"/>
        <v>26.744</v>
      </c>
      <c r="C13" s="33"/>
      <c r="D13" s="37">
        <f>IF( ISERROR(IND_papier_gas_kWh/1000),0,IND_papier_gas_kWh/1000)*0.902</f>
        <v>93.152246000000005</v>
      </c>
      <c r="E13" s="33">
        <f>C35*'E Balans VL '!I23/100/3.6*1000000</f>
        <v>9.4620530821359669E-2</v>
      </c>
      <c r="F13" s="33">
        <f>C35*'E Balans VL '!L23/100/3.6*1000000+C35*'E Balans VL '!N23/100/3.6*1000000</f>
        <v>0.24793745936092398</v>
      </c>
      <c r="G13" s="34"/>
      <c r="H13" s="33"/>
      <c r="I13" s="33"/>
      <c r="J13" s="40">
        <f>C35*'E Balans VL '!D23/100/3.6*1000000+C35*'E Balans VL '!E23/100/3.6*1000000</f>
        <v>0</v>
      </c>
      <c r="K13" s="33"/>
      <c r="L13" s="33"/>
      <c r="M13" s="33"/>
      <c r="N13" s="33">
        <f>C35*'E Balans VL '!Y23/100/3.6*1000000</f>
        <v>-0.58258387777845744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47.747</v>
      </c>
      <c r="C15" s="33"/>
      <c r="D15" s="37">
        <f>IF( ISERROR(IND_rest_gas_kWh/1000),0,IND_rest_gas_kWh/1000)*0.902</f>
        <v>209.86112400000002</v>
      </c>
      <c r="E15" s="33">
        <f>C37*'E Balans VL '!I15/100/3.6*1000000</f>
        <v>2.2777425656828569</v>
      </c>
      <c r="F15" s="33">
        <f>C37*'E Balans VL '!L15/100/3.6*1000000+C37*'E Balans VL '!N15/100/3.6*1000000</f>
        <v>7.5493237575252961</v>
      </c>
      <c r="G15" s="34"/>
      <c r="H15" s="33"/>
      <c r="I15" s="33"/>
      <c r="J15" s="40">
        <f>C37*'E Balans VL '!D15/100/3.6*1000000+C37*'E Balans VL '!E15/100/3.6*1000000</f>
        <v>0.18350529277527414</v>
      </c>
      <c r="K15" s="33"/>
      <c r="L15" s="33"/>
      <c r="M15" s="33"/>
      <c r="N15" s="33">
        <f>C37*'E Balans VL '!Y15/100/3.6*1000000</f>
        <v>1.7395244447898754</v>
      </c>
      <c r="O15" s="33"/>
      <c r="P15" s="33"/>
      <c r="R15" s="32"/>
    </row>
    <row r="16" spans="1:18">
      <c r="A16" s="16" t="s">
        <v>464</v>
      </c>
      <c r="B16" s="244">
        <f>'lokale energieproductie'!N37+'lokale energieproductie'!N30</f>
        <v>8.5</v>
      </c>
      <c r="C16" s="244">
        <f>'lokale energieproductie'!O37+'lokale energieproductie'!O30</f>
        <v>12.175675675675675</v>
      </c>
      <c r="D16" s="302">
        <f>('lokale energieproductie'!P30+'lokale energieproductie'!P37)*(-1)</f>
        <v>-22.972972972972972</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41871.105964000002</v>
      </c>
      <c r="C18" s="21">
        <f>C5+C16</f>
        <v>12.175675675675675</v>
      </c>
      <c r="D18" s="21">
        <f>MAX((D5+D16),0)</f>
        <v>124008.47880752703</v>
      </c>
      <c r="E18" s="21">
        <f>MAX((E5+E16),0)</f>
        <v>157.34687667379569</v>
      </c>
      <c r="F18" s="21">
        <f>MAX((F5+F16),0)</f>
        <v>3364.5040440483431</v>
      </c>
      <c r="G18" s="21"/>
      <c r="H18" s="21"/>
      <c r="I18" s="21"/>
      <c r="J18" s="21">
        <f>MAX((J5+J16),0)</f>
        <v>14.648898724316222</v>
      </c>
      <c r="K18" s="21"/>
      <c r="L18" s="21">
        <f>MAX((L5+L16),0)</f>
        <v>0</v>
      </c>
      <c r="M18" s="21"/>
      <c r="N18" s="21">
        <f>MAX((N5+N16),0)</f>
        <v>1686.1093571826909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0.19928115238648178</v>
      </c>
      <c r="C20" s="25">
        <f ca="1">'EF ele_warmte'!B22</f>
        <v>0.22444444444444442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8344.1222482024114</v>
      </c>
      <c r="C22" s="23">
        <f ca="1">C18*C20</f>
        <v>2.7327627627627624</v>
      </c>
      <c r="D22" s="23">
        <f>D18*D20</f>
        <v>25049.712719120464</v>
      </c>
      <c r="E22" s="23">
        <f>E18*E20</f>
        <v>35.71774100495162</v>
      </c>
      <c r="F22" s="23">
        <f>F18*F20</f>
        <v>898.32257976090762</v>
      </c>
      <c r="G22" s="23"/>
      <c r="H22" s="23"/>
      <c r="I22" s="23"/>
      <c r="J22" s="23">
        <f>J18*J20</f>
        <v>5.1857101484079422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14939.183000000001</v>
      </c>
      <c r="C30" s="39">
        <f>IF(ISERROR(B30*3.6/1000000/'E Balans VL '!Z18*100),0,B30*3.6/1000000/'E Balans VL '!Z18*100)</f>
        <v>0.82660651471208657</v>
      </c>
      <c r="D30" s="234" t="s">
        <v>667</v>
      </c>
    </row>
    <row r="31" spans="1:18">
      <c r="A31" s="6" t="s">
        <v>32</v>
      </c>
      <c r="B31" s="37">
        <f>IF( ISERROR(IND_ander_ele_kWh/1000),0,IND_ander_ele_kWh/1000)</f>
        <v>1301.492964</v>
      </c>
      <c r="C31" s="39">
        <f>IF(ISERROR(B31*3.6/1000000/'E Balans VL '!Z19*100),0,B31*3.6/1000000/'E Balans VL '!Z19*100)</f>
        <v>5.6775189702705592E-2</v>
      </c>
      <c r="D31" s="234" t="s">
        <v>667</v>
      </c>
    </row>
    <row r="32" spans="1:18">
      <c r="A32" s="168" t="s">
        <v>40</v>
      </c>
      <c r="B32" s="37">
        <f>IF( ISERROR(IND_voed_ele_kWh/1000),0,IND_voed_ele_kWh/1000)</f>
        <v>25398.01</v>
      </c>
      <c r="C32" s="39">
        <f>IF(ISERROR(B32*3.6/1000000/'E Balans VL '!Z20*100),0,B32*3.6/1000000/'E Balans VL '!Z20*100)</f>
        <v>0.79722551598381519</v>
      </c>
      <c r="D32" s="234" t="s">
        <v>667</v>
      </c>
    </row>
    <row r="33" spans="1:5">
      <c r="A33" s="168" t="s">
        <v>39</v>
      </c>
      <c r="B33" s="37">
        <f>IF( ISERROR(IND_textiel_ele_kWh/1000),0,IND_textiel_ele_kWh/1000)</f>
        <v>62.619</v>
      </c>
      <c r="C33" s="39">
        <f>IF(ISERROR(B33*3.6/1000000/'E Balans VL '!Z21*100),0,B33*3.6/1000000/'E Balans VL '!Z21*100)</f>
        <v>9.7250095890928472E-3</v>
      </c>
      <c r="D33" s="234" t="s">
        <v>667</v>
      </c>
    </row>
    <row r="34" spans="1:5">
      <c r="A34" s="168" t="s">
        <v>36</v>
      </c>
      <c r="B34" s="37">
        <f>IF( ISERROR(IND_min_ele_kWh/1000),0,IND_min_ele_kWh/1000)</f>
        <v>86.81</v>
      </c>
      <c r="C34" s="39">
        <f>IF(ISERROR(B34*3.6/1000000/'E Balans VL '!Z22*100),0,B34*3.6/1000000/'E Balans VL '!Z22*100)</f>
        <v>3.8937872228900564E-2</v>
      </c>
      <c r="D34" s="234" t="s">
        <v>667</v>
      </c>
    </row>
    <row r="35" spans="1:5">
      <c r="A35" s="168" t="s">
        <v>38</v>
      </c>
      <c r="B35" s="37">
        <f>IF( ISERROR(IND_papier_ele_kWh/1000),0,IND_papier_ele_kWh/1000)</f>
        <v>26.744</v>
      </c>
      <c r="C35" s="39">
        <f>IF(ISERROR(B35*3.6/1000000/'E Balans VL '!Z22*100),0,B35*3.6/1000000/'E Balans VL '!Z22*100)</f>
        <v>1.1995789135925776E-2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47.747</v>
      </c>
      <c r="C37" s="39">
        <f>IF(ISERROR(B37*3.6/1000000/'E Balans VL '!Z15*100),0,B37*3.6/1000000/'E Balans VL '!Z15*100)</f>
        <v>3.8858504301957428E-4</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186.38900000000001</v>
      </c>
      <c r="C5" s="17">
        <f>'Eigen informatie GS &amp; warmtenet'!B62</f>
        <v>0</v>
      </c>
      <c r="D5" s="30">
        <f>IF(ISERROR(SUM(LB_lb_gas_kWh,LB_rest_gas_kWh)/1000),0,SUM(LB_lb_gas_kWh,LB_rest_gas_kWh)/1000)*0.902</f>
        <v>82.475272000000004</v>
      </c>
      <c r="E5" s="17">
        <f>B17*'E Balans VL '!I25/3.6*1000000/100</f>
        <v>7.5723233717902145</v>
      </c>
      <c r="F5" s="17">
        <f>B17*('E Balans VL '!L25/3.6*1000000+'E Balans VL '!N25/3.6*1000000)/100</f>
        <v>659.32311227562491</v>
      </c>
      <c r="G5" s="18"/>
      <c r="H5" s="17"/>
      <c r="I5" s="17"/>
      <c r="J5" s="17">
        <f>('E Balans VL '!D25+'E Balans VL '!E25)/3.6*1000000*landbouw!B17/100</f>
        <v>52.956978523640529</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186.38900000000001</v>
      </c>
      <c r="C8" s="21">
        <f>C5+C6</f>
        <v>0</v>
      </c>
      <c r="D8" s="21">
        <f>MAX((D5+D6),0)</f>
        <v>82.475272000000004</v>
      </c>
      <c r="E8" s="21">
        <f>MAX((E5+E6),0)</f>
        <v>7.5723233717902145</v>
      </c>
      <c r="F8" s="21">
        <f>MAX((F5+F6),0)</f>
        <v>659.32311227562491</v>
      </c>
      <c r="G8" s="21"/>
      <c r="H8" s="21"/>
      <c r="I8" s="21"/>
      <c r="J8" s="21">
        <f>MAX((J5+J6),0)</f>
        <v>52.956978523640529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0.19928115238648178</v>
      </c>
      <c r="C10" s="31">
        <f ca="1">'EF ele_warmte'!B22</f>
        <v>0.22444444444444442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37.143814712163952</v>
      </c>
      <c r="C12" s="23">
        <f ca="1">C8*C10</f>
        <v>0</v>
      </c>
      <c r="D12" s="23">
        <f>D8*D10</f>
        <v>16.660004944000001</v>
      </c>
      <c r="E12" s="23">
        <f>E8*E10</f>
        <v>1.7189174053963787</v>
      </c>
      <c r="F12" s="23">
        <f>F8*F10</f>
        <v>176.03927097759185</v>
      </c>
      <c r="G12" s="23"/>
      <c r="H12" s="23"/>
      <c r="I12" s="23"/>
      <c r="J12" s="23">
        <f>J8*J10</f>
        <v>18.746770397368746</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2.7708061012916261E-2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39.477423211578206</v>
      </c>
      <c r="C26" s="244">
        <f>B26*'GWP N2O_CH4'!B5</f>
        <v>829.02588744314232</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2.2867978143467464</v>
      </c>
      <c r="C27" s="244">
        <f>B27*'GWP N2O_CH4'!B5</f>
        <v>48.022754101281677</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0.70014020284788225</v>
      </c>
      <c r="C28" s="244">
        <f>B28*'GWP N2O_CH4'!B4</f>
        <v>217.0434628828435</v>
      </c>
      <c r="D28" s="50"/>
    </row>
    <row r="29" spans="1:4">
      <c r="A29" s="41" t="s">
        <v>265</v>
      </c>
      <c r="B29" s="244">
        <f>B34*'ha_N2O bodem landbouw'!B4</f>
        <v>6.3314879119533654</v>
      </c>
      <c r="C29" s="244">
        <f>B29*'GWP N2O_CH4'!B4</f>
        <v>1962.7612527055433</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1.3883813032146946E-3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1.0349421207611971E-3</v>
      </c>
      <c r="C5" s="429" t="s">
        <v>204</v>
      </c>
      <c r="D5" s="414">
        <f>SUM(D6:D11)</f>
        <v>1.5787205464481288E-3</v>
      </c>
      <c r="E5" s="414">
        <f>SUM(E6:E11)</f>
        <v>1.547485569259179E-3</v>
      </c>
      <c r="F5" s="427" t="s">
        <v>204</v>
      </c>
      <c r="G5" s="414">
        <f>SUM(G6:G11)</f>
        <v>0.79407320168544482</v>
      </c>
      <c r="H5" s="414">
        <f>SUM(H6:H11)</f>
        <v>0.15601158574825041</v>
      </c>
      <c r="I5" s="429" t="s">
        <v>204</v>
      </c>
      <c r="J5" s="429" t="s">
        <v>204</v>
      </c>
      <c r="K5" s="429" t="s">
        <v>204</v>
      </c>
      <c r="L5" s="429" t="s">
        <v>204</v>
      </c>
      <c r="M5" s="414">
        <f>SUM(M6:M11)</f>
        <v>5.6101338389496026E-2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1.8616752959690934E-4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3.1584305784078376E-4</v>
      </c>
      <c r="E6" s="843">
        <f>vkm_GW_PW*SUMIFS(TableVerdeelsleutelVkm[LPG],TableVerdeelsleutelVkm[Voertuigtype],"Lichte voertuigen")*SUMIFS(TableECFTransport[EnergieConsumptieFactor (PJ per km)],TableECFTransport[Index],CONCATENATE($A6,"_LPG_LPG"))</f>
        <v>2.7345988198129885E-4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8.7354552053131071E-2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3.0389556134603972E-2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7.0473895611256714E-3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1.5339568223013215E-6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5.8546652280312923E-2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9.3308625305179163E-7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3.3747762701967707E-3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1.394785269773152E-4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3.0168407618680527E-4</v>
      </c>
      <c r="E8" s="417">
        <f>vkm_NGW_PW*SUMIFS(TableVerdeelsleutelVkm[LPG],TableVerdeelsleutelVkm[Voertuigtype],"Lichte voertuigen")*SUMIFS(TableECFTransport[EnergieConsumptieFactor (PJ per km)],TableECFTransport[Index],CONCATENATE($A8,"_LPG_LPG"))</f>
        <v>2.4947398172092065E-4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7.3942201381516789E-2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2.8522218222652579E-2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6.1506423821370108E-3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3.3652805964451892E-7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1.6512331834614851E-2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2.4708500136219885E-7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9.5181126737235733E-4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7.0015934111612721E-4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9.6119341242053972E-4</v>
      </c>
      <c r="E10" s="417">
        <f>vkm_SW_PW*SUMIFS(TableVerdeelsleutelVkm[LPG],TableVerdeelsleutelVkm[Voertuigtype],"Lichte voertuigen")*SUMIFS(TableECFTransport[EnergieConsumptieFactor (PJ per km)],TableECFTransport[Index],CONCATENATE($A10,"_LPG_LPG"))</f>
        <v>1.0245517055569595E-3</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0.29468196374084504</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9.7094081876286029E-2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2.3414667533699442E-2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7.2662381888994491E-6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0.26303550039502405</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4.5493434534269247E-6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1.5162051374964772E-2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287.48392243366584</v>
      </c>
      <c r="C14" s="21"/>
      <c r="D14" s="21">
        <f t="shared" ref="D14:M14" si="0">((D5)*10^9/3600)+D12</f>
        <v>438.53348512448019</v>
      </c>
      <c r="E14" s="21">
        <f t="shared" si="0"/>
        <v>429.85710257199418</v>
      </c>
      <c r="F14" s="21"/>
      <c r="G14" s="21">
        <f t="shared" si="0"/>
        <v>220575.88935706802</v>
      </c>
      <c r="H14" s="21">
        <f t="shared" si="0"/>
        <v>43336.55159673623</v>
      </c>
      <c r="I14" s="21"/>
      <c r="J14" s="21"/>
      <c r="K14" s="21"/>
      <c r="L14" s="21"/>
      <c r="M14" s="21">
        <f t="shared" si="0"/>
        <v>15583.70510819334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0.19928115238648178</v>
      </c>
      <c r="C16" s="56">
        <f ca="1">'EF ele_warmte'!B22</f>
        <v>0.22444444444444442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57.290127355166867</v>
      </c>
      <c r="C18" s="23"/>
      <c r="D18" s="23">
        <f t="shared" ref="D18:M18" si="1">D14*D16</f>
        <v>88.583763995145006</v>
      </c>
      <c r="E18" s="23">
        <f t="shared" si="1"/>
        <v>97.577562283842681</v>
      </c>
      <c r="F18" s="23"/>
      <c r="G18" s="23">
        <f t="shared" si="1"/>
        <v>58893.762458337165</v>
      </c>
      <c r="H18" s="23">
        <f t="shared" si="1"/>
        <v>10790.801347587321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1.1050137966655268E-4</v>
      </c>
      <c r="C50" s="313">
        <f t="shared" ref="C50:P50" si="2">SUM(C51:C52)</f>
        <v>0</v>
      </c>
      <c r="D50" s="313">
        <f t="shared" si="2"/>
        <v>0</v>
      </c>
      <c r="E50" s="313">
        <f t="shared" si="2"/>
        <v>0</v>
      </c>
      <c r="F50" s="313">
        <f t="shared" si="2"/>
        <v>0</v>
      </c>
      <c r="G50" s="313">
        <f t="shared" si="2"/>
        <v>8.0059915038201788E-3</v>
      </c>
      <c r="H50" s="313">
        <f t="shared" si="2"/>
        <v>0</v>
      </c>
      <c r="I50" s="313">
        <f t="shared" si="2"/>
        <v>0</v>
      </c>
      <c r="J50" s="313">
        <f t="shared" si="2"/>
        <v>0</v>
      </c>
      <c r="K50" s="313">
        <f t="shared" si="2"/>
        <v>0</v>
      </c>
      <c r="L50" s="313">
        <f t="shared" si="2"/>
        <v>0</v>
      </c>
      <c r="M50" s="313">
        <f t="shared" si="2"/>
        <v>4.5284272156588816E-4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1.1050137966655268E-4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8.0059915038201788E-3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4.5284272156588816E-4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30.69482768515352</v>
      </c>
      <c r="C54" s="21">
        <f t="shared" ref="C54:P54" si="3">(C50)*10^9/3600</f>
        <v>0</v>
      </c>
      <c r="D54" s="21">
        <f t="shared" si="3"/>
        <v>0</v>
      </c>
      <c r="E54" s="21">
        <f t="shared" si="3"/>
        <v>0</v>
      </c>
      <c r="F54" s="21">
        <f t="shared" si="3"/>
        <v>0</v>
      </c>
      <c r="G54" s="21">
        <f t="shared" si="3"/>
        <v>2223.8865288389388</v>
      </c>
      <c r="H54" s="21">
        <f t="shared" si="3"/>
        <v>0</v>
      </c>
      <c r="I54" s="21">
        <f t="shared" si="3"/>
        <v>0</v>
      </c>
      <c r="J54" s="21">
        <f t="shared" si="3"/>
        <v>0</v>
      </c>
      <c r="K54" s="21">
        <f t="shared" si="3"/>
        <v>0</v>
      </c>
      <c r="L54" s="21">
        <f t="shared" si="3"/>
        <v>0</v>
      </c>
      <c r="M54" s="21">
        <f t="shared" si="3"/>
        <v>125.78964487941337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0.19928115238648178</v>
      </c>
      <c r="C56" s="56">
        <f ca="1">'EF ele_warmte'!B22</f>
        <v>0.22444444444444442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6.1169006334018787</v>
      </c>
      <c r="C58" s="23">
        <f t="shared" ref="C58:P58" ca="1" si="4">C54*C56</f>
        <v>0</v>
      </c>
      <c r="D58" s="23">
        <f t="shared" si="4"/>
        <v>0</v>
      </c>
      <c r="E58" s="23">
        <f t="shared" si="4"/>
        <v>0</v>
      </c>
      <c r="F58" s="23">
        <f t="shared" si="4"/>
        <v>0</v>
      </c>
      <c r="G58" s="23">
        <f t="shared" si="4"/>
        <v>593.77770319999672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9969.1522181110777</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8.5</v>
      </c>
      <c r="C8" s="539">
        <f>B48</f>
        <v>9.4444444444444429</v>
      </c>
      <c r="D8" s="540"/>
      <c r="E8" s="540">
        <f>E48</f>
        <v>0</v>
      </c>
      <c r="F8" s="541"/>
      <c r="G8" s="542"/>
      <c r="H8" s="540">
        <f>I48</f>
        <v>0</v>
      </c>
      <c r="I8" s="540">
        <f>G48+F48</f>
        <v>0</v>
      </c>
      <c r="J8" s="540">
        <f>H48+D48+C48</f>
        <v>0</v>
      </c>
      <c r="K8" s="540"/>
      <c r="L8" s="540"/>
      <c r="M8" s="540"/>
      <c r="N8" s="543"/>
      <c r="O8" s="544">
        <f>C8*$C$12+D8*$D$12+E8*$E$12+F8*$F$12+G8*$G$12+H8*$H$12+I8*$I$12+J8*$J$12</f>
        <v>1.9077777777777776</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9977.6522181110777</v>
      </c>
      <c r="C10" s="554">
        <f t="shared" ref="C10:L10" si="0">SUM(C8:C9)</f>
        <v>9.4444444444444429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1.9077777777777776</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12.175675675675675</v>
      </c>
      <c r="C17" s="570">
        <f>B49</f>
        <v>13.528528528528525</v>
      </c>
      <c r="D17" s="571"/>
      <c r="E17" s="571">
        <f>E49</f>
        <v>0</v>
      </c>
      <c r="F17" s="572"/>
      <c r="G17" s="573"/>
      <c r="H17" s="570">
        <f>I49</f>
        <v>0</v>
      </c>
      <c r="I17" s="571">
        <f>G49+F49</f>
        <v>0</v>
      </c>
      <c r="J17" s="571">
        <f>H49+D49+C49</f>
        <v>0</v>
      </c>
      <c r="K17" s="571"/>
      <c r="L17" s="571"/>
      <c r="M17" s="571"/>
      <c r="N17" s="924"/>
      <c r="O17" s="574">
        <f>C17*$C$22+E17*$E$22+H17*$H$22+I17*$I$22+J17*$J$22+D17*$D$22+F17*$F$22+G17*$G$22+K17*$K$22+L17*$L$22</f>
        <v>2.7327627627627624</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12.175675675675675</v>
      </c>
      <c r="C20" s="553">
        <f>SUM(C17:C19)</f>
        <v>13.528528528528525</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2.7327627627627624</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71066</v>
      </c>
      <c r="C28" s="745">
        <v>3520</v>
      </c>
      <c r="D28" s="631"/>
      <c r="E28" s="630"/>
      <c r="F28" s="630"/>
      <c r="G28" s="630" t="s">
        <v>883</v>
      </c>
      <c r="H28" s="630" t="s">
        <v>883</v>
      </c>
      <c r="I28" s="630"/>
      <c r="J28" s="744"/>
      <c r="K28" s="744"/>
      <c r="L28" s="630" t="s">
        <v>884</v>
      </c>
      <c r="M28" s="630">
        <v>1.7</v>
      </c>
      <c r="N28" s="630">
        <v>8.5</v>
      </c>
      <c r="O28" s="630">
        <v>12.175675675675675</v>
      </c>
      <c r="P28" s="630">
        <v>22.972972972972972</v>
      </c>
      <c r="Q28" s="630">
        <v>0</v>
      </c>
      <c r="R28" s="630">
        <v>0</v>
      </c>
      <c r="S28" s="630">
        <v>0</v>
      </c>
      <c r="T28" s="630">
        <v>0</v>
      </c>
      <c r="U28" s="630">
        <v>0</v>
      </c>
      <c r="V28" s="630">
        <v>0</v>
      </c>
      <c r="W28" s="630">
        <v>0</v>
      </c>
      <c r="X28" s="630"/>
      <c r="Y28" s="630">
        <v>800</v>
      </c>
      <c r="Z28" s="630" t="s">
        <v>35</v>
      </c>
      <c r="AA28" s="632" t="s">
        <v>371</v>
      </c>
    </row>
    <row r="29" spans="1:27" s="564" customFormat="1" hidden="1">
      <c r="A29" s="586" t="s">
        <v>268</v>
      </c>
      <c r="B29" s="587"/>
      <c r="C29" s="587"/>
      <c r="D29" s="587"/>
      <c r="E29" s="587"/>
      <c r="F29" s="587"/>
      <c r="G29" s="587"/>
      <c r="H29" s="587"/>
      <c r="I29" s="587"/>
      <c r="J29" s="587"/>
      <c r="K29" s="587"/>
      <c r="L29" s="588"/>
      <c r="M29" s="588">
        <f>SUM(M28:M28)</f>
        <v>1.7</v>
      </c>
      <c r="N29" s="588">
        <f>SUM(N28:N28)</f>
        <v>8.5</v>
      </c>
      <c r="O29" s="588">
        <f>SUM(O28:O28)</f>
        <v>12.175675675675675</v>
      </c>
      <c r="P29" s="588">
        <f>SUM(P28:P28)</f>
        <v>22.972972972972972</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1.7</v>
      </c>
      <c r="N30" s="588">
        <f>SUMIF($AA$28:$AA$28,"industrie",N28:N28)</f>
        <v>8.5</v>
      </c>
      <c r="O30" s="588">
        <f>SUMIF($AA$28:$AA$28,"industrie",O28:O28)</f>
        <v>12.175675675675675</v>
      </c>
      <c r="P30" s="588">
        <f>SUMIF($AA$28:$AA$28,"industrie",P28:P28)</f>
        <v>22.972972972972972</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0.5888888888888888</v>
      </c>
      <c r="C45" s="613">
        <f>IF(ISERROR(N29/(O29+N29)),0,N29/(N29+O29))</f>
        <v>0.41111111111111109</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9.4444444444444429</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13.528528528528525</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21920.933958000001</v>
      </c>
      <c r="D10" s="641">
        <f ca="1">tertiair!C16</f>
        <v>0</v>
      </c>
      <c r="E10" s="641">
        <f ca="1">tertiair!D16</f>
        <v>22313.395891116004</v>
      </c>
      <c r="F10" s="641">
        <f>tertiair!E16</f>
        <v>53.352911133563239</v>
      </c>
      <c r="G10" s="641">
        <f ca="1">tertiair!F16</f>
        <v>3071.7256792983953</v>
      </c>
      <c r="H10" s="641">
        <f>tertiair!G16</f>
        <v>0</v>
      </c>
      <c r="I10" s="641">
        <f>tertiair!H16</f>
        <v>0</v>
      </c>
      <c r="J10" s="641">
        <f>tertiair!I16</f>
        <v>0</v>
      </c>
      <c r="K10" s="641">
        <f>tertiair!J16</f>
        <v>1.6910849218709091E-2</v>
      </c>
      <c r="L10" s="641">
        <f>tertiair!K16</f>
        <v>0</v>
      </c>
      <c r="M10" s="641">
        <f ca="1">tertiair!L16</f>
        <v>0</v>
      </c>
      <c r="N10" s="641">
        <f>tertiair!M16</f>
        <v>0</v>
      </c>
      <c r="O10" s="641">
        <f ca="1">tertiair!N16</f>
        <v>661.37026964425581</v>
      </c>
      <c r="P10" s="641">
        <f>tertiair!O16</f>
        <v>14.691782297523464</v>
      </c>
      <c r="Q10" s="642">
        <f>tertiair!P16</f>
        <v>157.61741491948504</v>
      </c>
      <c r="R10" s="644">
        <f ca="1">SUM(C10:Q10)</f>
        <v>48193.104817258456</v>
      </c>
      <c r="S10" s="67"/>
    </row>
    <row r="11" spans="1:19" s="440" customFormat="1">
      <c r="A11" s="761" t="s">
        <v>213</v>
      </c>
      <c r="B11" s="766"/>
      <c r="C11" s="641">
        <f>huishoudens!B8</f>
        <v>36371.294780390366</v>
      </c>
      <c r="D11" s="641">
        <f>huishoudens!C8</f>
        <v>0</v>
      </c>
      <c r="E11" s="641">
        <f>huishoudens!D8</f>
        <v>60099.545029699904</v>
      </c>
      <c r="F11" s="641">
        <f>huishoudens!E8</f>
        <v>3106.1287136763322</v>
      </c>
      <c r="G11" s="641">
        <f>huishoudens!F8</f>
        <v>59775.266982556954</v>
      </c>
      <c r="H11" s="641">
        <f>huishoudens!G8</f>
        <v>0</v>
      </c>
      <c r="I11" s="641">
        <f>huishoudens!H8</f>
        <v>0</v>
      </c>
      <c r="J11" s="641">
        <f>huishoudens!I8</f>
        <v>0</v>
      </c>
      <c r="K11" s="641">
        <f>huishoudens!J8</f>
        <v>305.87640341873708</v>
      </c>
      <c r="L11" s="641">
        <f>huishoudens!K8</f>
        <v>0</v>
      </c>
      <c r="M11" s="641">
        <f>huishoudens!L8</f>
        <v>0</v>
      </c>
      <c r="N11" s="641">
        <f>huishoudens!M8</f>
        <v>0</v>
      </c>
      <c r="O11" s="641">
        <f>huishoudens!N8</f>
        <v>12637.058769515275</v>
      </c>
      <c r="P11" s="641">
        <f>huishoudens!O8</f>
        <v>761.83995624462023</v>
      </c>
      <c r="Q11" s="642">
        <f>huishoudens!P8</f>
        <v>1453.6863844605332</v>
      </c>
      <c r="R11" s="644">
        <f>SUM(C11:Q11)</f>
        <v>174510.69701996274</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41871.105964000002</v>
      </c>
      <c r="D13" s="641">
        <f>industrie!C18</f>
        <v>12.175675675675675</v>
      </c>
      <c r="E13" s="641">
        <f>industrie!D18</f>
        <v>124008.47880752703</v>
      </c>
      <c r="F13" s="641">
        <f>industrie!E18</f>
        <v>157.34687667379569</v>
      </c>
      <c r="G13" s="641">
        <f>industrie!F18</f>
        <v>3364.5040440483431</v>
      </c>
      <c r="H13" s="641">
        <f>industrie!G18</f>
        <v>0</v>
      </c>
      <c r="I13" s="641">
        <f>industrie!H18</f>
        <v>0</v>
      </c>
      <c r="J13" s="641">
        <f>industrie!I18</f>
        <v>0</v>
      </c>
      <c r="K13" s="641">
        <f>industrie!J18</f>
        <v>14.648898724316222</v>
      </c>
      <c r="L13" s="641">
        <f>industrie!K18</f>
        <v>0</v>
      </c>
      <c r="M13" s="641">
        <f>industrie!L18</f>
        <v>0</v>
      </c>
      <c r="N13" s="641">
        <f>industrie!M18</f>
        <v>0</v>
      </c>
      <c r="O13" s="641">
        <f>industrie!N18</f>
        <v>1686.1093571826909</v>
      </c>
      <c r="P13" s="641">
        <f>industrie!O18</f>
        <v>0</v>
      </c>
      <c r="Q13" s="642">
        <f>industrie!P18</f>
        <v>0</v>
      </c>
      <c r="R13" s="644">
        <f>SUM(C13:Q13)</f>
        <v>171114.36962383188</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100163.33470239036</v>
      </c>
      <c r="D16" s="677">
        <f t="shared" ref="D16:R16" ca="1" si="0">SUM(D9:D15)</f>
        <v>12.175675675675675</v>
      </c>
      <c r="E16" s="677">
        <f t="shared" ca="1" si="0"/>
        <v>206421.41972834294</v>
      </c>
      <c r="F16" s="677">
        <f t="shared" si="0"/>
        <v>3316.8285014836911</v>
      </c>
      <c r="G16" s="677">
        <f t="shared" ca="1" si="0"/>
        <v>66211.496705903701</v>
      </c>
      <c r="H16" s="677">
        <f t="shared" si="0"/>
        <v>0</v>
      </c>
      <c r="I16" s="677">
        <f t="shared" si="0"/>
        <v>0</v>
      </c>
      <c r="J16" s="677">
        <f t="shared" si="0"/>
        <v>0</v>
      </c>
      <c r="K16" s="677">
        <f t="shared" si="0"/>
        <v>320.54221299227203</v>
      </c>
      <c r="L16" s="677">
        <f t="shared" si="0"/>
        <v>0</v>
      </c>
      <c r="M16" s="677">
        <f t="shared" ca="1" si="0"/>
        <v>0</v>
      </c>
      <c r="N16" s="677">
        <f t="shared" si="0"/>
        <v>0</v>
      </c>
      <c r="O16" s="677">
        <f t="shared" ca="1" si="0"/>
        <v>14984.538396342223</v>
      </c>
      <c r="P16" s="677">
        <f t="shared" si="0"/>
        <v>776.53173854214367</v>
      </c>
      <c r="Q16" s="677">
        <f t="shared" si="0"/>
        <v>1611.3037993800183</v>
      </c>
      <c r="R16" s="677">
        <f t="shared" ca="1" si="0"/>
        <v>393818.17146105308</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30.69482768515352</v>
      </c>
      <c r="D19" s="641">
        <f>transport!C54</f>
        <v>0</v>
      </c>
      <c r="E19" s="641">
        <f>transport!D54</f>
        <v>0</v>
      </c>
      <c r="F19" s="641">
        <f>transport!E54</f>
        <v>0</v>
      </c>
      <c r="G19" s="641">
        <f>transport!F54</f>
        <v>0</v>
      </c>
      <c r="H19" s="641">
        <f>transport!G54</f>
        <v>2223.8865288389388</v>
      </c>
      <c r="I19" s="641">
        <f>transport!H54</f>
        <v>0</v>
      </c>
      <c r="J19" s="641">
        <f>transport!I54</f>
        <v>0</v>
      </c>
      <c r="K19" s="641">
        <f>transport!J54</f>
        <v>0</v>
      </c>
      <c r="L19" s="641">
        <f>transport!K54</f>
        <v>0</v>
      </c>
      <c r="M19" s="641">
        <f>transport!L54</f>
        <v>0</v>
      </c>
      <c r="N19" s="641">
        <f>transport!M54</f>
        <v>125.78964487941337</v>
      </c>
      <c r="O19" s="641">
        <f>transport!N54</f>
        <v>0</v>
      </c>
      <c r="P19" s="641">
        <f>transport!O54</f>
        <v>0</v>
      </c>
      <c r="Q19" s="642">
        <f>transport!P54</f>
        <v>0</v>
      </c>
      <c r="R19" s="644">
        <f>SUM(C19:Q19)</f>
        <v>2380.3710014035059</v>
      </c>
      <c r="S19" s="67"/>
    </row>
    <row r="20" spans="1:19" s="440" customFormat="1">
      <c r="A20" s="761" t="s">
        <v>295</v>
      </c>
      <c r="B20" s="766"/>
      <c r="C20" s="641">
        <f>transport!B14</f>
        <v>287.48392243366584</v>
      </c>
      <c r="D20" s="641">
        <f>transport!C14</f>
        <v>0</v>
      </c>
      <c r="E20" s="641">
        <f>transport!D14</f>
        <v>438.53348512448019</v>
      </c>
      <c r="F20" s="641">
        <f>transport!E14</f>
        <v>429.85710257199418</v>
      </c>
      <c r="G20" s="641">
        <f>transport!F14</f>
        <v>0</v>
      </c>
      <c r="H20" s="641">
        <f>transport!G14</f>
        <v>220575.88935706802</v>
      </c>
      <c r="I20" s="641">
        <f>transport!H14</f>
        <v>43336.55159673623</v>
      </c>
      <c r="J20" s="641">
        <f>transport!I14</f>
        <v>0</v>
      </c>
      <c r="K20" s="641">
        <f>transport!J14</f>
        <v>0</v>
      </c>
      <c r="L20" s="641">
        <f>transport!K14</f>
        <v>0</v>
      </c>
      <c r="M20" s="641">
        <f>transport!L14</f>
        <v>0</v>
      </c>
      <c r="N20" s="641">
        <f>transport!M14</f>
        <v>15583.70510819334</v>
      </c>
      <c r="O20" s="641">
        <f>transport!N14</f>
        <v>0</v>
      </c>
      <c r="P20" s="641">
        <f>transport!O14</f>
        <v>0</v>
      </c>
      <c r="Q20" s="642">
        <f>transport!P14</f>
        <v>0</v>
      </c>
      <c r="R20" s="644">
        <f>SUM(C20:Q20)</f>
        <v>280652.02057212772</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318.17875011881938</v>
      </c>
      <c r="D22" s="764">
        <f t="shared" ref="D22:R22" si="1">SUM(D18:D21)</f>
        <v>0</v>
      </c>
      <c r="E22" s="764">
        <f t="shared" si="1"/>
        <v>438.53348512448019</v>
      </c>
      <c r="F22" s="764">
        <f t="shared" si="1"/>
        <v>429.85710257199418</v>
      </c>
      <c r="G22" s="764">
        <f t="shared" si="1"/>
        <v>0</v>
      </c>
      <c r="H22" s="764">
        <f t="shared" si="1"/>
        <v>222799.77588590697</v>
      </c>
      <c r="I22" s="764">
        <f t="shared" si="1"/>
        <v>43336.55159673623</v>
      </c>
      <c r="J22" s="764">
        <f t="shared" si="1"/>
        <v>0</v>
      </c>
      <c r="K22" s="764">
        <f t="shared" si="1"/>
        <v>0</v>
      </c>
      <c r="L22" s="764">
        <f t="shared" si="1"/>
        <v>0</v>
      </c>
      <c r="M22" s="764">
        <f t="shared" si="1"/>
        <v>0</v>
      </c>
      <c r="N22" s="764">
        <f t="shared" si="1"/>
        <v>15709.494753072753</v>
      </c>
      <c r="O22" s="764">
        <f t="shared" si="1"/>
        <v>0</v>
      </c>
      <c r="P22" s="764">
        <f t="shared" si="1"/>
        <v>0</v>
      </c>
      <c r="Q22" s="764">
        <f t="shared" si="1"/>
        <v>0</v>
      </c>
      <c r="R22" s="764">
        <f t="shared" si="1"/>
        <v>283032.3915735312</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186.38900000000001</v>
      </c>
      <c r="D24" s="641">
        <f>+landbouw!C8</f>
        <v>0</v>
      </c>
      <c r="E24" s="641">
        <f>+landbouw!D8</f>
        <v>82.475272000000004</v>
      </c>
      <c r="F24" s="641">
        <f>+landbouw!E8</f>
        <v>7.5723233717902145</v>
      </c>
      <c r="G24" s="641">
        <f>+landbouw!F8</f>
        <v>659.32311227562491</v>
      </c>
      <c r="H24" s="641">
        <f>+landbouw!G8</f>
        <v>0</v>
      </c>
      <c r="I24" s="641">
        <f>+landbouw!H8</f>
        <v>0</v>
      </c>
      <c r="J24" s="641">
        <f>+landbouw!I8</f>
        <v>0</v>
      </c>
      <c r="K24" s="641">
        <f>+landbouw!J8</f>
        <v>52.956978523640529</v>
      </c>
      <c r="L24" s="641">
        <f>+landbouw!K8</f>
        <v>0</v>
      </c>
      <c r="M24" s="641">
        <f>+landbouw!L8</f>
        <v>0</v>
      </c>
      <c r="N24" s="641">
        <f>+landbouw!M8</f>
        <v>0</v>
      </c>
      <c r="O24" s="641">
        <f>+landbouw!N8</f>
        <v>0</v>
      </c>
      <c r="P24" s="641">
        <f>+landbouw!O8</f>
        <v>0</v>
      </c>
      <c r="Q24" s="642">
        <f>+landbouw!P8</f>
        <v>0</v>
      </c>
      <c r="R24" s="644">
        <f>SUM(C24:Q24)</f>
        <v>988.71668617105558</v>
      </c>
      <c r="S24" s="67"/>
    </row>
    <row r="25" spans="1:19" s="440" customFormat="1" ht="15" thickBot="1">
      <c r="A25" s="783" t="s">
        <v>683</v>
      </c>
      <c r="B25" s="901"/>
      <c r="C25" s="902">
        <f>IF(Onbekend_ele_kWh="---",0,Onbekend_ele_kWh)/1000+IF(REST_rest_ele_kWh="---",0,REST_rest_ele_kWh)/1000</f>
        <v>771.79644999999994</v>
      </c>
      <c r="D25" s="902"/>
      <c r="E25" s="902">
        <f>IF(onbekend_gas_kWh="---",0,onbekend_gas_kWh)/1000+IF(REST_rest_gas_kWh="---",0,REST_rest_gas_kWh)/1000</f>
        <v>1249.0938000000001</v>
      </c>
      <c r="F25" s="902"/>
      <c r="G25" s="902"/>
      <c r="H25" s="902"/>
      <c r="I25" s="902"/>
      <c r="J25" s="902"/>
      <c r="K25" s="902"/>
      <c r="L25" s="902"/>
      <c r="M25" s="902"/>
      <c r="N25" s="902"/>
      <c r="O25" s="902"/>
      <c r="P25" s="902"/>
      <c r="Q25" s="903"/>
      <c r="R25" s="644">
        <f>SUM(C25:Q25)</f>
        <v>2020.8902499999999</v>
      </c>
      <c r="S25" s="67"/>
    </row>
    <row r="26" spans="1:19" s="440" customFormat="1" ht="15.75" thickBot="1">
      <c r="A26" s="649" t="s">
        <v>684</v>
      </c>
      <c r="B26" s="769"/>
      <c r="C26" s="764">
        <f>SUM(C24:C25)</f>
        <v>958.18544999999995</v>
      </c>
      <c r="D26" s="764">
        <f t="shared" ref="D26:R26" si="2">SUM(D24:D25)</f>
        <v>0</v>
      </c>
      <c r="E26" s="764">
        <f t="shared" si="2"/>
        <v>1331.569072</v>
      </c>
      <c r="F26" s="764">
        <f t="shared" si="2"/>
        <v>7.5723233717902145</v>
      </c>
      <c r="G26" s="764">
        <f t="shared" si="2"/>
        <v>659.32311227562491</v>
      </c>
      <c r="H26" s="764">
        <f t="shared" si="2"/>
        <v>0</v>
      </c>
      <c r="I26" s="764">
        <f t="shared" si="2"/>
        <v>0</v>
      </c>
      <c r="J26" s="764">
        <f t="shared" si="2"/>
        <v>0</v>
      </c>
      <c r="K26" s="764">
        <f t="shared" si="2"/>
        <v>52.956978523640529</v>
      </c>
      <c r="L26" s="764">
        <f t="shared" si="2"/>
        <v>0</v>
      </c>
      <c r="M26" s="764">
        <f t="shared" si="2"/>
        <v>0</v>
      </c>
      <c r="N26" s="764">
        <f t="shared" si="2"/>
        <v>0</v>
      </c>
      <c r="O26" s="764">
        <f t="shared" si="2"/>
        <v>0</v>
      </c>
      <c r="P26" s="764">
        <f t="shared" si="2"/>
        <v>0</v>
      </c>
      <c r="Q26" s="764">
        <f t="shared" si="2"/>
        <v>0</v>
      </c>
      <c r="R26" s="764">
        <f t="shared" si="2"/>
        <v>3009.6069361710556</v>
      </c>
      <c r="S26" s="67"/>
    </row>
    <row r="27" spans="1:19" s="440" customFormat="1" ht="17.25" thickTop="1" thickBot="1">
      <c r="A27" s="650" t="s">
        <v>109</v>
      </c>
      <c r="B27" s="756"/>
      <c r="C27" s="651">
        <f ca="1">C22+C16+C26</f>
        <v>101439.69890250919</v>
      </c>
      <c r="D27" s="651">
        <f t="shared" ref="D27:R27" ca="1" si="3">D22+D16+D26</f>
        <v>12.175675675675675</v>
      </c>
      <c r="E27" s="651">
        <f t="shared" ca="1" si="3"/>
        <v>208191.52228546742</v>
      </c>
      <c r="F27" s="651">
        <f t="shared" si="3"/>
        <v>3754.2579274274758</v>
      </c>
      <c r="G27" s="651">
        <f t="shared" ca="1" si="3"/>
        <v>66870.819818179327</v>
      </c>
      <c r="H27" s="651">
        <f t="shared" si="3"/>
        <v>222799.77588590697</v>
      </c>
      <c r="I27" s="651">
        <f t="shared" si="3"/>
        <v>43336.55159673623</v>
      </c>
      <c r="J27" s="651">
        <f t="shared" si="3"/>
        <v>0</v>
      </c>
      <c r="K27" s="651">
        <f t="shared" si="3"/>
        <v>373.49919151591257</v>
      </c>
      <c r="L27" s="651">
        <f t="shared" si="3"/>
        <v>0</v>
      </c>
      <c r="M27" s="651">
        <f t="shared" ca="1" si="3"/>
        <v>0</v>
      </c>
      <c r="N27" s="651">
        <f t="shared" si="3"/>
        <v>15709.494753072753</v>
      </c>
      <c r="O27" s="651">
        <f t="shared" ca="1" si="3"/>
        <v>14984.538396342223</v>
      </c>
      <c r="P27" s="651">
        <f t="shared" si="3"/>
        <v>776.53173854214367</v>
      </c>
      <c r="Q27" s="651">
        <f t="shared" si="3"/>
        <v>1611.3037993800183</v>
      </c>
      <c r="R27" s="651">
        <f t="shared" ca="1" si="3"/>
        <v>679860.16997075535</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4368.4289805382014</v>
      </c>
      <c r="D40" s="641">
        <f ca="1">tertiair!C20</f>
        <v>0</v>
      </c>
      <c r="E40" s="641">
        <f ca="1">tertiair!D20</f>
        <v>4507.3059700054328</v>
      </c>
      <c r="F40" s="641">
        <f>tertiair!E20</f>
        <v>12.111110827318855</v>
      </c>
      <c r="G40" s="641">
        <f ca="1">tertiair!F20</f>
        <v>820.15075637267159</v>
      </c>
      <c r="H40" s="641">
        <f>tertiair!G20</f>
        <v>0</v>
      </c>
      <c r="I40" s="641">
        <f>tertiair!H20</f>
        <v>0</v>
      </c>
      <c r="J40" s="641">
        <f>tertiair!I20</f>
        <v>0</v>
      </c>
      <c r="K40" s="641">
        <f>tertiair!J20</f>
        <v>5.9864406234230181E-3</v>
      </c>
      <c r="L40" s="641">
        <f>tertiair!K20</f>
        <v>0</v>
      </c>
      <c r="M40" s="641">
        <f ca="1">tertiair!L20</f>
        <v>0</v>
      </c>
      <c r="N40" s="641">
        <f>tertiair!M20</f>
        <v>0</v>
      </c>
      <c r="O40" s="641">
        <f ca="1">tertiair!N20</f>
        <v>0</v>
      </c>
      <c r="P40" s="641">
        <f>tertiair!O20</f>
        <v>0</v>
      </c>
      <c r="Q40" s="724">
        <f>tertiair!P20</f>
        <v>0</v>
      </c>
      <c r="R40" s="802">
        <f t="shared" ca="1" si="4"/>
        <v>9708.002804184247</v>
      </c>
    </row>
    <row r="41" spans="1:18">
      <c r="A41" s="774" t="s">
        <v>213</v>
      </c>
      <c r="B41" s="781"/>
      <c r="C41" s="641">
        <f ca="1">huishoudens!B12</f>
        <v>7248.113537624622</v>
      </c>
      <c r="D41" s="641">
        <f ca="1">huishoudens!C12</f>
        <v>0</v>
      </c>
      <c r="E41" s="641">
        <f>huishoudens!D12</f>
        <v>12140.108095999381</v>
      </c>
      <c r="F41" s="641">
        <f>huishoudens!E12</f>
        <v>705.09121800452738</v>
      </c>
      <c r="G41" s="641">
        <f>huishoudens!F12</f>
        <v>15959.996284342707</v>
      </c>
      <c r="H41" s="641">
        <f>huishoudens!G12</f>
        <v>0</v>
      </c>
      <c r="I41" s="641">
        <f>huishoudens!H12</f>
        <v>0</v>
      </c>
      <c r="J41" s="641">
        <f>huishoudens!I12</f>
        <v>0</v>
      </c>
      <c r="K41" s="641">
        <f>huishoudens!J12</f>
        <v>108.28024681023292</v>
      </c>
      <c r="L41" s="641">
        <f>huishoudens!K12</f>
        <v>0</v>
      </c>
      <c r="M41" s="641">
        <f>huishoudens!L12</f>
        <v>0</v>
      </c>
      <c r="N41" s="641">
        <f>huishoudens!M12</f>
        <v>0</v>
      </c>
      <c r="O41" s="641">
        <f>huishoudens!N12</f>
        <v>0</v>
      </c>
      <c r="P41" s="641">
        <f>huishoudens!O12</f>
        <v>0</v>
      </c>
      <c r="Q41" s="724">
        <f>huishoudens!P12</f>
        <v>0</v>
      </c>
      <c r="R41" s="802">
        <f t="shared" ca="1" si="4"/>
        <v>36161.589382781465</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8344.1222482024114</v>
      </c>
      <c r="D43" s="641">
        <f ca="1">industrie!C22</f>
        <v>2.7327627627627624</v>
      </c>
      <c r="E43" s="641">
        <f>industrie!D22</f>
        <v>25049.712719120464</v>
      </c>
      <c r="F43" s="641">
        <f>industrie!E22</f>
        <v>35.71774100495162</v>
      </c>
      <c r="G43" s="641">
        <f>industrie!F22</f>
        <v>898.32257976090762</v>
      </c>
      <c r="H43" s="641">
        <f>industrie!G22</f>
        <v>0</v>
      </c>
      <c r="I43" s="641">
        <f>industrie!H22</f>
        <v>0</v>
      </c>
      <c r="J43" s="641">
        <f>industrie!I22</f>
        <v>0</v>
      </c>
      <c r="K43" s="641">
        <f>industrie!J22</f>
        <v>5.1857101484079422</v>
      </c>
      <c r="L43" s="641">
        <f>industrie!K22</f>
        <v>0</v>
      </c>
      <c r="M43" s="641">
        <f>industrie!L22</f>
        <v>0</v>
      </c>
      <c r="N43" s="641">
        <f>industrie!M22</f>
        <v>0</v>
      </c>
      <c r="O43" s="641">
        <f>industrie!N22</f>
        <v>0</v>
      </c>
      <c r="P43" s="641">
        <f>industrie!O22</f>
        <v>0</v>
      </c>
      <c r="Q43" s="724">
        <f>industrie!P22</f>
        <v>0</v>
      </c>
      <c r="R43" s="801">
        <f t="shared" ca="1" si="4"/>
        <v>34335.793760999892</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19960.664766365233</v>
      </c>
      <c r="D46" s="677">
        <f t="shared" ref="D46:Q46" ca="1" si="5">SUM(D39:D45)</f>
        <v>2.7327627627627624</v>
      </c>
      <c r="E46" s="677">
        <f t="shared" ca="1" si="5"/>
        <v>41697.126785125278</v>
      </c>
      <c r="F46" s="677">
        <f t="shared" si="5"/>
        <v>752.92006983679789</v>
      </c>
      <c r="G46" s="677">
        <f t="shared" ca="1" si="5"/>
        <v>17678.469620476288</v>
      </c>
      <c r="H46" s="677">
        <f t="shared" si="5"/>
        <v>0</v>
      </c>
      <c r="I46" s="677">
        <f t="shared" si="5"/>
        <v>0</v>
      </c>
      <c r="J46" s="677">
        <f t="shared" si="5"/>
        <v>0</v>
      </c>
      <c r="K46" s="677">
        <f t="shared" si="5"/>
        <v>113.47194339926429</v>
      </c>
      <c r="L46" s="677">
        <f t="shared" si="5"/>
        <v>0</v>
      </c>
      <c r="M46" s="677">
        <f t="shared" ca="1" si="5"/>
        <v>0</v>
      </c>
      <c r="N46" s="677">
        <f t="shared" si="5"/>
        <v>0</v>
      </c>
      <c r="O46" s="677">
        <f t="shared" ca="1" si="5"/>
        <v>0</v>
      </c>
      <c r="P46" s="677">
        <f t="shared" si="5"/>
        <v>0</v>
      </c>
      <c r="Q46" s="677">
        <f t="shared" si="5"/>
        <v>0</v>
      </c>
      <c r="R46" s="677">
        <f ca="1">SUM(R39:R45)</f>
        <v>80205.385947965609</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6.1169006334018787</v>
      </c>
      <c r="D49" s="641">
        <f ca="1">transport!C58</f>
        <v>0</v>
      </c>
      <c r="E49" s="641">
        <f>transport!D58</f>
        <v>0</v>
      </c>
      <c r="F49" s="641">
        <f>transport!E58</f>
        <v>0</v>
      </c>
      <c r="G49" s="641">
        <f>transport!F58</f>
        <v>0</v>
      </c>
      <c r="H49" s="641">
        <f>transport!G58</f>
        <v>593.77770319999672</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599.89460383339861</v>
      </c>
    </row>
    <row r="50" spans="1:18">
      <c r="A50" s="777" t="s">
        <v>295</v>
      </c>
      <c r="B50" s="787"/>
      <c r="C50" s="647">
        <f ca="1">transport!B18</f>
        <v>57.290127355166867</v>
      </c>
      <c r="D50" s="647">
        <f>transport!C18</f>
        <v>0</v>
      </c>
      <c r="E50" s="647">
        <f>transport!D18</f>
        <v>88.583763995145006</v>
      </c>
      <c r="F50" s="647">
        <f>transport!E18</f>
        <v>97.577562283842681</v>
      </c>
      <c r="G50" s="647">
        <f>transport!F18</f>
        <v>0</v>
      </c>
      <c r="H50" s="647">
        <f>transport!G18</f>
        <v>58893.762458337165</v>
      </c>
      <c r="I50" s="647">
        <f>transport!H18</f>
        <v>10790.801347587321</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69928.015259558641</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63.407027988568743</v>
      </c>
      <c r="D52" s="677">
        <f t="shared" ref="D52:Q52" ca="1" si="6">SUM(D48:D51)</f>
        <v>0</v>
      </c>
      <c r="E52" s="677">
        <f t="shared" si="6"/>
        <v>88.583763995145006</v>
      </c>
      <c r="F52" s="677">
        <f t="shared" si="6"/>
        <v>97.577562283842681</v>
      </c>
      <c r="G52" s="677">
        <f t="shared" si="6"/>
        <v>0</v>
      </c>
      <c r="H52" s="677">
        <f t="shared" si="6"/>
        <v>59487.540161537159</v>
      </c>
      <c r="I52" s="677">
        <f t="shared" si="6"/>
        <v>10790.801347587321</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70527.909863392037</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37.143814712163952</v>
      </c>
      <c r="D54" s="647">
        <f ca="1">+landbouw!C12</f>
        <v>0</v>
      </c>
      <c r="E54" s="647">
        <f>+landbouw!D12</f>
        <v>16.660004944000001</v>
      </c>
      <c r="F54" s="647">
        <f>+landbouw!E12</f>
        <v>1.7189174053963787</v>
      </c>
      <c r="G54" s="647">
        <f>+landbouw!F12</f>
        <v>176.03927097759185</v>
      </c>
      <c r="H54" s="647">
        <f>+landbouw!G12</f>
        <v>0</v>
      </c>
      <c r="I54" s="647">
        <f>+landbouw!H12</f>
        <v>0</v>
      </c>
      <c r="J54" s="647">
        <f>+landbouw!I12</f>
        <v>0</v>
      </c>
      <c r="K54" s="647">
        <f>+landbouw!J12</f>
        <v>18.746770397368746</v>
      </c>
      <c r="L54" s="647">
        <f>+landbouw!K12</f>
        <v>0</v>
      </c>
      <c r="M54" s="647">
        <f>+landbouw!L12</f>
        <v>0</v>
      </c>
      <c r="N54" s="647">
        <f>+landbouw!M12</f>
        <v>0</v>
      </c>
      <c r="O54" s="647">
        <f>+landbouw!N12</f>
        <v>0</v>
      </c>
      <c r="P54" s="647">
        <f>+landbouw!O12</f>
        <v>0</v>
      </c>
      <c r="Q54" s="648">
        <f>+landbouw!P12</f>
        <v>0</v>
      </c>
      <c r="R54" s="676">
        <f ca="1">SUM(C54:Q54)</f>
        <v>250.30877843652092</v>
      </c>
    </row>
    <row r="55" spans="1:18" ht="15" thickBot="1">
      <c r="A55" s="777" t="s">
        <v>683</v>
      </c>
      <c r="B55" s="787"/>
      <c r="C55" s="647">
        <f ca="1">C25*'EF ele_warmte'!B12</f>
        <v>153.80448596379566</v>
      </c>
      <c r="D55" s="647"/>
      <c r="E55" s="647">
        <f>E25*EF_CO2_aardgas</f>
        <v>252.31694760000005</v>
      </c>
      <c r="F55" s="647"/>
      <c r="G55" s="647"/>
      <c r="H55" s="647"/>
      <c r="I55" s="647"/>
      <c r="J55" s="647"/>
      <c r="K55" s="647"/>
      <c r="L55" s="647"/>
      <c r="M55" s="647"/>
      <c r="N55" s="647"/>
      <c r="O55" s="647"/>
      <c r="P55" s="647"/>
      <c r="Q55" s="648"/>
      <c r="R55" s="676">
        <f ca="1">SUM(C55:Q55)</f>
        <v>406.12143356379568</v>
      </c>
    </row>
    <row r="56" spans="1:18" ht="15.75" thickBot="1">
      <c r="A56" s="775" t="s">
        <v>684</v>
      </c>
      <c r="B56" s="788"/>
      <c r="C56" s="677">
        <f ca="1">SUM(C54:C55)</f>
        <v>190.94830067595962</v>
      </c>
      <c r="D56" s="677">
        <f t="shared" ref="D56:Q56" ca="1" si="7">SUM(D54:D55)</f>
        <v>0</v>
      </c>
      <c r="E56" s="677">
        <f t="shared" si="7"/>
        <v>268.97695254400003</v>
      </c>
      <c r="F56" s="677">
        <f t="shared" si="7"/>
        <v>1.7189174053963787</v>
      </c>
      <c r="G56" s="677">
        <f t="shared" si="7"/>
        <v>176.03927097759185</v>
      </c>
      <c r="H56" s="677">
        <f t="shared" si="7"/>
        <v>0</v>
      </c>
      <c r="I56" s="677">
        <f t="shared" si="7"/>
        <v>0</v>
      </c>
      <c r="J56" s="677">
        <f t="shared" si="7"/>
        <v>0</v>
      </c>
      <c r="K56" s="677">
        <f t="shared" si="7"/>
        <v>18.746770397368746</v>
      </c>
      <c r="L56" s="677">
        <f t="shared" si="7"/>
        <v>0</v>
      </c>
      <c r="M56" s="677">
        <f t="shared" si="7"/>
        <v>0</v>
      </c>
      <c r="N56" s="677">
        <f t="shared" si="7"/>
        <v>0</v>
      </c>
      <c r="O56" s="677">
        <f t="shared" si="7"/>
        <v>0</v>
      </c>
      <c r="P56" s="677">
        <f t="shared" si="7"/>
        <v>0</v>
      </c>
      <c r="Q56" s="678">
        <f t="shared" si="7"/>
        <v>0</v>
      </c>
      <c r="R56" s="679">
        <f ca="1">SUM(R54:R55)</f>
        <v>656.4302120003166</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20215.020095029759</v>
      </c>
      <c r="D61" s="685">
        <f t="shared" ref="D61:Q61" ca="1" si="8">D46+D52+D56</f>
        <v>2.7327627627627624</v>
      </c>
      <c r="E61" s="685">
        <f t="shared" ca="1" si="8"/>
        <v>42054.687501664419</v>
      </c>
      <c r="F61" s="685">
        <f t="shared" si="8"/>
        <v>852.21654952603694</v>
      </c>
      <c r="G61" s="685">
        <f t="shared" ca="1" si="8"/>
        <v>17854.508891453879</v>
      </c>
      <c r="H61" s="685">
        <f t="shared" si="8"/>
        <v>59487.540161537159</v>
      </c>
      <c r="I61" s="685">
        <f t="shared" si="8"/>
        <v>10790.801347587321</v>
      </c>
      <c r="J61" s="685">
        <f t="shared" si="8"/>
        <v>0</v>
      </c>
      <c r="K61" s="685">
        <f t="shared" si="8"/>
        <v>132.21871379663304</v>
      </c>
      <c r="L61" s="685">
        <f t="shared" si="8"/>
        <v>0</v>
      </c>
      <c r="M61" s="685">
        <f t="shared" ca="1" si="8"/>
        <v>0</v>
      </c>
      <c r="N61" s="685">
        <f t="shared" si="8"/>
        <v>0</v>
      </c>
      <c r="O61" s="685">
        <f t="shared" ca="1" si="8"/>
        <v>0</v>
      </c>
      <c r="P61" s="685">
        <f t="shared" si="8"/>
        <v>0</v>
      </c>
      <c r="Q61" s="685">
        <f t="shared" si="8"/>
        <v>0</v>
      </c>
      <c r="R61" s="685">
        <f ca="1">R46+R52+R56</f>
        <v>151389.72602335797</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0.19928115238648175</v>
      </c>
      <c r="D63" s="731">
        <f t="shared" ca="1" si="9"/>
        <v>0.22444444444444442</v>
      </c>
      <c r="E63" s="927">
        <f t="shared" ca="1" si="9"/>
        <v>0.20200000000000001</v>
      </c>
      <c r="F63" s="731">
        <f t="shared" si="9"/>
        <v>0.22699999999999998</v>
      </c>
      <c r="G63" s="731">
        <f t="shared" ca="1" si="9"/>
        <v>0.26699999999999996</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9969.1522181110777</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8.5</v>
      </c>
      <c r="D76" s="910">
        <f>'lokale energieproductie'!C8</f>
        <v>9.4444444444444429</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1.9077777777777776</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9969.1522181110777</v>
      </c>
      <c r="C78" s="703">
        <f>SUM(C72:C77)</f>
        <v>8.5</v>
      </c>
      <c r="D78" s="704">
        <f t="shared" ref="D78:H78" si="10">SUM(D76:D77)</f>
        <v>9.4444444444444429</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1.9077777777777776</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12.175675675675675</v>
      </c>
      <c r="D87" s="727">
        <f>'lokale energieproductie'!C17</f>
        <v>13.528528528528525</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2.7327627627627624</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12.175675675675675</v>
      </c>
      <c r="D90" s="703">
        <f t="shared" ref="D90:H90" si="12">SUM(D87:D89)</f>
        <v>13.528528528528525</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2.7327627627627624</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36371.294780390366</v>
      </c>
      <c r="C4" s="444">
        <f>huishoudens!C8</f>
        <v>0</v>
      </c>
      <c r="D4" s="444">
        <f>huishoudens!D8</f>
        <v>60099.545029699904</v>
      </c>
      <c r="E4" s="444">
        <f>huishoudens!E8</f>
        <v>3106.1287136763322</v>
      </c>
      <c r="F4" s="444">
        <f>huishoudens!F8</f>
        <v>59775.266982556954</v>
      </c>
      <c r="G4" s="444">
        <f>huishoudens!G8</f>
        <v>0</v>
      </c>
      <c r="H4" s="444">
        <f>huishoudens!H8</f>
        <v>0</v>
      </c>
      <c r="I4" s="444">
        <f>huishoudens!I8</f>
        <v>0</v>
      </c>
      <c r="J4" s="444">
        <f>huishoudens!J8</f>
        <v>305.87640341873708</v>
      </c>
      <c r="K4" s="444">
        <f>huishoudens!K8</f>
        <v>0</v>
      </c>
      <c r="L4" s="444">
        <f>huishoudens!L8</f>
        <v>0</v>
      </c>
      <c r="M4" s="444">
        <f>huishoudens!M8</f>
        <v>0</v>
      </c>
      <c r="N4" s="444">
        <f>huishoudens!N8</f>
        <v>12637.058769515275</v>
      </c>
      <c r="O4" s="444">
        <f>huishoudens!O8</f>
        <v>761.83995624462023</v>
      </c>
      <c r="P4" s="445">
        <f>huishoudens!P8</f>
        <v>1453.6863844605332</v>
      </c>
      <c r="Q4" s="446">
        <f>SUM(B4:P4)</f>
        <v>174510.69701996274</v>
      </c>
    </row>
    <row r="5" spans="1:17">
      <c r="A5" s="443" t="s">
        <v>149</v>
      </c>
      <c r="B5" s="444">
        <f ca="1">tertiair!B16</f>
        <v>20447.294958000002</v>
      </c>
      <c r="C5" s="444">
        <f ca="1">tertiair!C16</f>
        <v>0</v>
      </c>
      <c r="D5" s="444">
        <f ca="1">tertiair!D16</f>
        <v>22313.395891116004</v>
      </c>
      <c r="E5" s="444">
        <f>tertiair!E16</f>
        <v>53.352911133563239</v>
      </c>
      <c r="F5" s="444">
        <f ca="1">tertiair!F16</f>
        <v>3071.7256792983953</v>
      </c>
      <c r="G5" s="444">
        <f>tertiair!G16</f>
        <v>0</v>
      </c>
      <c r="H5" s="444">
        <f>tertiair!H16</f>
        <v>0</v>
      </c>
      <c r="I5" s="444">
        <f>tertiair!I16</f>
        <v>0</v>
      </c>
      <c r="J5" s="444">
        <f>tertiair!J16</f>
        <v>1.6910849218709091E-2</v>
      </c>
      <c r="K5" s="444">
        <f>tertiair!K16</f>
        <v>0</v>
      </c>
      <c r="L5" s="444">
        <f ca="1">tertiair!L16</f>
        <v>0</v>
      </c>
      <c r="M5" s="444">
        <f>tertiair!M16</f>
        <v>0</v>
      </c>
      <c r="N5" s="444">
        <f ca="1">tertiair!N16</f>
        <v>661.37026964425581</v>
      </c>
      <c r="O5" s="444">
        <f>tertiair!O16</f>
        <v>14.691782297523464</v>
      </c>
      <c r="P5" s="445">
        <f>tertiair!P16</f>
        <v>157.61741491948504</v>
      </c>
      <c r="Q5" s="443">
        <f t="shared" ref="Q5:Q14" ca="1" si="0">SUM(B5:P5)</f>
        <v>46719.465817258453</v>
      </c>
    </row>
    <row r="6" spans="1:17">
      <c r="A6" s="443" t="s">
        <v>187</v>
      </c>
      <c r="B6" s="444">
        <f>'openbare verlichting'!B8</f>
        <v>1473.6389999999999</v>
      </c>
      <c r="C6" s="444"/>
      <c r="D6" s="444"/>
      <c r="E6" s="444"/>
      <c r="F6" s="444"/>
      <c r="G6" s="444"/>
      <c r="H6" s="444"/>
      <c r="I6" s="444"/>
      <c r="J6" s="444"/>
      <c r="K6" s="444"/>
      <c r="L6" s="444"/>
      <c r="M6" s="444"/>
      <c r="N6" s="444"/>
      <c r="O6" s="444"/>
      <c r="P6" s="445"/>
      <c r="Q6" s="443">
        <f t="shared" si="0"/>
        <v>1473.6389999999999</v>
      </c>
    </row>
    <row r="7" spans="1:17">
      <c r="A7" s="443" t="s">
        <v>105</v>
      </c>
      <c r="B7" s="444">
        <f>landbouw!B8</f>
        <v>186.38900000000001</v>
      </c>
      <c r="C7" s="444">
        <f>landbouw!C8</f>
        <v>0</v>
      </c>
      <c r="D7" s="444">
        <f>landbouw!D8</f>
        <v>82.475272000000004</v>
      </c>
      <c r="E7" s="444">
        <f>landbouw!E8</f>
        <v>7.5723233717902145</v>
      </c>
      <c r="F7" s="444">
        <f>landbouw!F8</f>
        <v>659.32311227562491</v>
      </c>
      <c r="G7" s="444">
        <f>landbouw!G8</f>
        <v>0</v>
      </c>
      <c r="H7" s="444">
        <f>landbouw!H8</f>
        <v>0</v>
      </c>
      <c r="I7" s="444">
        <f>landbouw!I8</f>
        <v>0</v>
      </c>
      <c r="J7" s="444">
        <f>landbouw!J8</f>
        <v>52.956978523640529</v>
      </c>
      <c r="K7" s="444">
        <f>landbouw!K8</f>
        <v>0</v>
      </c>
      <c r="L7" s="444">
        <f>landbouw!L8</f>
        <v>0</v>
      </c>
      <c r="M7" s="444">
        <f>landbouw!M8</f>
        <v>0</v>
      </c>
      <c r="N7" s="444">
        <f>landbouw!N8</f>
        <v>0</v>
      </c>
      <c r="O7" s="444">
        <f>landbouw!O8</f>
        <v>0</v>
      </c>
      <c r="P7" s="445">
        <f>landbouw!P8</f>
        <v>0</v>
      </c>
      <c r="Q7" s="443">
        <f t="shared" si="0"/>
        <v>988.71668617105558</v>
      </c>
    </row>
    <row r="8" spans="1:17">
      <c r="A8" s="443" t="s">
        <v>587</v>
      </c>
      <c r="B8" s="444">
        <f>industrie!B18</f>
        <v>41871.105964000002</v>
      </c>
      <c r="C8" s="444">
        <f>industrie!C18</f>
        <v>12.175675675675675</v>
      </c>
      <c r="D8" s="444">
        <f>industrie!D18</f>
        <v>124008.47880752703</v>
      </c>
      <c r="E8" s="444">
        <f>industrie!E18</f>
        <v>157.34687667379569</v>
      </c>
      <c r="F8" s="444">
        <f>industrie!F18</f>
        <v>3364.5040440483431</v>
      </c>
      <c r="G8" s="444">
        <f>industrie!G18</f>
        <v>0</v>
      </c>
      <c r="H8" s="444">
        <f>industrie!H18</f>
        <v>0</v>
      </c>
      <c r="I8" s="444">
        <f>industrie!I18</f>
        <v>0</v>
      </c>
      <c r="J8" s="444">
        <f>industrie!J18</f>
        <v>14.648898724316222</v>
      </c>
      <c r="K8" s="444">
        <f>industrie!K18</f>
        <v>0</v>
      </c>
      <c r="L8" s="444">
        <f>industrie!L18</f>
        <v>0</v>
      </c>
      <c r="M8" s="444">
        <f>industrie!M18</f>
        <v>0</v>
      </c>
      <c r="N8" s="444">
        <f>industrie!N18</f>
        <v>1686.1093571826909</v>
      </c>
      <c r="O8" s="444">
        <f>industrie!O18</f>
        <v>0</v>
      </c>
      <c r="P8" s="445">
        <f>industrie!P18</f>
        <v>0</v>
      </c>
      <c r="Q8" s="443">
        <f t="shared" si="0"/>
        <v>171114.36962383188</v>
      </c>
    </row>
    <row r="9" spans="1:17" s="449" customFormat="1">
      <c r="A9" s="447" t="s">
        <v>536</v>
      </c>
      <c r="B9" s="448">
        <f>transport!B14</f>
        <v>287.48392243366584</v>
      </c>
      <c r="C9" s="448">
        <f>transport!C14</f>
        <v>0</v>
      </c>
      <c r="D9" s="448">
        <f>transport!D14</f>
        <v>438.53348512448019</v>
      </c>
      <c r="E9" s="448">
        <f>transport!E14</f>
        <v>429.85710257199418</v>
      </c>
      <c r="F9" s="448">
        <f>transport!F14</f>
        <v>0</v>
      </c>
      <c r="G9" s="448">
        <f>transport!G14</f>
        <v>220575.88935706802</v>
      </c>
      <c r="H9" s="448">
        <f>transport!H14</f>
        <v>43336.55159673623</v>
      </c>
      <c r="I9" s="448">
        <f>transport!I14</f>
        <v>0</v>
      </c>
      <c r="J9" s="448">
        <f>transport!J14</f>
        <v>0</v>
      </c>
      <c r="K9" s="448">
        <f>transport!K14</f>
        <v>0</v>
      </c>
      <c r="L9" s="448">
        <f>transport!L14</f>
        <v>0</v>
      </c>
      <c r="M9" s="448">
        <f>transport!M14</f>
        <v>15583.70510819334</v>
      </c>
      <c r="N9" s="448">
        <f>transport!N14</f>
        <v>0</v>
      </c>
      <c r="O9" s="448">
        <f>transport!O14</f>
        <v>0</v>
      </c>
      <c r="P9" s="448">
        <f>transport!P14</f>
        <v>0</v>
      </c>
      <c r="Q9" s="447">
        <f>SUM(B9:P9)</f>
        <v>280652.02057212772</v>
      </c>
    </row>
    <row r="10" spans="1:17">
      <c r="A10" s="443" t="s">
        <v>526</v>
      </c>
      <c r="B10" s="444">
        <f>transport!B54</f>
        <v>30.69482768515352</v>
      </c>
      <c r="C10" s="444">
        <f>transport!C54</f>
        <v>0</v>
      </c>
      <c r="D10" s="444">
        <f>transport!D54</f>
        <v>0</v>
      </c>
      <c r="E10" s="444">
        <f>transport!E54</f>
        <v>0</v>
      </c>
      <c r="F10" s="444">
        <f>transport!F54</f>
        <v>0</v>
      </c>
      <c r="G10" s="444">
        <f>transport!G54</f>
        <v>2223.8865288389388</v>
      </c>
      <c r="H10" s="444">
        <f>transport!H54</f>
        <v>0</v>
      </c>
      <c r="I10" s="444">
        <f>transport!I54</f>
        <v>0</v>
      </c>
      <c r="J10" s="444">
        <f>transport!J54</f>
        <v>0</v>
      </c>
      <c r="K10" s="444">
        <f>transport!K54</f>
        <v>0</v>
      </c>
      <c r="L10" s="444">
        <f>transport!L54</f>
        <v>0</v>
      </c>
      <c r="M10" s="444">
        <f>transport!M54</f>
        <v>125.78964487941337</v>
      </c>
      <c r="N10" s="444">
        <f>transport!N54</f>
        <v>0</v>
      </c>
      <c r="O10" s="444">
        <f>transport!O54</f>
        <v>0</v>
      </c>
      <c r="P10" s="445">
        <f>transport!P54</f>
        <v>0</v>
      </c>
      <c r="Q10" s="443">
        <f t="shared" si="0"/>
        <v>2380.3710014035059</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771.79644999999994</v>
      </c>
      <c r="C14" s="451"/>
      <c r="D14" s="451">
        <f>'SEAP template'!E25</f>
        <v>1249.0938000000001</v>
      </c>
      <c r="E14" s="451"/>
      <c r="F14" s="451"/>
      <c r="G14" s="451"/>
      <c r="H14" s="451"/>
      <c r="I14" s="451"/>
      <c r="J14" s="451"/>
      <c r="K14" s="451"/>
      <c r="L14" s="451"/>
      <c r="M14" s="451"/>
      <c r="N14" s="451"/>
      <c r="O14" s="451"/>
      <c r="P14" s="452"/>
      <c r="Q14" s="443">
        <f t="shared" si="0"/>
        <v>2020.8902499999999</v>
      </c>
    </row>
    <row r="15" spans="1:17" s="455" customFormat="1">
      <c r="A15" s="453" t="s">
        <v>530</v>
      </c>
      <c r="B15" s="454">
        <f ca="1">SUM(B4:B14)</f>
        <v>101439.69890250918</v>
      </c>
      <c r="C15" s="454">
        <f t="shared" ref="C15:Q15" ca="1" si="1">SUM(C4:C14)</f>
        <v>12.175675675675675</v>
      </c>
      <c r="D15" s="454">
        <f t="shared" ca="1" si="1"/>
        <v>208191.52228546739</v>
      </c>
      <c r="E15" s="454">
        <f t="shared" si="1"/>
        <v>3754.2579274274758</v>
      </c>
      <c r="F15" s="454">
        <f t="shared" ca="1" si="1"/>
        <v>66870.819818179327</v>
      </c>
      <c r="G15" s="454">
        <f t="shared" si="1"/>
        <v>222799.77588590697</v>
      </c>
      <c r="H15" s="454">
        <f t="shared" si="1"/>
        <v>43336.55159673623</v>
      </c>
      <c r="I15" s="454">
        <f t="shared" si="1"/>
        <v>0</v>
      </c>
      <c r="J15" s="454">
        <f t="shared" si="1"/>
        <v>373.49919151591257</v>
      </c>
      <c r="K15" s="454">
        <f t="shared" si="1"/>
        <v>0</v>
      </c>
      <c r="L15" s="454">
        <f t="shared" ca="1" si="1"/>
        <v>0</v>
      </c>
      <c r="M15" s="454">
        <f t="shared" si="1"/>
        <v>15709.494753072753</v>
      </c>
      <c r="N15" s="454">
        <f t="shared" ca="1" si="1"/>
        <v>14984.538396342223</v>
      </c>
      <c r="O15" s="454">
        <f t="shared" si="1"/>
        <v>776.53173854214367</v>
      </c>
      <c r="P15" s="454">
        <f t="shared" si="1"/>
        <v>1611.3037993800183</v>
      </c>
      <c r="Q15" s="454">
        <f t="shared" ca="1" si="1"/>
        <v>679860.16997075535</v>
      </c>
    </row>
    <row r="17" spans="1:17">
      <c r="A17" s="456" t="s">
        <v>531</v>
      </c>
      <c r="B17" s="736">
        <f ca="1">huishoudens!B10</f>
        <v>0.19928115238648178</v>
      </c>
      <c r="C17" s="736">
        <f ca="1">huishoudens!C10</f>
        <v>0.22444444444444442</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7248.113537624622</v>
      </c>
      <c r="C22" s="444">
        <f t="shared" ref="C22:C32" ca="1" si="3">C4*$C$17</f>
        <v>0</v>
      </c>
      <c r="D22" s="444">
        <f t="shared" ref="D22:D32" si="4">D4*$D$17</f>
        <v>12140.108095999381</v>
      </c>
      <c r="E22" s="444">
        <f t="shared" ref="E22:E32" si="5">E4*$E$17</f>
        <v>705.09121800452738</v>
      </c>
      <c r="F22" s="444">
        <f t="shared" ref="F22:F32" si="6">F4*$F$17</f>
        <v>15959.996284342707</v>
      </c>
      <c r="G22" s="444">
        <f t="shared" ref="G22:G32" si="7">G4*$G$17</f>
        <v>0</v>
      </c>
      <c r="H22" s="444">
        <f t="shared" ref="H22:H32" si="8">H4*$H$17</f>
        <v>0</v>
      </c>
      <c r="I22" s="444">
        <f t="shared" ref="I22:I32" si="9">I4*$I$17</f>
        <v>0</v>
      </c>
      <c r="J22" s="444">
        <f t="shared" ref="J22:J32" si="10">J4*$J$17</f>
        <v>108.28024681023292</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36161.589382781465</v>
      </c>
    </row>
    <row r="23" spans="1:17">
      <c r="A23" s="443" t="s">
        <v>149</v>
      </c>
      <c r="B23" s="444">
        <f t="shared" ca="1" si="2"/>
        <v>4074.7605024165391</v>
      </c>
      <c r="C23" s="444">
        <f t="shared" ca="1" si="3"/>
        <v>0</v>
      </c>
      <c r="D23" s="444">
        <f t="shared" ca="1" si="4"/>
        <v>4507.3059700054328</v>
      </c>
      <c r="E23" s="444">
        <f t="shared" si="5"/>
        <v>12.111110827318855</v>
      </c>
      <c r="F23" s="444">
        <f t="shared" ca="1" si="6"/>
        <v>820.15075637267159</v>
      </c>
      <c r="G23" s="444">
        <f t="shared" si="7"/>
        <v>0</v>
      </c>
      <c r="H23" s="444">
        <f t="shared" si="8"/>
        <v>0</v>
      </c>
      <c r="I23" s="444">
        <f t="shared" si="9"/>
        <v>0</v>
      </c>
      <c r="J23" s="444">
        <f t="shared" si="10"/>
        <v>5.9864406234230181E-3</v>
      </c>
      <c r="K23" s="444">
        <f t="shared" si="11"/>
        <v>0</v>
      </c>
      <c r="L23" s="444">
        <f t="shared" ca="1" si="12"/>
        <v>0</v>
      </c>
      <c r="M23" s="444">
        <f t="shared" si="13"/>
        <v>0</v>
      </c>
      <c r="N23" s="444">
        <f t="shared" ca="1" si="14"/>
        <v>0</v>
      </c>
      <c r="O23" s="444">
        <f t="shared" si="15"/>
        <v>0</v>
      </c>
      <c r="P23" s="445">
        <f t="shared" si="16"/>
        <v>0</v>
      </c>
      <c r="Q23" s="443">
        <f t="shared" ref="Q23:Q31" ca="1" si="17">SUM(B23:P23)</f>
        <v>9414.3343260625843</v>
      </c>
    </row>
    <row r="24" spans="1:17">
      <c r="A24" s="443" t="s">
        <v>187</v>
      </c>
      <c r="B24" s="444">
        <f t="shared" ca="1" si="2"/>
        <v>293.66847812166259</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293.66847812166259</v>
      </c>
    </row>
    <row r="25" spans="1:17">
      <c r="A25" s="443" t="s">
        <v>105</v>
      </c>
      <c r="B25" s="444">
        <f t="shared" ca="1" si="2"/>
        <v>37.143814712163952</v>
      </c>
      <c r="C25" s="444">
        <f t="shared" ca="1" si="3"/>
        <v>0</v>
      </c>
      <c r="D25" s="444">
        <f t="shared" si="4"/>
        <v>16.660004944000001</v>
      </c>
      <c r="E25" s="444">
        <f t="shared" si="5"/>
        <v>1.7189174053963787</v>
      </c>
      <c r="F25" s="444">
        <f t="shared" si="6"/>
        <v>176.03927097759185</v>
      </c>
      <c r="G25" s="444">
        <f t="shared" si="7"/>
        <v>0</v>
      </c>
      <c r="H25" s="444">
        <f t="shared" si="8"/>
        <v>0</v>
      </c>
      <c r="I25" s="444">
        <f t="shared" si="9"/>
        <v>0</v>
      </c>
      <c r="J25" s="444">
        <f t="shared" si="10"/>
        <v>18.746770397368746</v>
      </c>
      <c r="K25" s="444">
        <f t="shared" si="11"/>
        <v>0</v>
      </c>
      <c r="L25" s="444">
        <f t="shared" si="12"/>
        <v>0</v>
      </c>
      <c r="M25" s="444">
        <f t="shared" si="13"/>
        <v>0</v>
      </c>
      <c r="N25" s="444">
        <f t="shared" si="14"/>
        <v>0</v>
      </c>
      <c r="O25" s="444">
        <f t="shared" si="15"/>
        <v>0</v>
      </c>
      <c r="P25" s="445">
        <f t="shared" si="16"/>
        <v>0</v>
      </c>
      <c r="Q25" s="443">
        <f t="shared" ca="1" si="17"/>
        <v>250.30877843652092</v>
      </c>
    </row>
    <row r="26" spans="1:17">
      <c r="A26" s="443" t="s">
        <v>587</v>
      </c>
      <c r="B26" s="444">
        <f t="shared" ca="1" si="2"/>
        <v>8344.1222482024114</v>
      </c>
      <c r="C26" s="444">
        <f t="shared" ca="1" si="3"/>
        <v>2.7327627627627624</v>
      </c>
      <c r="D26" s="444">
        <f t="shared" si="4"/>
        <v>25049.712719120464</v>
      </c>
      <c r="E26" s="444">
        <f t="shared" si="5"/>
        <v>35.71774100495162</v>
      </c>
      <c r="F26" s="444">
        <f t="shared" si="6"/>
        <v>898.32257976090762</v>
      </c>
      <c r="G26" s="444">
        <f t="shared" si="7"/>
        <v>0</v>
      </c>
      <c r="H26" s="444">
        <f t="shared" si="8"/>
        <v>0</v>
      </c>
      <c r="I26" s="444">
        <f t="shared" si="9"/>
        <v>0</v>
      </c>
      <c r="J26" s="444">
        <f t="shared" si="10"/>
        <v>5.1857101484079422</v>
      </c>
      <c r="K26" s="444">
        <f t="shared" si="11"/>
        <v>0</v>
      </c>
      <c r="L26" s="444">
        <f t="shared" si="12"/>
        <v>0</v>
      </c>
      <c r="M26" s="444">
        <f t="shared" si="13"/>
        <v>0</v>
      </c>
      <c r="N26" s="444">
        <f t="shared" si="14"/>
        <v>0</v>
      </c>
      <c r="O26" s="444">
        <f t="shared" si="15"/>
        <v>0</v>
      </c>
      <c r="P26" s="445">
        <f t="shared" si="16"/>
        <v>0</v>
      </c>
      <c r="Q26" s="443">
        <f t="shared" ca="1" si="17"/>
        <v>34335.793760999892</v>
      </c>
    </row>
    <row r="27" spans="1:17" s="449" customFormat="1">
      <c r="A27" s="447" t="s">
        <v>536</v>
      </c>
      <c r="B27" s="730">
        <f t="shared" ca="1" si="2"/>
        <v>57.290127355166867</v>
      </c>
      <c r="C27" s="448">
        <f t="shared" ca="1" si="3"/>
        <v>0</v>
      </c>
      <c r="D27" s="448">
        <f t="shared" si="4"/>
        <v>88.583763995145006</v>
      </c>
      <c r="E27" s="448">
        <f t="shared" si="5"/>
        <v>97.577562283842681</v>
      </c>
      <c r="F27" s="448">
        <f t="shared" si="6"/>
        <v>0</v>
      </c>
      <c r="G27" s="448">
        <f t="shared" si="7"/>
        <v>58893.762458337165</v>
      </c>
      <c r="H27" s="448">
        <f t="shared" si="8"/>
        <v>10790.801347587321</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69928.015259558641</v>
      </c>
    </row>
    <row r="28" spans="1:17" ht="16.5" customHeight="1">
      <c r="A28" s="443" t="s">
        <v>526</v>
      </c>
      <c r="B28" s="444">
        <f t="shared" ca="1" si="2"/>
        <v>6.1169006334018787</v>
      </c>
      <c r="C28" s="444">
        <f t="shared" ca="1" si="3"/>
        <v>0</v>
      </c>
      <c r="D28" s="444">
        <f t="shared" si="4"/>
        <v>0</v>
      </c>
      <c r="E28" s="444">
        <f t="shared" si="5"/>
        <v>0</v>
      </c>
      <c r="F28" s="444">
        <f t="shared" si="6"/>
        <v>0</v>
      </c>
      <c r="G28" s="444">
        <f t="shared" si="7"/>
        <v>593.77770319999672</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599.89460383339861</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153.80448596379566</v>
      </c>
      <c r="C32" s="444">
        <f t="shared" ca="1" si="3"/>
        <v>0</v>
      </c>
      <c r="D32" s="444">
        <f t="shared" si="4"/>
        <v>252.31694760000005</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406.12143356379568</v>
      </c>
    </row>
    <row r="33" spans="1:17" s="455" customFormat="1">
      <c r="A33" s="453" t="s">
        <v>530</v>
      </c>
      <c r="B33" s="454">
        <f ca="1">SUM(B22:B32)</f>
        <v>20215.020095029762</v>
      </c>
      <c r="C33" s="454">
        <f t="shared" ref="C33:Q33" ca="1" si="19">SUM(C22:C32)</f>
        <v>2.7327627627627624</v>
      </c>
      <c r="D33" s="454">
        <f t="shared" ca="1" si="19"/>
        <v>42054.687501664419</v>
      </c>
      <c r="E33" s="454">
        <f t="shared" si="19"/>
        <v>852.21654952603683</v>
      </c>
      <c r="F33" s="454">
        <f t="shared" ca="1" si="19"/>
        <v>17854.508891453879</v>
      </c>
      <c r="G33" s="454">
        <f t="shared" si="19"/>
        <v>59487.540161537159</v>
      </c>
      <c r="H33" s="454">
        <f t="shared" si="19"/>
        <v>10790.801347587321</v>
      </c>
      <c r="I33" s="454">
        <f t="shared" si="19"/>
        <v>0</v>
      </c>
      <c r="J33" s="454">
        <f t="shared" si="19"/>
        <v>132.21871379663304</v>
      </c>
      <c r="K33" s="454">
        <f t="shared" si="19"/>
        <v>0</v>
      </c>
      <c r="L33" s="454">
        <f t="shared" ca="1" si="19"/>
        <v>0</v>
      </c>
      <c r="M33" s="454">
        <f t="shared" si="19"/>
        <v>0</v>
      </c>
      <c r="N33" s="454">
        <f t="shared" ca="1" si="19"/>
        <v>0</v>
      </c>
      <c r="O33" s="454">
        <f t="shared" si="19"/>
        <v>0</v>
      </c>
      <c r="P33" s="454">
        <f t="shared" si="19"/>
        <v>0</v>
      </c>
      <c r="Q33" s="454">
        <f t="shared" ca="1" si="19"/>
        <v>151389.72602335794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9969.1522181110777</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8.5</v>
      </c>
      <c r="D8" s="979">
        <f>'SEAP template'!D76</f>
        <v>9.4444444444444429</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1.9077777777777776</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9969.1522181110777</v>
      </c>
      <c r="C10" s="981">
        <f>SUM(C4:C9)</f>
        <v>8.5</v>
      </c>
      <c r="D10" s="981">
        <f t="shared" ref="D10:H10" si="0">SUM(D8:D9)</f>
        <v>9.4444444444444429</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1.9077777777777776</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0.19928115238648178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12.175675675675675</v>
      </c>
      <c r="D17" s="980">
        <f>'SEAP template'!D87</f>
        <v>13.528528528528525</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2.7327627627627624</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12.175675675675675</v>
      </c>
      <c r="D20" s="981">
        <f t="shared" ref="D20:H20" si="2">SUM(D17:D19)</f>
        <v>13.528528528528525</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2.7327627627627624</v>
      </c>
    </row>
    <row r="21" spans="1:16">
      <c r="B21" s="840"/>
    </row>
    <row r="22" spans="1:16">
      <c r="A22" s="456" t="s">
        <v>754</v>
      </c>
      <c r="B22" s="736" t="s">
        <v>752</v>
      </c>
      <c r="C22" s="736">
        <f ca="1">'EF ele_warmte'!B22</f>
        <v>0.22444444444444442</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0.19928115238648178</v>
      </c>
      <c r="C17" s="492">
        <f ca="1">'EF ele_warmte'!B22</f>
        <v>0.22444444444444442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2022-07-26T10:26:12Z</dcterms:modified>
</cp:coreProperties>
</file>