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E7AAB25E-7752-4DF7-B118-4E810D4232A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<sst xmlns="http://schemas.openxmlformats.org/spreadsheetml/2006/main" count="2410" uniqueCount="886">
  <si>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</si>
  <si>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</si>
  <si>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</si>
  <si>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</si>
  <si>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</si>
  <si>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</si>
  <si>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</si>
  <si>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</si>
  <si>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</si>
  <si>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</si>
  <si>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</si>
  <si>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</si>
  <si>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</si>
  <si>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</si>
  <si>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</si>
  <si>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</si>
  <si>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</si>
  <si>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</si>
  <si>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</si>
  <si>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</si>
  <si>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</si>
  <si>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</si>
  <si>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</si>
  <si>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</si>
  <si>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</si>
  <si>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</si>
  <si>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</si>
  <si>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</si>
  <si>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</si>
  <si>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</si>
  <si>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</si>
  <si>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</si>
  <si>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</si>
  <si>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</si>
  <si>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</si>
  <si>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</si>
  <si>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</si>
  <si>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</si>
  <si>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</si>
  <si>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</si>
  <si>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</si>
  <si>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</si>
  <si>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</si>
  <si>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</si>
  <si>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</si>
  <si>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</si>
  <si>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</si>
  <si>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</si>
  <si>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</si>
  <si>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</si>
  <si>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</si>
  <si>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</si>
  <si>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</si>
  <si>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</si>
  <si>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</si>
  <si>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</si>
  <si>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</si>
  <si>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</si>
  <si>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</si>
  <si>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</si>
  <si>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</si>
  <si>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</si>
  <si>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</si>
  <si>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</si>
  <si>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</si>
  <si>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</si>
  <si>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</si>
  <si>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</si>
  <si>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</si>
  <si>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</si>
  <si>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</si>
  <si>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</si>
  <si>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</si>
  <si>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</si>
  <si>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</si>
  <si>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</si>
  <si>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</si>
  <si>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</si>
  <si>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</si>
  <si>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</si>
  <si>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</si>
  <si>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</si>
  <si>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</si>
  <si>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</si>
  <si>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</si>
  <si>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</si>
  <si>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</si>
  <si>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</si>
  <si>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</si>
  <si>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</si>
  <si>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</si>
  <si>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</si>
  <si>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</si>
  <si>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</si>
  <si>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</si>
  <si>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</si>
  <si>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</si>
  <si>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</si>
  <si>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</si>
  <si>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</si>
  <si>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</si>
  <si>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</si>
  <si>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</si>
  <si>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</si>
  <si>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</si>
  <si>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</si>
  <si>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</si>
  <si>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</si>
  <si>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</si>
  <si>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</si>
  <si>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</si>
  <si>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</si>
  <si>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</si>
  <si>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</si>
  <si>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</si>
  <si>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</si>
  <si>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</si>
  <si>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</si>
  <si>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</si>
  <si>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</si>
  <si>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</si>
  <si>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</si>
  <si>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</si>
  <si>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</si>
  <si>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</si>
  <si>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</si>
  <si>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</si>
  <si>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</si>
  <si>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</si>
  <si>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</si>
  <si>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</si>
  <si>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</si>
  <si>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</si>
  <si>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</si>
  <si>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</si>
  <si>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</si>
  <si>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</si>
  <si>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</si>
  <si>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</si>
  <si>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</si>
  <si>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</si>
  <si>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</si>
  <si>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</si>
  <si>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</si>
  <si>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</si>
  <si>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</si>
  <si>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</si>
  <si>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</si>
  <si>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</si>
  <si>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</si>
  <si>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</si>
  <si>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</si>
  <si>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</si>
  <si>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</si>
  <si>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</si>
  <si>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</si>
  <si>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</si>
  <si>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</si>
  <si>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</si>
  <si>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</si>
  <si>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</si>
  <si>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</si>
  <si>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</si>
  <si>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</si>
  <si>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</si>
  <si>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</si>
  <si>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</si>
  <si>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</si>
  <si>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</si>
  <si>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</si>
  <si>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</si>
  <si>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</si>
  <si>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</si>
  <si>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</si>
  <si>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</si>
  <si>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</si>
  <si>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</si>
  <si>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</si>
  <si>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</si>
  <si>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</si>
  <si>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</si>
  <si>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</si>
  <si>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</si>
  <si>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</si>
  <si>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</si>
  <si>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</si>
  <si>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</si>
  <si>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</si>
  <si>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</si>
  <si>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</si>
  <si>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</si>
  <si>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</si>
  <si>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</si>
  <si>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</si>
  <si>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</si>
  <si>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</si>
  <si>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</si>
  <si>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</si>
  <si>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</si>
  <si>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</si>
  <si>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</si>
  <si>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</si>
  <si>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</si>
  <si>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</si>
  <si>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</si>
  <si>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</si>
  <si>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</si>
  <si>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</si>
  <si>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</si>
  <si>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</si>
  <si>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</si>
  <si>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</si>
  <si>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</si>
  <si>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</si>
  <si>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</si>
  <si>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</si>
  <si>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</si>
  <si>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</si>
  <si>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</si>
  <si>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</si>
  <si>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</si>
  <si>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</si>
  <si>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</si>
  <si>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</si>
  <si>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</si>
  <si>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</si>
  <si>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</si>
  <si>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</si>
  <si>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</si>
  <si>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</si>
  <si>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</si>
  <si>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</si>
  <si>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</si>
  <si>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</si>
  <si>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</si>
  <si>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</si>
  <si>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</si>
  <si>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</si>
  <si>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</si>
  <si>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</si>
  <si>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</si>
  <si>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</si>
  <si>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</si>
  <si>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</si>
  <si>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</si>
  <si>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</si>
  <si>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</si>
  <si>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</si>
  <si>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</si>
  <si>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</si>
  <si>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</si>
  <si>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</si>
  <si>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</si>
  <si>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</si>
  <si>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</si>
  <si>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</si>
  <si>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</si>
  <si>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</si>
  <si>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</si>
  <si>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</si>
  <si>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</si>
  <si>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</si>
  <si>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</si>
  <si>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</si>
  <si>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</si>
  <si>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</si>
  <si>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</si>
  <si>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</si>
  <si>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</si>
  <si>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</si>
  <si>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</si>
  <si>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</si>
  <si>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</si>
  <si>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</si>
  <si>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</si>
  <si>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</si>
  <si>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</si>
  <si>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</si>
  <si>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</si>
  <si>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</si>
  <si>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</si>
  <si>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</si>
  <si>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</si>
  <si>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</si>
  <si>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</si>
  <si>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</si>
  <si>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</si>
  <si>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</si>
  <si>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</si>
  <si>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</si>
  <si>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</si>
  <si>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</si>
  <si>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</si>
  <si>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</si>
  <si>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</si>
  <si>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</si>
  <si>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</si>
  <si>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</si>
  <si>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</si>
  <si>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</si>
  <si>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</si>
  <si>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</si>
  <si>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</si>
  <si>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</si>
  <si>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</si>
  <si>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</si>
  <si>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</si>
  <si>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</si>
  <si>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</si>
  <si>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</si>
  <si>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</si>
  <si>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</si>
  <si>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</si>
  <si>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</si>
  <si>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</si>
  <si>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</si>
  <si>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</si>
  <si>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</si>
  <si>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</si>
  <si>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</si>
  <si>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</si>
  <si>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</si>
  <si>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</si>
  <si>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</si>
  <si>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</si>
  <si>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</si>
  <si>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</si>
  <si>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</si>
  <si>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</si>
  <si>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</si>
  <si>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</si>
  <si>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</si>
  <si>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</si>
  <si>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</si>
  <si>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</si>
  <si>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</si>
  <si>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</si>
  <si>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</si>
  <si>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</si>
  <si>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</si>
  <si>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</si>
  <si>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</si>
  <si>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</si>
  <si>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</si>
  <si>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</si>
  <si>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</si>
  <si>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</si>
  <si>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</si>
  <si>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</si>
  <si>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</si>
  <si>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</si>
  <si>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</si>
  <si>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</si>
  <si>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</si>
  <si>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</si>
  <si>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</si>
  <si>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</si>
  <si>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</si>
  <si>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</si>
  <si>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</si>
  <si>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</si>
  <si>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</si>
  <si>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</si>
  <si>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</si>
  <si>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</si>
  <si>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</si>
  <si>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</si>
  <si>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</si>
  <si>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</si>
  <si>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</si>
  <si>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</si>
  <si>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</si>
  <si>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</si>
  <si>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</si>
  <si>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</si>
  <si>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</si>
  <si>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</si>
  <si>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</si>
  <si>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</si>
  <si>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</si>
  <si>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</si>
  <si>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</si>
  <si>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</si>
  <si>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</si>
  <si>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</si>
  <si>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</si>
  <si>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</si>
  <si>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</si>
  <si>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</si>
  <si>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</si>
  <si>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</si>
  <si>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</si>
  <si>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</si>
  <si>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</si>
  <si>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</si>
  <si>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</si>
  <si>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</si>
  <si>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</si>
  <si>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</si>
  <si>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</si>
  <si>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</si>
  <si>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</si>
  <si>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</si>
  <si>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</si>
  <si>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</si>
  <si>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</si>
  <si>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</si>
  <si>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</si>
  <si>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</si>
  <si>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</si>
  <si>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</si>
  <si>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</si>
  <si>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</si>
  <si>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</si>
  <si>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</si>
  <si>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</si>
  <si>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</si>
  <si>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</si>
  <si>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</si>
  <si>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</si>
  <si>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</si>
  <si>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</si>
  <si>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</si>
  <si>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</si>
  <si>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</si>
  <si>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</si>
  <si>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</si>
  <si>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</si>
  <si>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</si>
  <si>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</si>
  <si>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</si>
  <si>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</si>
  <si>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</si>
  <si>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</si>
  <si>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</si>
  <si>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</si>
  <si>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</si>
  <si>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</si>
  <si>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</si>
  <si>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</si>
  <si>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</si>
  <si>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</si>
  <si>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</si>
  <si>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</si>
  <si>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</si>
  <si>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</si>
  <si>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</si>
  <si>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</si>
  <si>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</si>
  <si>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</si>
  <si>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</si>
  <si>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</si>
  <si>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</si>
  <si>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</si>
  <si>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</si>
  <si>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</si>
  <si>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</si>
  <si>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</si>
  <si>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</si>
  <si>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</si>
  <si>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</si>
  <si>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</si>
  <si>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</si>
  <si>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</si>
  <si>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</si>
  <si>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</si>
  <si>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</si>
  <si>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</si>
  <si>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</si>
  <si>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</si>
  <si>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</si>
  <si>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</si>
  <si>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</si>
  <si>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</si>
  <si>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</si>
  <si>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</si>
  <si>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</si>
  <si>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</si>
  <si>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</si>
  <si>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</si>
  <si>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</si>
  <si>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</si>
  <si>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</si>
  <si>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</si>
  <si>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</si>
  <si>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</si>
  <si>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</si>
  <si>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</si>
  <si>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</si>
  <si>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</si>
  <si>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</si>
  <si>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</si>
  <si>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</si>
  <si>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</si>
  <si>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</si>
  <si>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</si>
  <si>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</si>
  <si>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</si>
  <si>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</si>
  <si>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</si>
  <si>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</si>
  <si>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</si>
  <si>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</si>
  <si>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</si>
  <si>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</si>
  <si>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</si>
  <si>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</si>
  <si>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</si>
  <si>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</si>
  <si>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</si>
  <si>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</si>
  <si>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</si>
  <si>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</si>
  <si>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</si>
  <si>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</si>
  <si>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</si>
  <si>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</si>
  <si>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</si>
  <si>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</si>
  <si>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</si>
  <si>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</si>
  <si>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</si>
  <si>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</si>
  <si>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</si>
  <si>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</si>
  <si>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</si>
  <si>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</si>
  <si>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</si>
  <si>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</si>
  <si>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</si>
  <si>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</si>
  <si>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</si>
  <si>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</si>
  <si>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</si>
  <si>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</si>
  <si>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</si>
  <si>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</si>
  <si>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</si>
  <si>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</si>
  <si>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</si>
  <si>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</si>
  <si>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</si>
  <si>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</si>
  <si>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</si>
  <si>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</si>
  <si>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</si>
  <si>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</si>
  <si>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</si>
  <si>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</si>
  <si>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</si>
  <si>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</si>
  <si>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</si>
  <si>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</si>
  <si>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</si>
  <si>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</si>
  <si>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</si>
  <si>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</si>
  <si>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</si>
  <si>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</si>
  <si>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</si>
  <si>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</si>
  <si>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</si>
  <si>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</si>
  <si>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</si>
  <si>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</si>
  <si>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</si>
  <si>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</si>
  <si>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</si>
  <si>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</si>
  <si>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</si>
  <si>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</si>
  <si>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</si>
  <si>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</si>
  <si>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</si>
  <si>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</si>
  <si>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</si>
  <si>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</si>
  <si>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</si>
  <si>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</si>
  <si>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</si>
  <si>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</si>
  <si>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</si>
  <si>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</si>
  <si>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</si>
  <si>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</si>
  <si>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</si>
  <si>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</si>
  <si>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</si>
  <si>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</si>
  <si>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</si>
  <si>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</si>
  <si>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</si>
  <si>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</si>
  <si>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</si>
  <si>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</si>
  <si>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</si>
  <si>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</si>
  <si>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</si>
  <si>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</si>
  <si>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</si>
  <si>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</si>
  <si>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</si>
  <si>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</si>
  <si>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</si>
  <si>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</si>
  <si>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</si>
  <si>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</si>
  <si>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</si>
  <si>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</si>
  <si>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</si>
  <si>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</si>
  <si>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</si>
  <si>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</si>
  <si>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</si>
  <si>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</si>
  <si>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</si>
  <si>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</si>
  <si>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</si>
  <si>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</si>
  <si>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</si>
  <si>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</si>
  <si>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</si>
  <si>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</si>
  <si>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</si>
  <si>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</si>
  <si>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</si>
  <si>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</si>
  <si>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</si>
  <si>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</si>
  <si>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</si>
  <si>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</si>
  <si>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</si>
  <si>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</si>
  <si>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</si>
  <si>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</si>
  <si>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</si>
  <si>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</si>
  <si>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</si>
  <si>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</si>
  <si>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</si>
  <si>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</si>
  <si>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</si>
  <si>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</si>
  <si>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</si>
  <si>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</si>
  <si>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</si>
  <si>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</si>
  <si>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</si>
  <si>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</si>
  <si>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</si>
  <si>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</si>
  <si>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</si>
  <si>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</si>
  <si>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</si>
  <si>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</si>
  <si>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</si>
  <si>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</si>
  <si>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</si>
  <si>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</si>
  <si>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</si>
  <si>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</si>
  <si>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</si>
  <si>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</si>
  <si>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</si>
  <si>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</si>
  <si>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</si>
  <si>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</si>
  <si>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</si>
  <si>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</si>
  <si>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</si>
  <si>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</si>
  <si>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</si>
  <si>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</si>
  <si>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</si>
  <si>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</si>
  <si>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</si>
  <si>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</si>
  <si>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</si>
  <si>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</si>
  <si>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</si>
  <si>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</si>
  <si>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</si>
  <si>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</si>
  <si>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</si>
  <si>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</si>
  <si>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</si>
  <si>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</si>
  <si>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</si>
  <si>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</si>
  <si>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</si>
  <si>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</si>
  <si>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</si>
  <si>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</si>
  <si>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</si>
  <si>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</si>
  <si>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</si>
  <si>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</si>
  <si>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</si>
  <si>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</si>
  <si>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</si>
  <si>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</si>
  <si>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</si>
  <si>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</si>
  <si>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</si>
  <si>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</si>
  <si>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</si>
  <si>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</si>
  <si>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</si>
  <si>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</si>
  <si>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</si>
  <si>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</si>
  <si>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</si>
  <si>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</si>
  <si>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</si>
  <si>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</si>
  <si>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</si>
  <si>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</si>
  <si>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</si>
  <si>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</si>
  <si>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</si>
  <si>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</si>
  <si>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</si>
  <si>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</si>
  <si>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</si>
  <si>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</si>
  <si>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</si>
  <si>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</si>
  <si>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</si>
  <si>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</si>
  <si>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</si>
  <si>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</si>
  <si>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</si>
  <si>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</si>
  <si>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</si>
  <si>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</si>
  <si>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</si>
  <si>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</si>
  <si>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</si>
  <si>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</si>
  <si>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</si>
  <si>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</si>
  <si>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</si>
  <si>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</si>
  <si>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</si>
  <si>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</si>
  <si>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</si>
  <si>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</si>
  <si>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</si>
  <si>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</si>
  <si>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</si>
  <si>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</si>
  <si>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</si>
  <si>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</si>
  <si>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</si>
  <si>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</si>
  <si>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</si>
  <si>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</si>
  <si>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</si>
  <si>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</si>
  <si>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</si>
  <si>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</si>
  <si>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</si>
  <si>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</si>
  <si>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</si>
  <si>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</si>
  <si>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</si>
  <si>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</si>
  <si>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</si>
  <si>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</si>
  <si>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</si>
  <si>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</si>
  <si>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</si>
  <si>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</si>
  <si>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</si>
  <si>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</si>
  <si>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</si>
  <si>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</si>
  <si>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</si>
  <si>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</si>
  <si>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</si>
  <si>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</si>
  <si>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</si>
  <si>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</si>
  <si>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</si>
  <si>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</si>
  <si>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</si>
  <si>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</si>
  <si>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</si>
  <si>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</si>
  <si>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</si>
  <si>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</si>
  <si>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</si>
  <si>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</si>
  <si>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</si>
  <si>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</si>
  <si>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</si>
  <si>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</si>
  <si>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</si>
  <si>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</si>
  <si>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</si>
  <si>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</si>
  <si>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</si>
  <si>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</si>
  <si>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</si>
  <si>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</si>
  <si>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</si>
  <si>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</si>
  <si>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</si>
  <si>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</si>
  <si>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</si>
  <si>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</si>
  <si>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</si>
  <si>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</si>
  <si>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</si>
  <si>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</si>
  <si>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</si>
  <si>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</si>
  <si>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</si>
  <si>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</si>
  <si>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</si>
  <si>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</si>
  <si>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</si>
  <si>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</si>
  <si>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</si>
  <si>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</si>
  <si>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</si>
  <si>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</si>
  <si>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</si>
  <si>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</si>
  <si>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</si>
  <si>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</si>
  <si>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</si>
  <si>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</si>
  <si>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</si>
  <si>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</si>
  <si>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</si>
  <si>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</si>
  <si>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</si>
  <si>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</si>
  <si>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</si>
  <si>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</si>
  <si>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</si>
  <si>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</si>
  <si>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</si>
  <si>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</si>
  <si>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</si>
  <si>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</si>
  <si>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</si>
  <si>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</si>
  <si>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</si>
  <si>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</si>
  <si>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</si>
  <si>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</si>
  <si>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</si>
  <si>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</si>
  <si>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</si>
  <si>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</si>
  <si>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</si>
  <si>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</si>
  <si>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</si>
  <si>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</si>
  <si>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</si>
  <si>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</si>
  <si>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</si>
  <si>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</si>
  <si>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</si>
  <si>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</si>
  <si>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</si>
  <si>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</si>
  <si>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</si>
  <si>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</si>
  <si>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</si>
  <si>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</si>
  <si>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</si>
  <si>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</si>
  <si>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</si>
  <si>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</si>
  <si>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</si>
  <si>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</si>
  <si>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</si>
  <si>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71057</t>
  </si>
  <si>
    <t>TESSENDERLO</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</si>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</sst>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0C74E765-57D1-4B9D-86F9-B5C2DDB2579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150228.153348099</c:v>
                </c:pt>
                <c:pt idx="1">
                  <c:v>59934.593844381183</c:v>
                </c:pt>
                <c:pt idx="2">
                  <c:v>1406.2149999999999</c:v>
                </c:pt>
                <c:pt idx="3">
                  <c:v>2843.689547126558</c:v>
                </c:pt>
                <c:pt idx="4">
                  <c:v>195717.2666529952</c:v>
                </c:pt>
                <c:pt idx="5">
                  <c:v>145241.17585588057</c:v>
                </c:pt>
                <c:pt idx="6">
                  <c:v>1886.8455399445932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150228.153348099</c:v>
                </c:pt>
                <c:pt idx="1">
                  <c:v>59934.593844381183</c:v>
                </c:pt>
                <c:pt idx="2">
                  <c:v>1406.2149999999999</c:v>
                </c:pt>
                <c:pt idx="3">
                  <c:v>2843.689547126558</c:v>
                </c:pt>
                <c:pt idx="4">
                  <c:v>195717.2666529952</c:v>
                </c:pt>
                <c:pt idx="5">
                  <c:v>145241.17585588057</c:v>
                </c:pt>
                <c:pt idx="6">
                  <c:v>1886.8455399445932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29599.65332187352</c:v>
                </c:pt>
                <c:pt idx="1">
                  <c:v>10724.62502533843</c:v>
                </c:pt>
                <c:pt idx="2">
                  <c:v>218.62662388538274</c:v>
                </c:pt>
                <c:pt idx="3">
                  <c:v>688.59882323519992</c:v>
                </c:pt>
                <c:pt idx="4">
                  <c:v>25294.408906786866</c:v>
                </c:pt>
                <c:pt idx="5">
                  <c:v>36120.839704111953</c:v>
                </c:pt>
                <c:pt idx="6">
                  <c:v>474.45174335331967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29599.65332187352</c:v>
                </c:pt>
                <c:pt idx="1">
                  <c:v>10724.62502533843</c:v>
                </c:pt>
                <c:pt idx="2">
                  <c:v>218.62662388538274</c:v>
                </c:pt>
                <c:pt idx="3">
                  <c:v>688.59882323519992</c:v>
                </c:pt>
                <c:pt idx="4">
                  <c:v>25294.408906786866</c:v>
                </c:pt>
                <c:pt idx="5">
                  <c:v>36120.839704111953</c:v>
                </c:pt>
                <c:pt idx="6">
                  <c:v>474.45174335331967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71057</v>
      </c>
      <c r="B6" s="382"/>
      <c r="C6" s="383"/>
    </row>
    <row r="7" spans="1:7" s="380" customFormat="1" ht="15.75" customHeight="1">
      <c r="A7" s="384" t="str">
        <f>txtMunicipality</f>
        <v>TESSENDERLO</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0.15547169094724686</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0.15547169094724686</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7808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1524.07</v>
      </c>
      <c r="C14" s="324"/>
      <c r="D14" s="324"/>
      <c r="E14" s="324"/>
      <c r="F14" s="324"/>
    </row>
    <row r="15" spans="1:6">
      <c r="A15" s="1257" t="s">
        <v>177</v>
      </c>
      <c r="B15" s="1258">
        <v>17</v>
      </c>
      <c r="C15" s="324"/>
      <c r="D15" s="324"/>
      <c r="E15" s="324"/>
      <c r="F15" s="324"/>
    </row>
    <row r="16" spans="1:6">
      <c r="A16" s="1257" t="s">
        <v>6</v>
      </c>
      <c r="B16" s="1258">
        <v>644</v>
      </c>
      <c r="C16" s="324"/>
      <c r="D16" s="324"/>
      <c r="E16" s="324"/>
      <c r="F16" s="324"/>
    </row>
    <row r="17" spans="1:6">
      <c r="A17" s="1257" t="s">
        <v>7</v>
      </c>
      <c r="B17" s="1258">
        <v>189</v>
      </c>
      <c r="C17" s="324"/>
      <c r="D17" s="324"/>
      <c r="E17" s="324"/>
      <c r="F17" s="324"/>
    </row>
    <row r="18" spans="1:6">
      <c r="A18" s="1257" t="s">
        <v>8</v>
      </c>
      <c r="B18" s="1258">
        <v>523</v>
      </c>
      <c r="C18" s="324"/>
      <c r="D18" s="324"/>
      <c r="E18" s="324"/>
      <c r="F18" s="324"/>
    </row>
    <row r="19" spans="1:6">
      <c r="A19" s="1257" t="s">
        <v>9</v>
      </c>
      <c r="B19" s="1258">
        <v>393</v>
      </c>
      <c r="C19" s="324"/>
      <c r="D19" s="324"/>
      <c r="E19" s="324"/>
      <c r="F19" s="324"/>
    </row>
    <row r="20" spans="1:6">
      <c r="A20" s="1257" t="s">
        <v>10</v>
      </c>
      <c r="B20" s="1258">
        <v>310</v>
      </c>
      <c r="C20" s="324"/>
      <c r="D20" s="324"/>
      <c r="E20" s="324"/>
      <c r="F20" s="324"/>
    </row>
    <row r="21" spans="1:6">
      <c r="A21" s="1257" t="s">
        <v>11</v>
      </c>
      <c r="B21" s="1258">
        <v>0</v>
      </c>
      <c r="C21" s="324"/>
      <c r="D21" s="324"/>
      <c r="E21" s="324"/>
      <c r="F21" s="324"/>
    </row>
    <row r="22" spans="1:6">
      <c r="A22" s="1257" t="s">
        <v>12</v>
      </c>
      <c r="B22" s="1258">
        <v>809</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84</v>
      </c>
      <c r="C26" s="324"/>
      <c r="D26" s="324"/>
      <c r="E26" s="324"/>
      <c r="F26" s="324"/>
    </row>
    <row r="27" spans="1:6">
      <c r="A27" s="1257" t="s">
        <v>17</v>
      </c>
      <c r="B27" s="1258">
        <v>2</v>
      </c>
      <c r="C27" s="324"/>
      <c r="D27" s="324"/>
      <c r="E27" s="324"/>
      <c r="F27" s="324"/>
    </row>
    <row r="28" spans="1:6">
      <c r="A28" s="1257" t="s">
        <v>18</v>
      </c>
      <c r="B28" s="1259">
        <v>15269</v>
      </c>
      <c r="C28" s="324"/>
      <c r="D28" s="324"/>
      <c r="E28" s="324"/>
      <c r="F28" s="324"/>
    </row>
    <row r="29" spans="1:6">
      <c r="A29" s="1257" t="s">
        <v>664</v>
      </c>
      <c r="B29" s="1259">
        <v>118</v>
      </c>
      <c r="C29" s="324"/>
      <c r="D29" s="324"/>
      <c r="E29" s="324"/>
      <c r="F29" s="324"/>
    </row>
    <row r="30" spans="1:6">
      <c r="A30" s="1252" t="s">
        <v>665</v>
      </c>
      <c r="B30" s="1260">
        <v>29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4</v>
      </c>
      <c r="F36" s="1258">
        <v>288720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10871</v>
      </c>
    </row>
    <row r="39" spans="1:6">
      <c r="A39" s="1257" t="s">
        <v>29</v>
      </c>
      <c r="B39" s="1257" t="s">
        <v>30</v>
      </c>
      <c r="C39" s="1258">
        <v>4100</v>
      </c>
      <c r="D39" s="1258">
        <v>56554146.600000001</v>
      </c>
      <c r="E39" s="1258">
        <v>7964</v>
      </c>
      <c r="F39" s="1258">
        <v>26089050.399999999</v>
      </c>
    </row>
    <row r="40" spans="1:6">
      <c r="A40" s="1257" t="s">
        <v>29</v>
      </c>
      <c r="B40" s="1257" t="s">
        <v>28</v>
      </c>
      <c r="C40" s="1258">
        <v>0</v>
      </c>
      <c r="D40" s="1258">
        <v>0</v>
      </c>
      <c r="E40" s="1258">
        <v>0</v>
      </c>
      <c r="F40" s="1258">
        <v>0</v>
      </c>
    </row>
    <row r="41" spans="1:6">
      <c r="A41" s="1257" t="s">
        <v>31</v>
      </c>
      <c r="B41" s="1257" t="s">
        <v>32</v>
      </c>
      <c r="C41" s="1258">
        <v>63</v>
      </c>
      <c r="D41" s="1258">
        <v>1582367.2</v>
      </c>
      <c r="E41" s="1258">
        <v>144</v>
      </c>
      <c r="F41" s="1258">
        <v>2415300.65</v>
      </c>
    </row>
    <row r="42" spans="1:6">
      <c r="A42" s="1257" t="s">
        <v>31</v>
      </c>
      <c r="B42" s="1257" t="s">
        <v>33</v>
      </c>
      <c r="C42" s="1258">
        <v>0</v>
      </c>
      <c r="D42" s="1258">
        <v>0</v>
      </c>
      <c r="E42" s="1258">
        <v>6</v>
      </c>
      <c r="F42" s="1258">
        <v>9349669.1429999992</v>
      </c>
    </row>
    <row r="43" spans="1:6">
      <c r="A43" s="1257" t="s">
        <v>31</v>
      </c>
      <c r="B43" s="1257" t="s">
        <v>34</v>
      </c>
      <c r="C43" s="1258">
        <v>0</v>
      </c>
      <c r="D43" s="1258">
        <v>0</v>
      </c>
      <c r="E43" s="1258">
        <v>0</v>
      </c>
      <c r="F43" s="1258">
        <v>0</v>
      </c>
    </row>
    <row r="44" spans="1:6">
      <c r="A44" s="1257" t="s">
        <v>31</v>
      </c>
      <c r="B44" s="1257" t="s">
        <v>35</v>
      </c>
      <c r="C44" s="1258">
        <v>10</v>
      </c>
      <c r="D44" s="1258">
        <v>1924827.125</v>
      </c>
      <c r="E44" s="1258">
        <v>34</v>
      </c>
      <c r="F44" s="1258">
        <v>23987875.171999998</v>
      </c>
    </row>
    <row r="45" spans="1:6">
      <c r="A45" s="1257" t="s">
        <v>31</v>
      </c>
      <c r="B45" s="1257" t="s">
        <v>36</v>
      </c>
      <c r="C45" s="1258">
        <v>5</v>
      </c>
      <c r="D45" s="1258">
        <v>7474506.8289999999</v>
      </c>
      <c r="E45" s="1258">
        <v>11</v>
      </c>
      <c r="F45" s="1258">
        <v>80136590</v>
      </c>
    </row>
    <row r="46" spans="1:6">
      <c r="A46" s="1257" t="s">
        <v>31</v>
      </c>
      <c r="B46" s="1257" t="s">
        <v>37</v>
      </c>
      <c r="C46" s="1258">
        <v>0</v>
      </c>
      <c r="D46" s="1258">
        <v>0</v>
      </c>
      <c r="E46" s="1258">
        <v>0</v>
      </c>
      <c r="F46" s="1258">
        <v>0</v>
      </c>
    </row>
    <row r="47" spans="1:6">
      <c r="A47" s="1257" t="s">
        <v>31</v>
      </c>
      <c r="B47" s="1257" t="s">
        <v>38</v>
      </c>
      <c r="C47" s="1258">
        <v>7</v>
      </c>
      <c r="D47" s="1258">
        <v>154561</v>
      </c>
      <c r="E47" s="1258">
        <v>10</v>
      </c>
      <c r="F47" s="1258">
        <v>179517</v>
      </c>
    </row>
    <row r="48" spans="1:6">
      <c r="A48" s="1257" t="s">
        <v>31</v>
      </c>
      <c r="B48" s="1257" t="s">
        <v>28</v>
      </c>
      <c r="C48" s="1258">
        <v>1</v>
      </c>
      <c r="D48" s="1258">
        <v>4038527.4569999999</v>
      </c>
      <c r="E48" s="1258">
        <v>1</v>
      </c>
      <c r="F48" s="1258">
        <v>186271</v>
      </c>
    </row>
    <row r="49" spans="1:6">
      <c r="A49" s="1257" t="s">
        <v>31</v>
      </c>
      <c r="B49" s="1257" t="s">
        <v>39</v>
      </c>
      <c r="C49" s="1258">
        <v>4</v>
      </c>
      <c r="D49" s="1258">
        <v>434950.929</v>
      </c>
      <c r="E49" s="1258">
        <v>3</v>
      </c>
      <c r="F49" s="1258">
        <v>402386</v>
      </c>
    </row>
    <row r="50" spans="1:6">
      <c r="A50" s="1257" t="s">
        <v>31</v>
      </c>
      <c r="B50" s="1257" t="s">
        <v>40</v>
      </c>
      <c r="C50" s="1258">
        <v>8</v>
      </c>
      <c r="D50" s="1258">
        <v>457706.8</v>
      </c>
      <c r="E50" s="1258">
        <v>16</v>
      </c>
      <c r="F50" s="1258">
        <v>479222.55</v>
      </c>
    </row>
    <row r="51" spans="1:6">
      <c r="A51" s="1257" t="s">
        <v>41</v>
      </c>
      <c r="B51" s="1257" t="s">
        <v>42</v>
      </c>
      <c r="C51" s="1258">
        <v>5</v>
      </c>
      <c r="D51" s="1258">
        <v>448644</v>
      </c>
      <c r="E51" s="1258">
        <v>28</v>
      </c>
      <c r="F51" s="1258">
        <v>501638</v>
      </c>
    </row>
    <row r="52" spans="1:6">
      <c r="A52" s="1257" t="s">
        <v>41</v>
      </c>
      <c r="B52" s="1257" t="s">
        <v>28</v>
      </c>
      <c r="C52" s="1258">
        <v>0</v>
      </c>
      <c r="D52" s="1258">
        <v>0</v>
      </c>
      <c r="E52" s="1258">
        <v>0</v>
      </c>
      <c r="F52" s="1258">
        <v>0</v>
      </c>
    </row>
    <row r="53" spans="1:6">
      <c r="A53" s="1257" t="s">
        <v>43</v>
      </c>
      <c r="B53" s="1257" t="s">
        <v>44</v>
      </c>
      <c r="C53" s="1258">
        <v>65</v>
      </c>
      <c r="D53" s="1258">
        <v>2434271.2000000002</v>
      </c>
      <c r="E53" s="1258">
        <v>209</v>
      </c>
      <c r="F53" s="1258">
        <v>880852.46400000004</v>
      </c>
    </row>
    <row r="54" spans="1:6">
      <c r="A54" s="1257" t="s">
        <v>45</v>
      </c>
      <c r="B54" s="1257" t="s">
        <v>46</v>
      </c>
      <c r="C54" s="1258">
        <v>0</v>
      </c>
      <c r="D54" s="1258">
        <v>0</v>
      </c>
      <c r="E54" s="1258">
        <v>3</v>
      </c>
      <c r="F54" s="1258">
        <v>1406215</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60</v>
      </c>
      <c r="D57" s="1258">
        <v>4646273</v>
      </c>
      <c r="E57" s="1258">
        <v>180</v>
      </c>
      <c r="F57" s="1258">
        <v>4685802.1500000004</v>
      </c>
    </row>
    <row r="58" spans="1:6">
      <c r="A58" s="1257" t="s">
        <v>48</v>
      </c>
      <c r="B58" s="1257" t="s">
        <v>50</v>
      </c>
      <c r="C58" s="1258">
        <v>41</v>
      </c>
      <c r="D58" s="1258">
        <v>1657575.8</v>
      </c>
      <c r="E58" s="1258">
        <v>60</v>
      </c>
      <c r="F58" s="1258">
        <v>1047636.55</v>
      </c>
    </row>
    <row r="59" spans="1:6">
      <c r="A59" s="1257" t="s">
        <v>48</v>
      </c>
      <c r="B59" s="1257" t="s">
        <v>51</v>
      </c>
      <c r="C59" s="1258">
        <v>112</v>
      </c>
      <c r="D59" s="1258">
        <v>4681251.5999999996</v>
      </c>
      <c r="E59" s="1258">
        <v>257</v>
      </c>
      <c r="F59" s="1258">
        <v>10863176.027000001</v>
      </c>
    </row>
    <row r="60" spans="1:6">
      <c r="A60" s="1257" t="s">
        <v>48</v>
      </c>
      <c r="B60" s="1257" t="s">
        <v>52</v>
      </c>
      <c r="C60" s="1258">
        <v>59</v>
      </c>
      <c r="D60" s="1258">
        <v>4167792.5430000001</v>
      </c>
      <c r="E60" s="1258">
        <v>101</v>
      </c>
      <c r="F60" s="1258">
        <v>2747172</v>
      </c>
    </row>
    <row r="61" spans="1:6">
      <c r="A61" s="1257" t="s">
        <v>48</v>
      </c>
      <c r="B61" s="1257" t="s">
        <v>53</v>
      </c>
      <c r="C61" s="1258">
        <v>124</v>
      </c>
      <c r="D61" s="1258">
        <v>7350970.1430000002</v>
      </c>
      <c r="E61" s="1258">
        <v>292</v>
      </c>
      <c r="F61" s="1258">
        <v>10908335.794</v>
      </c>
    </row>
    <row r="62" spans="1:6">
      <c r="A62" s="1257" t="s">
        <v>48</v>
      </c>
      <c r="B62" s="1257" t="s">
        <v>54</v>
      </c>
      <c r="C62" s="1258">
        <v>10</v>
      </c>
      <c r="D62" s="1258">
        <v>1012828</v>
      </c>
      <c r="E62" s="1258">
        <v>13</v>
      </c>
      <c r="F62" s="1258">
        <v>442762.68599999999</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1</v>
      </c>
      <c r="D65" s="1258">
        <v>40356</v>
      </c>
      <c r="E65" s="1258">
        <v>0</v>
      </c>
      <c r="F65" s="1258">
        <v>0</v>
      </c>
    </row>
    <row r="66" spans="1:6">
      <c r="A66" s="1257" t="s">
        <v>55</v>
      </c>
      <c r="B66" s="1257" t="s">
        <v>57</v>
      </c>
      <c r="C66" s="1258">
        <v>0</v>
      </c>
      <c r="D66" s="1258">
        <v>0</v>
      </c>
      <c r="E66" s="1258">
        <v>13</v>
      </c>
      <c r="F66" s="1258">
        <v>467933</v>
      </c>
    </row>
    <row r="67" spans="1:6">
      <c r="A67" s="1257" t="s">
        <v>55</v>
      </c>
      <c r="B67" s="1257" t="s">
        <v>58</v>
      </c>
      <c r="C67" s="1258">
        <v>0</v>
      </c>
      <c r="D67" s="1258">
        <v>0</v>
      </c>
      <c r="E67" s="1258">
        <v>0</v>
      </c>
      <c r="F67" s="1258">
        <v>0</v>
      </c>
    </row>
    <row r="68" spans="1:6">
      <c r="A68" s="1252" t="s">
        <v>55</v>
      </c>
      <c r="B68" s="1252" t="s">
        <v>59</v>
      </c>
      <c r="C68" s="1260">
        <v>9</v>
      </c>
      <c r="D68" s="1260">
        <v>553669</v>
      </c>
      <c r="E68" s="1260">
        <v>23</v>
      </c>
      <c r="F68" s="1260">
        <v>422091.46399999998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46167542</v>
      </c>
      <c r="E73" s="442"/>
      <c r="F73" s="324"/>
    </row>
    <row r="74" spans="1:6">
      <c r="A74" s="1257" t="s">
        <v>63</v>
      </c>
      <c r="B74" s="1257" t="s">
        <v>608</v>
      </c>
      <c r="C74" s="1270" t="s">
        <v>610</v>
      </c>
      <c r="D74" s="1258">
        <v>3023521</v>
      </c>
      <c r="E74" s="442"/>
      <c r="F74" s="324"/>
    </row>
    <row r="75" spans="1:6">
      <c r="A75" s="1257" t="s">
        <v>64</v>
      </c>
      <c r="B75" s="1257" t="s">
        <v>607</v>
      </c>
      <c r="C75" s="1270" t="s">
        <v>611</v>
      </c>
      <c r="D75" s="1258">
        <v>42976509</v>
      </c>
      <c r="E75" s="442"/>
      <c r="F75" s="324"/>
    </row>
    <row r="76" spans="1:6">
      <c r="A76" s="1257" t="s">
        <v>64</v>
      </c>
      <c r="B76" s="1257" t="s">
        <v>608</v>
      </c>
      <c r="C76" s="1270" t="s">
        <v>612</v>
      </c>
      <c r="D76" s="1258">
        <v>1307709</v>
      </c>
      <c r="E76" s="442"/>
      <c r="F76" s="324"/>
    </row>
    <row r="77" spans="1:6">
      <c r="A77" s="1257" t="s">
        <v>65</v>
      </c>
      <c r="B77" s="1257" t="s">
        <v>607</v>
      </c>
      <c r="C77" s="1270" t="s">
        <v>613</v>
      </c>
      <c r="D77" s="1258">
        <v>51701664</v>
      </c>
      <c r="E77" s="442"/>
      <c r="F77" s="324"/>
    </row>
    <row r="78" spans="1:6">
      <c r="A78" s="1252" t="s">
        <v>65</v>
      </c>
      <c r="B78" s="1252" t="s">
        <v>608</v>
      </c>
      <c r="C78" s="1252" t="s">
        <v>614</v>
      </c>
      <c r="D78" s="1260">
        <v>11034080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517034</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44575.809281950969</v>
      </c>
      <c r="C90" s="324"/>
      <c r="D90" s="324"/>
      <c r="E90" s="324"/>
      <c r="F90" s="324"/>
    </row>
    <row r="91" spans="1:6">
      <c r="A91" s="1257" t="s">
        <v>67</v>
      </c>
      <c r="B91" s="1258">
        <v>5932.6136460941507</v>
      </c>
      <c r="C91" s="324"/>
      <c r="D91" s="324"/>
      <c r="E91" s="324"/>
      <c r="F91" s="324"/>
    </row>
    <row r="92" spans="1:6">
      <c r="A92" s="1252" t="s">
        <v>68</v>
      </c>
      <c r="B92" s="1253">
        <v>3707.6023823472792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1159</v>
      </c>
      <c r="C97" s="324"/>
      <c r="D97" s="324"/>
      <c r="E97" s="324"/>
      <c r="F97" s="324"/>
    </row>
    <row r="98" spans="1:6">
      <c r="A98" s="1257" t="s">
        <v>71</v>
      </c>
      <c r="B98" s="1258">
        <v>3</v>
      </c>
      <c r="C98" s="324"/>
      <c r="D98" s="324"/>
      <c r="E98" s="324"/>
      <c r="F98" s="324"/>
    </row>
    <row r="99" spans="1:6">
      <c r="A99" s="1257" t="s">
        <v>72</v>
      </c>
      <c r="B99" s="1258">
        <v>69</v>
      </c>
      <c r="C99" s="324"/>
      <c r="D99" s="324"/>
      <c r="E99" s="324"/>
      <c r="F99" s="324"/>
    </row>
    <row r="100" spans="1:6">
      <c r="A100" s="1257" t="s">
        <v>73</v>
      </c>
      <c r="B100" s="1258">
        <v>285</v>
      </c>
      <c r="C100" s="324"/>
      <c r="D100" s="324"/>
      <c r="E100" s="324"/>
      <c r="F100" s="324"/>
    </row>
    <row r="101" spans="1:6">
      <c r="A101" s="1257" t="s">
        <v>74</v>
      </c>
      <c r="B101" s="1258">
        <v>73</v>
      </c>
      <c r="C101" s="324"/>
      <c r="D101" s="324"/>
      <c r="E101" s="324"/>
      <c r="F101" s="324"/>
    </row>
    <row r="102" spans="1:6">
      <c r="A102" s="1257" t="s">
        <v>75</v>
      </c>
      <c r="B102" s="1258">
        <v>75</v>
      </c>
      <c r="C102" s="324"/>
      <c r="D102" s="324"/>
      <c r="E102" s="324"/>
      <c r="F102" s="324"/>
    </row>
    <row r="103" spans="1:6">
      <c r="A103" s="1257" t="s">
        <v>76</v>
      </c>
      <c r="B103" s="1258">
        <v>140</v>
      </c>
      <c r="C103" s="324"/>
      <c r="D103" s="324"/>
      <c r="E103" s="324"/>
      <c r="F103" s="324"/>
    </row>
    <row r="104" spans="1:6">
      <c r="A104" s="1257" t="s">
        <v>77</v>
      </c>
      <c r="B104" s="1258">
        <v>4386</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52</v>
      </c>
      <c r="C123" s="1258">
        <v>61</v>
      </c>
      <c r="D123" s="324"/>
      <c r="E123" s="324"/>
      <c r="F123" s="324"/>
    </row>
    <row r="124" spans="1:6">
      <c r="A124" s="1257" t="s">
        <v>88</v>
      </c>
      <c r="B124" s="1258">
        <v>2</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396</v>
      </c>
      <c r="C129" s="324"/>
      <c r="D129" s="324"/>
      <c r="E129" s="324"/>
      <c r="F129" s="324"/>
    </row>
    <row r="130" spans="1:6">
      <c r="A130" s="1257" t="s">
        <v>283</v>
      </c>
      <c r="B130" s="1258">
        <v>2</v>
      </c>
      <c r="C130" s="324"/>
      <c r="D130" s="324"/>
      <c r="E130" s="324"/>
      <c r="F130" s="324"/>
    </row>
    <row r="131" spans="1:6">
      <c r="A131" s="1257" t="s">
        <v>284</v>
      </c>
      <c r="B131" s="1258">
        <v>1</v>
      </c>
      <c r="C131" s="324"/>
      <c r="D131" s="324"/>
      <c r="E131" s="324"/>
      <c r="F131" s="324"/>
    </row>
    <row r="132" spans="1:6">
      <c r="A132" s="1252" t="s">
        <v>285</v>
      </c>
      <c r="B132" s="1253">
        <v>58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182842.26671556986</v>
      </c>
      <c r="C3" s="43" t="s">
        <v>163</v>
      </c>
      <c r="D3" s="43"/>
      <c r="E3" s="153"/>
      <c r="F3" s="43"/>
      <c r="G3" s="43"/>
      <c r="H3" s="43"/>
      <c r="I3" s="43"/>
      <c r="J3" s="43"/>
      <c r="K3" s="96"/>
    </row>
    <row r="4" spans="1:11">
      <c r="A4" s="350" t="s">
        <v>164</v>
      </c>
      <c r="B4" s="49">
        <f>IF(ISERROR('SEAP template'!B78+'SEAP template'!C78),0,'SEAP template'!B78+'SEAP template'!C78)</f>
        <v>54239.875310392395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5.6678823529411773</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0.15547169094724686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8.0969747899159685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34.071428571428577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1406.2149999999999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1406.2149999999999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0.15547169094724686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218.62662388538274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26089.0504</v>
      </c>
      <c r="C5" s="17">
        <f>IF(ISERROR('Eigen informatie GS &amp; warmtenet'!B59),0,'Eigen informatie GS &amp; warmtenet'!B59)</f>
        <v>0</v>
      </c>
      <c r="D5" s="30">
        <f>(SUM(HH_hh_gas_kWh,HH_rest_gas_kWh)/1000)*0.902</f>
        <v>51011.840233200004</v>
      </c>
      <c r="E5" s="17">
        <f>B32*B41</f>
        <v>2651.2160335677131</v>
      </c>
      <c r="F5" s="17">
        <f>B36*B45</f>
        <v>51020.791745418806</v>
      </c>
      <c r="G5" s="18"/>
      <c r="H5" s="17"/>
      <c r="I5" s="17"/>
      <c r="J5" s="17">
        <f>B35*B44+C35*C44</f>
        <v>261.07882183477489</v>
      </c>
      <c r="K5" s="17"/>
      <c r="L5" s="17"/>
      <c r="M5" s="17"/>
      <c r="N5" s="17">
        <f>B34*B43+C34*C43</f>
        <v>11173.106161043583</v>
      </c>
      <c r="O5" s="17">
        <f>B52*B53*B54</f>
        <v>908.65286447926053</v>
      </c>
      <c r="P5" s="17">
        <f>B60*B61*B62/1000-B60*B61*B62/1000/B63</f>
        <v>1179.8034424607226</v>
      </c>
    </row>
    <row r="6" spans="1:16">
      <c r="A6" s="16" t="s">
        <v>573</v>
      </c>
      <c r="B6" s="738">
        <f>kWh_PV_kleiner_dan_10kW</f>
        <v>5932.6136460941507</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32021.664046094149</v>
      </c>
      <c r="C8" s="21">
        <f>C5</f>
        <v>0</v>
      </c>
      <c r="D8" s="21">
        <f>D5</f>
        <v>51011.840233200004</v>
      </c>
      <c r="E8" s="21">
        <f>E5</f>
        <v>2651.2160335677131</v>
      </c>
      <c r="F8" s="21">
        <f>F5</f>
        <v>51020.791745418806</v>
      </c>
      <c r="G8" s="21"/>
      <c r="H8" s="21"/>
      <c r="I8" s="21"/>
      <c r="J8" s="21">
        <f>J5</f>
        <v>261.07882183477489</v>
      </c>
      <c r="K8" s="21"/>
      <c r="L8" s="21">
        <f>L5</f>
        <v>0</v>
      </c>
      <c r="M8" s="21">
        <f>M5</f>
        <v>0</v>
      </c>
      <c r="N8" s="21">
        <f>N5</f>
        <v>11173.106161043583</v>
      </c>
      <c r="O8" s="21">
        <f>O5</f>
        <v>908.65286447926053</v>
      </c>
      <c r="P8" s="21">
        <f>P5</f>
        <v>1179.8034424607226</v>
      </c>
    </row>
    <row r="9" spans="1:16">
      <c r="B9" s="19"/>
      <c r="C9" s="19"/>
      <c r="D9" s="255"/>
      <c r="E9" s="19"/>
      <c r="F9" s="19"/>
      <c r="G9" s="19"/>
      <c r="H9" s="19"/>
      <c r="I9" s="19"/>
      <c r="J9" s="19"/>
      <c r="K9" s="19"/>
      <c r="L9" s="19"/>
      <c r="M9" s="19"/>
      <c r="N9" s="19"/>
      <c r="O9" s="19"/>
      <c r="P9" s="19"/>
    </row>
    <row r="10" spans="1:16">
      <c r="A10" s="24" t="s">
        <v>207</v>
      </c>
      <c r="B10" s="25">
        <f ca="1">'EF ele_warmte'!B12</f>
        <v>0.15547169094724686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4978.4622561909164</v>
      </c>
      <c r="C12" s="23">
        <f ca="1">C10*C8</f>
        <v>0</v>
      </c>
      <c r="D12" s="23">
        <f>D8*D10</f>
        <v>10304.391727106402</v>
      </c>
      <c r="E12" s="23">
        <f>E10*E8</f>
        <v>601.82603961987093</v>
      </c>
      <c r="F12" s="23">
        <f>F10*F8</f>
        <v>13622.551396026822</v>
      </c>
      <c r="G12" s="23"/>
      <c r="H12" s="23"/>
      <c r="I12" s="23"/>
      <c r="J12" s="23">
        <f>J10*J8</f>
        <v>92.42190292951031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7808</v>
      </c>
      <c r="C26" s="36"/>
      <c r="D26" s="225"/>
    </row>
    <row r="27" spans="1:7" s="15" customFormat="1">
      <c r="A27" s="227" t="s">
        <v>774</v>
      </c>
      <c r="B27" s="37">
        <f>SUM(HH_hh_gas_aantal,HH_rest_gas_aantal)</f>
        <v>4100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3895</v>
      </c>
      <c r="C31" s="165" t="s">
        <v>104</v>
      </c>
      <c r="D31" s="230"/>
      <c r="G31" s="15"/>
    </row>
    <row r="32" spans="1:7">
      <c r="A32" s="168" t="s">
        <v>72</v>
      </c>
      <c r="B32" s="165">
        <f>IF((B21*($B$26-($B$27-0.05*$B$27)-$B$60))&lt;0,0,B21*($B$26-($B$27-0.05*$B$27)-$B$60))</f>
        <v>42.849309022108258</v>
      </c>
      <c r="C32" s="165" t="s">
        <v>104</v>
      </c>
      <c r="D32" s="230"/>
      <c r="G32" s="15"/>
    </row>
    <row r="33" spans="1:7">
      <c r="A33" s="168" t="s">
        <v>73</v>
      </c>
      <c r="B33" s="165">
        <f>IF((B22*($B$26-($B$27-0.05*$B$27)-$B$60))&lt;0,0,B22*($B$26-($B$27-0.05*$B$27)-$B$60))</f>
        <v>890.87311810316271</v>
      </c>
      <c r="C33" s="165" t="s">
        <v>104</v>
      </c>
      <c r="D33" s="230"/>
      <c r="G33" s="15"/>
    </row>
    <row r="34" spans="1:7">
      <c r="A34" s="168" t="s">
        <v>74</v>
      </c>
      <c r="B34" s="165">
        <f>IF((B24*($B$26-($B$27-0.05*$B$27)-$B$60))&lt;0,0,B24*($B$26-($B$27-0.05*$B$27)-$B$60))</f>
        <v>376.16592799980691</v>
      </c>
      <c r="C34" s="165">
        <f>B26*C24</f>
        <v>1347.3676707572292</v>
      </c>
      <c r="D34" s="230"/>
      <c r="G34" s="15"/>
    </row>
    <row r="35" spans="1:7">
      <c r="A35" s="168" t="s">
        <v>76</v>
      </c>
      <c r="B35" s="165">
        <f>IF((B19*($B$26-($B$27-0.05*$B$27)-$B$60))&lt;0,0,B19*($B$26-($B$27-0.05*$B$27)-$B$60))</f>
        <v>32.432306459714304</v>
      </c>
      <c r="C35" s="165">
        <f>B35/2</f>
        <v>16.216153229857152</v>
      </c>
      <c r="D35" s="231"/>
      <c r="G35" s="15"/>
    </row>
    <row r="36" spans="1:7">
      <c r="A36" s="168" t="s">
        <v>77</v>
      </c>
      <c r="B36" s="165">
        <f>IF((B18*($B$26-($B$27-0.05*$B$27)-$B$60))&lt;0,0,B18*($B$26-($B$27-0.05*$B$27)-$B$60))</f>
        <v>2458.6793384152079</v>
      </c>
      <c r="C36" s="165" t="s">
        <v>104</v>
      </c>
      <c r="D36" s="231"/>
      <c r="G36" s="15"/>
    </row>
    <row r="37" spans="1:7">
      <c r="A37" s="168" t="s">
        <v>78</v>
      </c>
      <c r="B37" s="165">
        <f>B60</f>
        <v>112</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458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112</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30694.885206999999</v>
      </c>
      <c r="C5" s="17">
        <f>IF(ISERROR('Eigen informatie GS &amp; warmtenet'!B60),0,'Eigen informatie GS &amp; warmtenet'!B60)</f>
        <v>0</v>
      </c>
      <c r="D5" s="30">
        <f>SUM(D6:D12)</f>
        <v>21212.055359572001</v>
      </c>
      <c r="E5" s="17">
        <f>SUM(E6:E12)</f>
        <v>85.263443285723852</v>
      </c>
      <c r="F5" s="17">
        <f>SUM(F6:F12)</f>
        <v>6180.4973755982664</v>
      </c>
      <c r="G5" s="18"/>
      <c r="H5" s="17"/>
      <c r="I5" s="17"/>
      <c r="J5" s="17">
        <f>SUM(J6:J12)</f>
        <v>4.6377836763650634E-2</v>
      </c>
      <c r="K5" s="17"/>
      <c r="L5" s="17"/>
      <c r="M5" s="17"/>
      <c r="N5" s="17">
        <f>SUM(N6:N12)</f>
        <v>1709.7338498216945</v>
      </c>
      <c r="O5" s="17">
        <f>B38*B39*B40</f>
        <v>9.7945215316823084</v>
      </c>
      <c r="P5" s="17">
        <f>B46*B47*B48/1000-B46*B47*B48/1000/B49</f>
        <v>52.539138306495019</v>
      </c>
      <c r="R5" s="32"/>
    </row>
    <row r="6" spans="1:18">
      <c r="A6" s="32" t="s">
        <v>53</v>
      </c>
      <c r="B6" s="37">
        <f>B26</f>
        <v>10908.335794000001</v>
      </c>
      <c r="C6" s="33"/>
      <c r="D6" s="37">
        <f>IF(ISERROR(TER_kantoor_gas_kWh/1000),0,TER_kantoor_gas_kWh/1000)*0.902</f>
        <v>6630.5750689860006</v>
      </c>
      <c r="E6" s="33">
        <f>$C$26*'E Balans VL '!I12/100/3.6*1000000</f>
        <v>2.8484792587554582</v>
      </c>
      <c r="F6" s="33">
        <f>$C$26*('E Balans VL '!L12+'E Balans VL '!N12)/100/3.6*1000000</f>
        <v>1089.9194501827099</v>
      </c>
      <c r="G6" s="34"/>
      <c r="H6" s="33"/>
      <c r="I6" s="33"/>
      <c r="J6" s="33">
        <f>$C$26*('E Balans VL '!D12+'E Balans VL '!E12)/100/3.6*1000000</f>
        <v>0</v>
      </c>
      <c r="K6" s="33"/>
      <c r="L6" s="33"/>
      <c r="M6" s="33"/>
      <c r="N6" s="33">
        <f>$C$26*'E Balans VL '!Y12/100/3.6*1000000</f>
        <v>7.733953185738244</v>
      </c>
      <c r="O6" s="33"/>
      <c r="P6" s="33"/>
      <c r="R6" s="32"/>
    </row>
    <row r="7" spans="1:18">
      <c r="A7" s="32" t="s">
        <v>52</v>
      </c>
      <c r="B7" s="37">
        <f t="shared" ref="B7:B12" si="0">B27</f>
        <v>2747.172</v>
      </c>
      <c r="C7" s="33"/>
      <c r="D7" s="37">
        <f>IF(ISERROR(TER_horeca_gas_kWh/1000),0,TER_horeca_gas_kWh/1000)*0.902</f>
        <v>3759.3488737860007</v>
      </c>
      <c r="E7" s="33">
        <f>$C$27*'E Balans VL '!I9/100/3.6*1000000</f>
        <v>0</v>
      </c>
      <c r="F7" s="33">
        <f>$C$27*('E Balans VL '!L9+'E Balans VL '!N9)/100/3.6*1000000</f>
        <v>225.61554427753694</v>
      </c>
      <c r="G7" s="34"/>
      <c r="H7" s="33"/>
      <c r="I7" s="33"/>
      <c r="J7" s="33">
        <f>$C$27*('E Balans VL '!D9+'E Balans VL '!E9)/100/3.6*1000000</f>
        <v>0</v>
      </c>
      <c r="K7" s="33"/>
      <c r="L7" s="33"/>
      <c r="M7" s="33"/>
      <c r="N7" s="33">
        <f>$C$27*'E Balans VL '!Y9/100/3.6*1000000</f>
        <v>34.716211425821193</v>
      </c>
      <c r="O7" s="33"/>
      <c r="P7" s="33"/>
      <c r="R7" s="32"/>
    </row>
    <row r="8" spans="1:18">
      <c r="A8" s="6" t="s">
        <v>51</v>
      </c>
      <c r="B8" s="37">
        <f t="shared" si="0"/>
        <v>10863.176027000001</v>
      </c>
      <c r="C8" s="33"/>
      <c r="D8" s="37">
        <f>IF(ISERROR(TER_handel_gas_kWh/1000),0,TER_handel_gas_kWh/1000)*0.902</f>
        <v>4222.4889432</v>
      </c>
      <c r="E8" s="33">
        <f>$C$28*'E Balans VL '!I13/100/3.6*1000000</f>
        <v>39.92502250065926</v>
      </c>
      <c r="F8" s="33">
        <f>$C$28*('E Balans VL '!L13+'E Balans VL '!N13)/100/3.6*1000000</f>
        <v>1037.6163603590257</v>
      </c>
      <c r="G8" s="34"/>
      <c r="H8" s="33"/>
      <c r="I8" s="33"/>
      <c r="J8" s="33">
        <f>$C$28*('E Balans VL '!D13+'E Balans VL '!E13)/100/3.6*1000000</f>
        <v>0</v>
      </c>
      <c r="K8" s="33"/>
      <c r="L8" s="33"/>
      <c r="M8" s="33"/>
      <c r="N8" s="33">
        <f>$C$28*'E Balans VL '!Y13/100/3.6*1000000</f>
        <v>4.2983034961973132</v>
      </c>
      <c r="O8" s="33"/>
      <c r="P8" s="33"/>
      <c r="R8" s="32"/>
    </row>
    <row r="9" spans="1:18">
      <c r="A9" s="32" t="s">
        <v>50</v>
      </c>
      <c r="B9" s="37">
        <f t="shared" si="0"/>
        <v>1047.6365499999999</v>
      </c>
      <c r="C9" s="33"/>
      <c r="D9" s="37">
        <f>IF(ISERROR(TER_gezond_gas_kWh/1000),0,TER_gezond_gas_kWh/1000)*0.902</f>
        <v>1495.1333716000001</v>
      </c>
      <c r="E9" s="33">
        <f>$C$29*'E Balans VL '!I10/100/3.6*1000000</f>
        <v>0</v>
      </c>
      <c r="F9" s="33">
        <f>$C$29*('E Balans VL '!L10+'E Balans VL '!N10)/100/3.6*1000000</f>
        <v>70.772727777771522</v>
      </c>
      <c r="G9" s="34"/>
      <c r="H9" s="33"/>
      <c r="I9" s="33"/>
      <c r="J9" s="33">
        <f>$C$29*('E Balans VL '!D10+'E Balans VL '!E10)/100/3.6*1000000</f>
        <v>0</v>
      </c>
      <c r="K9" s="33"/>
      <c r="L9" s="33"/>
      <c r="M9" s="33"/>
      <c r="N9" s="33">
        <f>$C$29*'E Balans VL '!Y10/100/3.6*1000000</f>
        <v>8.151394008179091</v>
      </c>
      <c r="O9" s="33"/>
      <c r="P9" s="33"/>
      <c r="R9" s="32"/>
    </row>
    <row r="10" spans="1:18">
      <c r="A10" s="32" t="s">
        <v>49</v>
      </c>
      <c r="B10" s="37">
        <f t="shared" si="0"/>
        <v>4685.8021500000004</v>
      </c>
      <c r="C10" s="33"/>
      <c r="D10" s="37">
        <f>IF(ISERROR(TER_ander_gas_kWh/1000),0,TER_ander_gas_kWh/1000)*0.902</f>
        <v>4190.9382460000006</v>
      </c>
      <c r="E10" s="33">
        <f>$C$30*'E Balans VL '!I14/100/3.6*1000000</f>
        <v>42.489941526309131</v>
      </c>
      <c r="F10" s="33">
        <f>$C$30*('E Balans VL '!L14+'E Balans VL '!N14)/100/3.6*1000000</f>
        <v>3703.8785803103733</v>
      </c>
      <c r="G10" s="34"/>
      <c r="H10" s="33"/>
      <c r="I10" s="33"/>
      <c r="J10" s="33">
        <f>$C$30*('E Balans VL '!D14+'E Balans VL '!E14)/100/3.6*1000000</f>
        <v>4.6377836763650634E-2</v>
      </c>
      <c r="K10" s="33"/>
      <c r="L10" s="33"/>
      <c r="M10" s="33"/>
      <c r="N10" s="33">
        <f>$C$30*'E Balans VL '!Y14/100/3.6*1000000</f>
        <v>1653.8492942955975</v>
      </c>
      <c r="O10" s="33"/>
      <c r="P10" s="33"/>
      <c r="R10" s="32"/>
    </row>
    <row r="11" spans="1:18">
      <c r="A11" s="32" t="s">
        <v>54</v>
      </c>
      <c r="B11" s="37">
        <f t="shared" si="0"/>
        <v>442.76268599999997</v>
      </c>
      <c r="C11" s="33"/>
      <c r="D11" s="37">
        <f>IF(ISERROR(TER_onderwijs_gas_kWh/1000),0,TER_onderwijs_gas_kWh/1000)*0.902</f>
        <v>913.57085600000005</v>
      </c>
      <c r="E11" s="33">
        <f>$C$31*'E Balans VL '!I11/100/3.6*1000000</f>
        <v>0</v>
      </c>
      <c r="F11" s="33">
        <f>$C$31*('E Balans VL '!L11+'E Balans VL '!N11)/100/3.6*1000000</f>
        <v>52.694712690848576</v>
      </c>
      <c r="G11" s="34"/>
      <c r="H11" s="33"/>
      <c r="I11" s="33"/>
      <c r="J11" s="33">
        <f>$C$31*('E Balans VL '!D11+'E Balans VL '!E11)/100/3.6*1000000</f>
        <v>0</v>
      </c>
      <c r="K11" s="33"/>
      <c r="L11" s="33"/>
      <c r="M11" s="33"/>
      <c r="N11" s="33">
        <f>$C$31*'E Balans VL '!Y11/100/3.6*1000000</f>
        <v>0.98469341016137135</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23.85</v>
      </c>
      <c r="C13" s="244">
        <f ca="1">'lokale energieproductie'!O38+'lokale energieproductie'!O31</f>
        <v>34.071428571428577</v>
      </c>
      <c r="D13" s="302">
        <f ca="1">('lokale energieproductie'!P31+'lokale energieproductie'!P38)*(-1)</f>
        <v>-68.142857142857153</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30718.735206999998</v>
      </c>
      <c r="C16" s="21">
        <f t="shared" ca="1" si="1"/>
        <v>34.071428571428577</v>
      </c>
      <c r="D16" s="21">
        <f t="shared" ca="1" si="1"/>
        <v>21143.912502429142</v>
      </c>
      <c r="E16" s="21">
        <f t="shared" si="1"/>
        <v>85.263443285723852</v>
      </c>
      <c r="F16" s="21">
        <f t="shared" ca="1" si="1"/>
        <v>6180.4973755982664</v>
      </c>
      <c r="G16" s="21">
        <f t="shared" si="1"/>
        <v>0</v>
      </c>
      <c r="H16" s="21">
        <f t="shared" si="1"/>
        <v>0</v>
      </c>
      <c r="I16" s="21">
        <f t="shared" si="1"/>
        <v>0</v>
      </c>
      <c r="J16" s="21">
        <f t="shared" si="1"/>
        <v>4.6377836763650634E-2</v>
      </c>
      <c r="K16" s="21">
        <f t="shared" si="1"/>
        <v>0</v>
      </c>
      <c r="L16" s="21">
        <f t="shared" ca="1" si="1"/>
        <v>0</v>
      </c>
      <c r="M16" s="21">
        <f t="shared" si="1"/>
        <v>0</v>
      </c>
      <c r="N16" s="21">
        <f t="shared" ca="1" si="1"/>
        <v>1709.7338498216945</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0.15547169094724686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4775.8937063930152</v>
      </c>
      <c r="C20" s="23">
        <f t="shared" ref="C20:P20" ca="1" si="2">C16*C18</f>
        <v>8.0969747899159685</v>
      </c>
      <c r="D20" s="23">
        <f t="shared" ca="1" si="2"/>
        <v>4271.0703254906866</v>
      </c>
      <c r="E20" s="23">
        <f t="shared" si="2"/>
        <v>19.354801625859317</v>
      </c>
      <c r="F20" s="23">
        <f t="shared" ca="1" si="2"/>
        <v>1650.1927992847372</v>
      </c>
      <c r="G20" s="23">
        <f t="shared" si="2"/>
        <v>0</v>
      </c>
      <c r="H20" s="23">
        <f t="shared" si="2"/>
        <v>0</v>
      </c>
      <c r="I20" s="23">
        <f t="shared" si="2"/>
        <v>0</v>
      </c>
      <c r="J20" s="23">
        <f t="shared" si="2"/>
        <v>1.6417754214332322E-2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10908.335794000001</v>
      </c>
      <c r="C26" s="39">
        <f>IF(ISERROR(B26*3.6/1000000/'E Balans VL '!Z12*100),0,B26*3.6/1000000/'E Balans VL '!Z12*100)</f>
        <v>0.30527213787256746</v>
      </c>
      <c r="D26" s="234" t="s">
        <v>667</v>
      </c>
      <c r="F26" s="6"/>
    </row>
    <row r="27" spans="1:18">
      <c r="A27" s="228" t="s">
        <v>52</v>
      </c>
      <c r="B27" s="33">
        <f>IF(ISERROR(TER_horeca_ele_kWh/1000),0,TER_horeca_ele_kWh/1000)</f>
        <v>2747.172</v>
      </c>
      <c r="C27" s="39">
        <f>IF(ISERROR(B27*3.6/1000000/'E Balans VL '!Z9*100),0,B27*3.6/1000000/'E Balans VL '!Z9*100)</f>
        <v>0.20475342865368251</v>
      </c>
      <c r="D27" s="234" t="s">
        <v>667</v>
      </c>
      <c r="F27" s="6"/>
    </row>
    <row r="28" spans="1:18">
      <c r="A28" s="168" t="s">
        <v>51</v>
      </c>
      <c r="B28" s="33">
        <f>IF(ISERROR(TER_handel_ele_kWh/1000),0,TER_handel_ele_kWh/1000)</f>
        <v>10863.176027000001</v>
      </c>
      <c r="C28" s="39">
        <f>IF(ISERROR(B28*3.6/1000000/'E Balans VL '!Z13*100),0,B28*3.6/1000000/'E Balans VL '!Z13*100)</f>
        <v>0.31473496911987819</v>
      </c>
      <c r="D28" s="234" t="s">
        <v>667</v>
      </c>
      <c r="F28" s="6"/>
    </row>
    <row r="29" spans="1:18">
      <c r="A29" s="228" t="s">
        <v>50</v>
      </c>
      <c r="B29" s="33">
        <f>IF(ISERROR(TER_gezond_ele_kWh/1000),0,TER_gezond_ele_kWh/1000)</f>
        <v>1047.6365499999999</v>
      </c>
      <c r="C29" s="39">
        <f>IF(ISERROR(B29*3.6/1000000/'E Balans VL '!Z10*100),0,B29*3.6/1000000/'E Balans VL '!Z10*100)</f>
        <v>0.1056553954249711</v>
      </c>
      <c r="D29" s="234" t="s">
        <v>667</v>
      </c>
      <c r="F29" s="6"/>
    </row>
    <row r="30" spans="1:18">
      <c r="A30" s="228" t="s">
        <v>49</v>
      </c>
      <c r="B30" s="33">
        <f>IF(ISERROR(TER_ander_ele_kWh/1000),0,TER_ander_ele_kWh/1000)</f>
        <v>4685.8021500000004</v>
      </c>
      <c r="C30" s="39">
        <f>IF(ISERROR(B30*3.6/1000000/'E Balans VL '!Z14*100),0,B30*3.6/1000000/'E Balans VL '!Z14*100)</f>
        <v>0.18994335875897869</v>
      </c>
      <c r="D30" s="234" t="s">
        <v>667</v>
      </c>
      <c r="F30" s="6"/>
    </row>
    <row r="31" spans="1:18">
      <c r="A31" s="228" t="s">
        <v>54</v>
      </c>
      <c r="B31" s="33">
        <f>IF(ISERROR(TER_onderwijs_ele_kWh/1000),0,TER_onderwijs_ele_kWh/1000)</f>
        <v>442.76268599999997</v>
      </c>
      <c r="C31" s="39">
        <f>IF(ISERROR(B31*3.6/1000000/'E Balans VL '!Z11*100),0,B31*3.6/1000000/'E Balans VL '!Z11*100)</f>
        <v>0.12620539564612243</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117136.83151499998</v>
      </c>
      <c r="C5" s="17">
        <f>IF(ISERROR('Eigen informatie GS &amp; warmtenet'!B61),0,'Eigen informatie GS &amp; warmtenet'!B61)</f>
        <v>0</v>
      </c>
      <c r="D5" s="30">
        <f>SUM(D6:D15)</f>
        <v>14492.837500680002</v>
      </c>
      <c r="E5" s="17">
        <f>SUM(E6:E15)</f>
        <v>2865.5513499791059</v>
      </c>
      <c r="F5" s="17">
        <f>SUM(F6:F15)</f>
        <v>13017.835398596737</v>
      </c>
      <c r="G5" s="18"/>
      <c r="H5" s="17"/>
      <c r="I5" s="17"/>
      <c r="J5" s="17">
        <f>SUM(J6:J15)</f>
        <v>82.351005477727469</v>
      </c>
      <c r="K5" s="17"/>
      <c r="L5" s="17"/>
      <c r="M5" s="17"/>
      <c r="N5" s="17">
        <f>SUM(N6:N15)</f>
        <v>48121.859883261677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23987.875172</v>
      </c>
      <c r="C8" s="33"/>
      <c r="D8" s="37">
        <f>IF( ISERROR(IND_metaal_Gas_kWH/1000),0,IND_metaal_Gas_kWH/1000)*0.902</f>
        <v>1736.19406675</v>
      </c>
      <c r="E8" s="33">
        <f>C30*'E Balans VL '!I18/100/3.6*1000000</f>
        <v>172.14272005357796</v>
      </c>
      <c r="F8" s="33">
        <f>C30*'E Balans VL '!L18/100/3.6*1000000+C30*'E Balans VL '!N18/100/3.6*1000000</f>
        <v>1596.6157983705059</v>
      </c>
      <c r="G8" s="34"/>
      <c r="H8" s="33"/>
      <c r="I8" s="33"/>
      <c r="J8" s="40">
        <f>C30*'E Balans VL '!D18/100/3.6*1000000+C30*'E Balans VL '!E18/100/3.6*1000000</f>
        <v>23.125337414563329</v>
      </c>
      <c r="K8" s="33"/>
      <c r="L8" s="33"/>
      <c r="M8" s="33"/>
      <c r="N8" s="33">
        <f>C30*'E Balans VL '!Y18/100/3.6*1000000</f>
        <v>290.67782793397606</v>
      </c>
      <c r="O8" s="33"/>
      <c r="P8" s="33"/>
      <c r="R8" s="32"/>
    </row>
    <row r="9" spans="1:18">
      <c r="A9" s="6" t="s">
        <v>32</v>
      </c>
      <c r="B9" s="37">
        <f t="shared" si="0"/>
        <v>2415.3006500000001</v>
      </c>
      <c r="C9" s="33"/>
      <c r="D9" s="37">
        <f>IF( ISERROR(IND_andere_gas_kWh/1000),0,IND_andere_gas_kWh/1000)*0.902</f>
        <v>1427.2952143999998</v>
      </c>
      <c r="E9" s="33">
        <f>C31*'E Balans VL '!I19/100/3.6*1000000</f>
        <v>6.3502515119491045</v>
      </c>
      <c r="F9" s="33">
        <f>C31*'E Balans VL '!L19/100/3.6*1000000+C31*'E Balans VL '!N19/100/3.6*1000000</f>
        <v>1595.0758271111088</v>
      </c>
      <c r="G9" s="34"/>
      <c r="H9" s="33"/>
      <c r="I9" s="33"/>
      <c r="J9" s="40">
        <f>C31*'E Balans VL '!D19/100/3.6*1000000+C31*'E Balans VL '!E19/100/3.6*1000000</f>
        <v>0</v>
      </c>
      <c r="K9" s="33"/>
      <c r="L9" s="33"/>
      <c r="M9" s="33"/>
      <c r="N9" s="33">
        <f>C31*'E Balans VL '!Y19/100/3.6*1000000</f>
        <v>128.9490585827927</v>
      </c>
      <c r="O9" s="33"/>
      <c r="P9" s="33"/>
      <c r="R9" s="32"/>
    </row>
    <row r="10" spans="1:18">
      <c r="A10" s="6" t="s">
        <v>40</v>
      </c>
      <c r="B10" s="37">
        <f t="shared" si="0"/>
        <v>479.22255000000001</v>
      </c>
      <c r="C10" s="33"/>
      <c r="D10" s="37">
        <f>IF( ISERROR(IND_voed_gas_kWh/1000),0,IND_voed_gas_kWh/1000)*0.902</f>
        <v>412.85153359999998</v>
      </c>
      <c r="E10" s="33">
        <f>C32*'E Balans VL '!I20/100/3.6*1000000</f>
        <v>0.80903721517281657</v>
      </c>
      <c r="F10" s="33">
        <f>C32*'E Balans VL '!L20/100/3.6*1000000+C32*'E Balans VL '!N20/100/3.6*1000000</f>
        <v>28.128272178719882</v>
      </c>
      <c r="G10" s="34"/>
      <c r="H10" s="33"/>
      <c r="I10" s="33"/>
      <c r="J10" s="40">
        <f>C32*'E Balans VL '!D20/100/3.6*1000000+C32*'E Balans VL '!E20/100/3.6*1000000</f>
        <v>0</v>
      </c>
      <c r="K10" s="33"/>
      <c r="L10" s="33"/>
      <c r="M10" s="33"/>
      <c r="N10" s="33">
        <f>C32*'E Balans VL '!Y20/100/3.6*1000000</f>
        <v>26.091268859049826</v>
      </c>
      <c r="O10" s="33"/>
      <c r="P10" s="33"/>
      <c r="R10" s="32"/>
    </row>
    <row r="11" spans="1:18">
      <c r="A11" s="6" t="s">
        <v>39</v>
      </c>
      <c r="B11" s="37">
        <f t="shared" si="0"/>
        <v>402.38600000000002</v>
      </c>
      <c r="C11" s="33"/>
      <c r="D11" s="37">
        <f>IF( ISERROR(IND_textiel_gas_kWh/1000),0,IND_textiel_gas_kWh/1000)*0.902</f>
        <v>392.32573795800005</v>
      </c>
      <c r="E11" s="33">
        <f>C33*'E Balans VL '!I21/100/3.6*1000000</f>
        <v>1.4016144683833556</v>
      </c>
      <c r="F11" s="33">
        <f>C33*'E Balans VL '!L21/100/3.6*1000000+C33*'E Balans VL '!N21/100/3.6*1000000</f>
        <v>10.69305937888617</v>
      </c>
      <c r="G11" s="34"/>
      <c r="H11" s="33"/>
      <c r="I11" s="33"/>
      <c r="J11" s="40">
        <f>C33*'E Balans VL '!D21/100/3.6*1000000+C33*'E Balans VL '!E21/100/3.6*1000000</f>
        <v>0</v>
      </c>
      <c r="K11" s="33"/>
      <c r="L11" s="33"/>
      <c r="M11" s="33"/>
      <c r="N11" s="33">
        <f>C33*'E Balans VL '!Y21/100/3.6*1000000</f>
        <v>4.9742859449221938E-2</v>
      </c>
      <c r="O11" s="33"/>
      <c r="P11" s="33"/>
      <c r="R11" s="32"/>
    </row>
    <row r="12" spans="1:18">
      <c r="A12" s="6" t="s">
        <v>36</v>
      </c>
      <c r="B12" s="37">
        <f t="shared" si="0"/>
        <v>80136.59</v>
      </c>
      <c r="C12" s="33"/>
      <c r="D12" s="37">
        <f>IF( ISERROR(IND_min_gas_kWh/1000),0,IND_min_gas_kWh/1000)*0.902</f>
        <v>6742.0051597580004</v>
      </c>
      <c r="E12" s="33">
        <f>C34*'E Balans VL '!I22/100/3.6*1000000</f>
        <v>1153.6765982317845</v>
      </c>
      <c r="F12" s="33">
        <f>C34*'E Balans VL '!L22/100/3.6*1000000+C34*'E Balans VL '!N22/100/3.6*1000000</f>
        <v>9634.7061810202667</v>
      </c>
      <c r="G12" s="34"/>
      <c r="H12" s="33"/>
      <c r="I12" s="33"/>
      <c r="J12" s="40">
        <f>C34*'E Balans VL '!D22/100/3.6*1000000+C34*'E Balans VL '!E22/100/3.6*1000000</f>
        <v>58.509775663839726</v>
      </c>
      <c r="K12" s="33"/>
      <c r="L12" s="33"/>
      <c r="M12" s="33"/>
      <c r="N12" s="33">
        <f>C34*'E Balans VL '!Y22/100/3.6*1000000</f>
        <v>47667.494879986778</v>
      </c>
      <c r="O12" s="33"/>
      <c r="P12" s="33"/>
      <c r="R12" s="32"/>
    </row>
    <row r="13" spans="1:18">
      <c r="A13" s="6" t="s">
        <v>38</v>
      </c>
      <c r="B13" s="37">
        <f t="shared" si="0"/>
        <v>179.517</v>
      </c>
      <c r="C13" s="33"/>
      <c r="D13" s="37">
        <f>IF( ISERROR(IND_papier_gas_kWh/1000),0,IND_papier_gas_kWh/1000)*0.902</f>
        <v>139.41402200000002</v>
      </c>
      <c r="E13" s="33">
        <f>C35*'E Balans VL '!I23/100/3.6*1000000</f>
        <v>0.6351328833180534</v>
      </c>
      <c r="F13" s="33">
        <f>C35*'E Balans VL '!L23/100/3.6*1000000+C35*'E Balans VL '!N23/100/3.6*1000000</f>
        <v>1.6642607273442638</v>
      </c>
      <c r="G13" s="34"/>
      <c r="H13" s="33"/>
      <c r="I13" s="33"/>
      <c r="J13" s="40">
        <f>C35*'E Balans VL '!D23/100/3.6*1000000+C35*'E Balans VL '!E23/100/3.6*1000000</f>
        <v>0</v>
      </c>
      <c r="K13" s="33"/>
      <c r="L13" s="33"/>
      <c r="M13" s="33"/>
      <c r="N13" s="33">
        <f>C35*'E Balans VL '!Y23/100/3.6*1000000</f>
        <v>-3.9105485337703914</v>
      </c>
      <c r="O13" s="33"/>
      <c r="P13" s="33"/>
      <c r="R13" s="32"/>
    </row>
    <row r="14" spans="1:18">
      <c r="A14" s="6" t="s">
        <v>33</v>
      </c>
      <c r="B14" s="37">
        <f t="shared" si="0"/>
        <v>9349.6691429999992</v>
      </c>
      <c r="C14" s="33"/>
      <c r="D14" s="37">
        <f>IF( ISERROR(IND_chemie_gas_kWh/1000),0,IND_chemie_gas_kWh/1000)*0.902</f>
        <v>0</v>
      </c>
      <c r="E14" s="33">
        <f>C36*'E Balans VL '!I24/100/3.6*1000000</f>
        <v>1521.6500470641774</v>
      </c>
      <c r="F14" s="33">
        <f>C36*'E Balans VL '!L24/100/3.6*1000000+C36*'E Balans VL '!N24/100/3.6*1000000</f>
        <v>121.50051415346772</v>
      </c>
      <c r="G14" s="34"/>
      <c r="H14" s="33"/>
      <c r="I14" s="33"/>
      <c r="J14" s="40">
        <f>C36*'E Balans VL '!D24/100/3.6*1000000+C36*'E Balans VL '!E24/100/3.6*1000000</f>
        <v>0</v>
      </c>
      <c r="K14" s="33"/>
      <c r="L14" s="33"/>
      <c r="M14" s="33"/>
      <c r="N14" s="33">
        <f>C36*'E Balans VL '!Y24/100/3.6*1000000</f>
        <v>5.7214061053906411</v>
      </c>
      <c r="O14" s="33"/>
      <c r="P14" s="33"/>
      <c r="R14" s="32"/>
    </row>
    <row r="15" spans="1:18">
      <c r="A15" s="6" t="s">
        <v>258</v>
      </c>
      <c r="B15" s="37">
        <f t="shared" si="0"/>
        <v>186.27099999999999</v>
      </c>
      <c r="C15" s="33"/>
      <c r="D15" s="37">
        <f>IF( ISERROR(IND_rest_gas_kWh/1000),0,IND_rest_gas_kWh/1000)*0.902</f>
        <v>3642.7517662140003</v>
      </c>
      <c r="E15" s="33">
        <f>C37*'E Balans VL '!I15/100/3.6*1000000</f>
        <v>8.8859485507426932</v>
      </c>
      <c r="F15" s="33">
        <f>C37*'E Balans VL '!L15/100/3.6*1000000+C37*'E Balans VL '!N15/100/3.6*1000000</f>
        <v>29.451485656439033</v>
      </c>
      <c r="G15" s="34"/>
      <c r="H15" s="33"/>
      <c r="I15" s="33"/>
      <c r="J15" s="40">
        <f>C37*'E Balans VL '!D15/100/3.6*1000000+C37*'E Balans VL '!E15/100/3.6*1000000</f>
        <v>0.71589239932442006</v>
      </c>
      <c r="K15" s="33"/>
      <c r="L15" s="33"/>
      <c r="M15" s="33"/>
      <c r="N15" s="33">
        <f>C37*'E Balans VL '!Y15/100/3.6*1000000</f>
        <v>6.7862474680179883</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117136.83151499998</v>
      </c>
      <c r="C18" s="21">
        <f>C5+C16</f>
        <v>0</v>
      </c>
      <c r="D18" s="21">
        <f>MAX((D5+D16),0)</f>
        <v>14492.837500680002</v>
      </c>
      <c r="E18" s="21">
        <f>MAX((E5+E16),0)</f>
        <v>2865.5513499791059</v>
      </c>
      <c r="F18" s="21">
        <f>MAX((F5+F16),0)</f>
        <v>13017.835398596737</v>
      </c>
      <c r="G18" s="21"/>
      <c r="H18" s="21"/>
      <c r="I18" s="21"/>
      <c r="J18" s="21">
        <f>MAX((J5+J16),0)</f>
        <v>82.351005477727469</v>
      </c>
      <c r="K18" s="21"/>
      <c r="L18" s="21">
        <f>MAX((L5+L16),0)</f>
        <v>0</v>
      </c>
      <c r="M18" s="21"/>
      <c r="N18" s="21">
        <f>MAX((N5+N16),0)</f>
        <v>48121.859883261677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0.15547169094724686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18211.461267839804</v>
      </c>
      <c r="C22" s="23">
        <f ca="1">C18*C20</f>
        <v>0</v>
      </c>
      <c r="D22" s="23">
        <f>D18*D20</f>
        <v>2927.5531751373605</v>
      </c>
      <c r="E22" s="23">
        <f>E18*E20</f>
        <v>650.48015644525708</v>
      </c>
      <c r="F22" s="23">
        <f>F18*F20</f>
        <v>3475.762051425329</v>
      </c>
      <c r="G22" s="23"/>
      <c r="H22" s="23"/>
      <c r="I22" s="23"/>
      <c r="J22" s="23">
        <f>J18*J20</f>
        <v>29.152255939115523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23987.875172</v>
      </c>
      <c r="C30" s="39">
        <f>IF(ISERROR(B30*3.6/1000000/'E Balans VL '!Z18*100),0,B30*3.6/1000000/'E Balans VL '!Z18*100)</f>
        <v>1.3272836868840496</v>
      </c>
      <c r="D30" s="234" t="s">
        <v>667</v>
      </c>
    </row>
    <row r="31" spans="1:18">
      <c r="A31" s="6" t="s">
        <v>32</v>
      </c>
      <c r="B31" s="37">
        <f>IF( ISERROR(IND_ander_ele_kWh/1000),0,IND_ander_ele_kWh/1000)</f>
        <v>2415.3006500000001</v>
      </c>
      <c r="C31" s="39">
        <f>IF(ISERROR(B31*3.6/1000000/'E Balans VL '!Z19*100),0,B31*3.6/1000000/'E Balans VL '!Z19*100)</f>
        <v>0.10536296114223029</v>
      </c>
      <c r="D31" s="234" t="s">
        <v>667</v>
      </c>
    </row>
    <row r="32" spans="1:18">
      <c r="A32" s="168" t="s">
        <v>40</v>
      </c>
      <c r="B32" s="37">
        <f>IF( ISERROR(IND_voed_ele_kWh/1000),0,IND_voed_ele_kWh/1000)</f>
        <v>479.22255000000001</v>
      </c>
      <c r="C32" s="39">
        <f>IF(ISERROR(B32*3.6/1000000/'E Balans VL '!Z20*100),0,B32*3.6/1000000/'E Balans VL '!Z20*100)</f>
        <v>1.5042455873307778E-2</v>
      </c>
      <c r="D32" s="234" t="s">
        <v>667</v>
      </c>
    </row>
    <row r="33" spans="1:5">
      <c r="A33" s="168" t="s">
        <v>39</v>
      </c>
      <c r="B33" s="37">
        <f>IF( ISERROR(IND_textiel_ele_kWh/1000),0,IND_textiel_ele_kWh/1000)</f>
        <v>402.38600000000002</v>
      </c>
      <c r="C33" s="39">
        <f>IF(ISERROR(B33*3.6/1000000/'E Balans VL '!Z21*100),0,B33*3.6/1000000/'E Balans VL '!Z21*100)</f>
        <v>6.2492337924858497E-2</v>
      </c>
      <c r="D33" s="234" t="s">
        <v>667</v>
      </c>
    </row>
    <row r="34" spans="1:5">
      <c r="A34" s="168" t="s">
        <v>36</v>
      </c>
      <c r="B34" s="37">
        <f>IF( ISERROR(IND_min_ele_kWh/1000),0,IND_min_ele_kWh/1000)</f>
        <v>80136.59</v>
      </c>
      <c r="C34" s="39">
        <f>IF(ISERROR(B34*3.6/1000000/'E Balans VL '!Z22*100),0,B34*3.6/1000000/'E Balans VL '!Z22*100)</f>
        <v>35.944572080172676</v>
      </c>
      <c r="D34" s="234" t="s">
        <v>667</v>
      </c>
    </row>
    <row r="35" spans="1:5">
      <c r="A35" s="168" t="s">
        <v>38</v>
      </c>
      <c r="B35" s="37">
        <f>IF( ISERROR(IND_papier_ele_kWh/1000),0,IND_papier_ele_kWh/1000)</f>
        <v>179.517</v>
      </c>
      <c r="C35" s="39">
        <f>IF(ISERROR(B35*3.6/1000000/'E Balans VL '!Z22*100),0,B35*3.6/1000000/'E Balans VL '!Z22*100)</f>
        <v>8.0520792638123964E-2</v>
      </c>
      <c r="D35" s="234" t="s">
        <v>667</v>
      </c>
    </row>
    <row r="36" spans="1:5">
      <c r="A36" s="168" t="s">
        <v>33</v>
      </c>
      <c r="B36" s="37">
        <f>IF( ISERROR(IND_chemie_ele_kWh/1000),0,IND_chemie_ele_kWh/1000)</f>
        <v>9349.6691429999992</v>
      </c>
      <c r="C36" s="39">
        <f>IF(ISERROR(B36*3.6/1000000/'E Balans VL '!Z24*100),0,B36*3.6/1000000/'E Balans VL '!Z24*100)</f>
        <v>0.2747373880139562</v>
      </c>
      <c r="D36" s="234" t="s">
        <v>667</v>
      </c>
    </row>
    <row r="37" spans="1:5">
      <c r="A37" s="168" t="s">
        <v>258</v>
      </c>
      <c r="B37" s="37">
        <f>IF( ISERROR(IND_rest_ele_kWh/1000),0,IND_rest_ele_kWh/1000)</f>
        <v>186.27099999999999</v>
      </c>
      <c r="C37" s="39">
        <f>IF(ISERROR(B37*3.6/1000000/'E Balans VL '!Z15*100),0,B37*3.6/1000000/'E Balans VL '!Z15*100)</f>
        <v>1.5159512544934577E-3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501.63799999999998</v>
      </c>
      <c r="C5" s="17">
        <f>'Eigen informatie GS &amp; warmtenet'!B62</f>
        <v>0</v>
      </c>
      <c r="D5" s="30">
        <f>IF(ISERROR(SUM(LB_lb_gas_kWh,LB_rest_gas_kWh)/1000),0,SUM(LB_lb_gas_kWh,LB_rest_gas_kWh)/1000)*0.902</f>
        <v>404.67688800000002</v>
      </c>
      <c r="E5" s="17">
        <f>B17*'E Balans VL '!I25/3.6*1000000/100</f>
        <v>20.379771078647877</v>
      </c>
      <c r="F5" s="17">
        <f>B17*('E Balans VL '!L25/3.6*1000000+'E Balans VL '!N25/3.6*1000000)/100</f>
        <v>1774.469133885154</v>
      </c>
      <c r="G5" s="18"/>
      <c r="H5" s="17"/>
      <c r="I5" s="17"/>
      <c r="J5" s="17">
        <f>('E Balans VL '!D25+'E Balans VL '!E25)/3.6*1000000*landbouw!B17/100</f>
        <v>142.5257541627563</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501.63799999999998</v>
      </c>
      <c r="C8" s="21">
        <f>C5+C6</f>
        <v>0</v>
      </c>
      <c r="D8" s="21">
        <f>MAX((D5+D6),0)</f>
        <v>404.67688800000002</v>
      </c>
      <c r="E8" s="21">
        <f>MAX((E5+E6),0)</f>
        <v>20.379771078647877</v>
      </c>
      <c r="F8" s="21">
        <f>MAX((F5+F6),0)</f>
        <v>1774.469133885154</v>
      </c>
      <c r="G8" s="21"/>
      <c r="H8" s="21"/>
      <c r="I8" s="21"/>
      <c r="J8" s="21">
        <f>MAX((J5+J6),0)</f>
        <v>142.5257541627563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0.15547169094724686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77.990508103395015</v>
      </c>
      <c r="C12" s="23">
        <f ca="1">C8*C10</f>
        <v>0</v>
      </c>
      <c r="D12" s="23">
        <f>D8*D10</f>
        <v>81.744731376000004</v>
      </c>
      <c r="E12" s="23">
        <f>E8*E10</f>
        <v>4.6262080348530681</v>
      </c>
      <c r="F12" s="23">
        <f>F8*F10</f>
        <v>473.78325874733611</v>
      </c>
      <c r="G12" s="23"/>
      <c r="H12" s="23"/>
      <c r="I12" s="23"/>
      <c r="J12" s="23">
        <f>J8*J10</f>
        <v>50.454116973615726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7.4572084781812695E-2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149.82166933360489</v>
      </c>
      <c r="C26" s="244">
        <f>B26*'GWP N2O_CH4'!B5</f>
        <v>3146.2550560057025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29.46839568741543</v>
      </c>
      <c r="C27" s="244">
        <f>B27*'GWP N2O_CH4'!B5</f>
        <v>618.83630943572405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1.9366994144944247</v>
      </c>
      <c r="C28" s="244">
        <f>B28*'GWP N2O_CH4'!B4</f>
        <v>600.37681849327168</v>
      </c>
      <c r="D28" s="50"/>
    </row>
    <row r="29" spans="1:4">
      <c r="A29" s="41" t="s">
        <v>265</v>
      </c>
      <c r="B29" s="244">
        <f>B34*'ha_N2O bodem landbouw'!B4</f>
        <v>10.29030518264206</v>
      </c>
      <c r="C29" s="244">
        <f>B29*'GWP N2O_CH4'!B4</f>
        <v>3189.9946066190387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2.2564786537744145E-3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5.471987577378495E-4</v>
      </c>
      <c r="C5" s="429" t="s">
        <v>204</v>
      </c>
      <c r="D5" s="414">
        <f>SUM(D6:D11)</f>
        <v>9.4110864372181778E-4</v>
      </c>
      <c r="E5" s="414">
        <f>SUM(E6:E11)</f>
        <v>8.5634981709387114E-4</v>
      </c>
      <c r="F5" s="427" t="s">
        <v>204</v>
      </c>
      <c r="G5" s="414">
        <f>SUM(G6:G11)</f>
        <v>0.40016473762058502</v>
      </c>
      <c r="H5" s="414">
        <f>SUM(H6:H11)</f>
        <v>9.1250878391345325E-2</v>
      </c>
      <c r="I5" s="429" t="s">
        <v>204</v>
      </c>
      <c r="J5" s="429" t="s">
        <v>204</v>
      </c>
      <c r="K5" s="429" t="s">
        <v>204</v>
      </c>
      <c r="L5" s="429" t="s">
        <v>204</v>
      </c>
      <c r="M5" s="414">
        <f>SUM(M6:M11)</f>
        <v>2.9107959850686208E-2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1.4978275475548163E-4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2.5411436342426974E-4</v>
      </c>
      <c r="E6" s="843">
        <f>vkm_GW_PW*SUMIFS(TableVerdeelsleutelVkm[LPG],TableVerdeelsleutelVkm[Voertuigtype],"Lichte voertuigen")*SUMIFS(TableECFTransport[EnergieConsumptieFactor (PJ per km)],TableECFTransport[Index],CONCATENATE($A6,"_LPG_LPG"))</f>
        <v>2.2001459936087499E-4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7.0281887906441354E-2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2.4450189802125929E-2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5.6700404446788765E-3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7.5169780734991198E-7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2.8690110117156869E-2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4.5724813129687821E-7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1.6537700968646365E-3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1.8561382707154905E-4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4.0147209151904098E-4</v>
      </c>
      <c r="E8" s="417">
        <f>vkm_NGW_PW*SUMIFS(TableVerdeelsleutelVkm[LPG],TableVerdeelsleutelVkm[Voertuigtype],"Lichte voertuigen")*SUMIFS(TableECFTransport[EnergieConsumptieFactor (PJ per km)],TableECFTransport[Index],CONCATENATE($A8,"_LPG_LPG"))</f>
        <v>3.3199246870114238E-4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9.8400056825597965E-2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3.7956509834215973E-2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8.1850898216224849E-3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3.2511829352326179E-7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1.5952491907600869E-2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2.3870774426039537E-7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9.1954072219473527E-4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2.0798210327489138E-4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2.8552218877850695E-4</v>
      </c>
      <c r="E10" s="417">
        <f>vkm_SW_PW*SUMIFS(TableVerdeelsleutelVkm[LPG],TableVerdeelsleutelVkm[Voertuigtype],"Lichte voertuigen")*SUMIFS(TableECFTransport[EnergieConsumptieFactor (PJ per km)],TableECFTransport[Index],CONCATENATE($A10,"_LPG_LPG"))</f>
        <v>3.0434274903185377E-4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8.7535180946519728E-2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2.8841765264437377E-2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6.9553193325652164E-3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2.7432565350541691E-6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9.9305009917268261E-2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1.717534690492929E-6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5.7241994327602583E-3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151.99965492718042</v>
      </c>
      <c r="C14" s="21"/>
      <c r="D14" s="21">
        <f t="shared" ref="D14:M14" si="0">((D5)*10^9/3600)+D12</f>
        <v>261.41906770050491</v>
      </c>
      <c r="E14" s="21">
        <f t="shared" si="0"/>
        <v>237.87494919274201</v>
      </c>
      <c r="F14" s="21"/>
      <c r="G14" s="21">
        <f t="shared" si="0"/>
        <v>111156.87156127361</v>
      </c>
      <c r="H14" s="21">
        <f t="shared" si="0"/>
        <v>25347.466219818147</v>
      </c>
      <c r="I14" s="21"/>
      <c r="J14" s="21"/>
      <c r="K14" s="21"/>
      <c r="L14" s="21"/>
      <c r="M14" s="21">
        <f t="shared" si="0"/>
        <v>8085.5444029683913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0.15547169094724686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23.63164337492676</v>
      </c>
      <c r="C18" s="23"/>
      <c r="D18" s="23">
        <f t="shared" ref="D18:M18" si="1">D14*D16</f>
        <v>52.806651675501996</v>
      </c>
      <c r="E18" s="23">
        <f t="shared" si="1"/>
        <v>53.997613466752441</v>
      </c>
      <c r="F18" s="23"/>
      <c r="G18" s="23">
        <f t="shared" si="1"/>
        <v>29678.884706860055</v>
      </c>
      <c r="H18" s="23">
        <f t="shared" si="1"/>
        <v>6311.5190887347189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8.7590982774796324E-5</v>
      </c>
      <c r="C50" s="313">
        <f t="shared" ref="C50:P50" si="2">SUM(C51:C52)</f>
        <v>0</v>
      </c>
      <c r="D50" s="313">
        <f t="shared" si="2"/>
        <v>0</v>
      </c>
      <c r="E50" s="313">
        <f t="shared" si="2"/>
        <v>0</v>
      </c>
      <c r="F50" s="313">
        <f t="shared" si="2"/>
        <v>0</v>
      </c>
      <c r="G50" s="313">
        <f t="shared" si="2"/>
        <v>6.3460987186075733E-3</v>
      </c>
      <c r="H50" s="313">
        <f t="shared" si="2"/>
        <v>0</v>
      </c>
      <c r="I50" s="313">
        <f t="shared" si="2"/>
        <v>0</v>
      </c>
      <c r="J50" s="313">
        <f t="shared" si="2"/>
        <v>0</v>
      </c>
      <c r="K50" s="313">
        <f t="shared" si="2"/>
        <v>0</v>
      </c>
      <c r="L50" s="313">
        <f t="shared" si="2"/>
        <v>0</v>
      </c>
      <c r="M50" s="313">
        <f t="shared" si="2"/>
        <v>3.5895424241816647E-4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8.7590982774796324E-5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6.3460987186075733E-3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3.5895424241816647E-4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24.330828548554535</v>
      </c>
      <c r="C54" s="21">
        <f t="shared" ref="C54:P54" si="3">(C50)*10^9/3600</f>
        <v>0</v>
      </c>
      <c r="D54" s="21">
        <f t="shared" si="3"/>
        <v>0</v>
      </c>
      <c r="E54" s="21">
        <f t="shared" si="3"/>
        <v>0</v>
      </c>
      <c r="F54" s="21">
        <f t="shared" si="3"/>
        <v>0</v>
      </c>
      <c r="G54" s="21">
        <f t="shared" si="3"/>
        <v>1762.8051996132147</v>
      </c>
      <c r="H54" s="21">
        <f t="shared" si="3"/>
        <v>0</v>
      </c>
      <c r="I54" s="21">
        <f t="shared" si="3"/>
        <v>0</v>
      </c>
      <c r="J54" s="21">
        <f t="shared" si="3"/>
        <v>0</v>
      </c>
      <c r="K54" s="21">
        <f t="shared" si="3"/>
        <v>0</v>
      </c>
      <c r="L54" s="21">
        <f t="shared" si="3"/>
        <v>0</v>
      </c>
      <c r="M54" s="21">
        <f t="shared" si="3"/>
        <v>99.709511782824023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0.15547169094724686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3.7827550565913217</v>
      </c>
      <c r="C58" s="23">
        <f t="shared" ref="C58:P58" ca="1" si="4">C54*C56</f>
        <v>0</v>
      </c>
      <c r="D58" s="23">
        <f t="shared" si="4"/>
        <v>0</v>
      </c>
      <c r="E58" s="23">
        <f t="shared" si="4"/>
        <v>0</v>
      </c>
      <c r="F58" s="23">
        <f t="shared" si="4"/>
        <v>0</v>
      </c>
      <c r="G58" s="23">
        <f t="shared" si="4"/>
        <v>470.66898829672834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44575.809281950969</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9640.2160284414294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23.85</v>
      </c>
      <c r="C8" s="539">
        <f>B48</f>
        <v>28.058823529411768</v>
      </c>
      <c r="D8" s="540"/>
      <c r="E8" s="540">
        <f>E48</f>
        <v>0</v>
      </c>
      <c r="F8" s="541"/>
      <c r="G8" s="542"/>
      <c r="H8" s="540">
        <f>I48</f>
        <v>0</v>
      </c>
      <c r="I8" s="540">
        <f>G48+F48</f>
        <v>0</v>
      </c>
      <c r="J8" s="540">
        <f>H48+D48+C48</f>
        <v>0</v>
      </c>
      <c r="K8" s="540"/>
      <c r="L8" s="540"/>
      <c r="M8" s="540"/>
      <c r="N8" s="543"/>
      <c r="O8" s="544">
        <f>C8*$C$12+D8*$D$12+E8*$E$12+F8*$F$12+G8*$G$12+H8*$H$12+I8*$I$12+J8*$J$12</f>
        <v>5.6678823529411773</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54239.875310392395</v>
      </c>
      <c r="C10" s="554">
        <f t="shared" ref="C10:L10" si="0">SUM(C8:C9)</f>
        <v>28.058823529411768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5.6678823529411773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34.071428571428577</v>
      </c>
      <c r="C17" s="570">
        <f>B49</f>
        <v>40.084033613445385</v>
      </c>
      <c r="D17" s="571"/>
      <c r="E17" s="571">
        <f>E49</f>
        <v>0</v>
      </c>
      <c r="F17" s="572"/>
      <c r="G17" s="573"/>
      <c r="H17" s="570">
        <f>I49</f>
        <v>0</v>
      </c>
      <c r="I17" s="571">
        <f>G49+F49</f>
        <v>0</v>
      </c>
      <c r="J17" s="571">
        <f>H49+D49+C49</f>
        <v>0</v>
      </c>
      <c r="K17" s="571"/>
      <c r="L17" s="571"/>
      <c r="M17" s="571"/>
      <c r="N17" s="924"/>
      <c r="O17" s="574">
        <f>C17*$C$22+E17*$E$22+H17*$H$22+I17*$I$22+J17*$J$22+D17*$D$22+F17*$F$22+G17*$G$22+K17*$K$22+L17*$L$22</f>
        <v>8.0969747899159685</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34.071428571428577</v>
      </c>
      <c r="C20" s="553">
        <f>SUM(C17:C19)</f>
        <v>40.084033613445385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8.0969747899159685</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63.75" hidden="1">
      <c r="A28" s="583"/>
      <c r="B28" s="745">
        <v>71057</v>
      </c>
      <c r="C28" s="745">
        <v>3980</v>
      </c>
      <c r="D28" s="631"/>
      <c r="E28" s="630"/>
      <c r="F28" s="630"/>
      <c r="G28" s="630" t="s">
        <v>883</v>
      </c>
      <c r="H28" s="630" t="s">
        <v>884</v>
      </c>
      <c r="I28" s="630"/>
      <c r="J28" s="744"/>
      <c r="K28" s="744"/>
      <c r="L28" s="630" t="s">
        <v>885</v>
      </c>
      <c r="M28" s="630">
        <v>5.3</v>
      </c>
      <c r="N28" s="630">
        <v>23.85</v>
      </c>
      <c r="O28" s="630">
        <v>34.071428571428577</v>
      </c>
      <c r="P28" s="630">
        <v>68.142857142857153</v>
      </c>
      <c r="Q28" s="630">
        <v>0</v>
      </c>
      <c r="R28" s="630">
        <v>0</v>
      </c>
      <c r="S28" s="630">
        <v>0</v>
      </c>
      <c r="T28" s="630">
        <v>0</v>
      </c>
      <c r="U28" s="630">
        <v>0</v>
      </c>
      <c r="V28" s="630">
        <v>0</v>
      </c>
      <c r="W28" s="630">
        <v>0</v>
      </c>
      <c r="X28" s="630"/>
      <c r="Y28" s="630">
        <v>1600</v>
      </c>
      <c r="Z28" s="630" t="s">
        <v>49</v>
      </c>
      <c r="AA28" s="632" t="s">
        <v>149</v>
      </c>
    </row>
    <row r="29" spans="1:27" s="564" customFormat="1" hidden="1">
      <c r="A29" s="586" t="s">
        <v>268</v>
      </c>
      <c r="B29" s="587"/>
      <c r="C29" s="587"/>
      <c r="D29" s="587"/>
      <c r="E29" s="587"/>
      <c r="F29" s="587"/>
      <c r="G29" s="587"/>
      <c r="H29" s="587"/>
      <c r="I29" s="587"/>
      <c r="J29" s="587"/>
      <c r="K29" s="587"/>
      <c r="L29" s="588"/>
      <c r="M29" s="588">
        <f>SUM(M28:M28)</f>
        <v>5.3</v>
      </c>
      <c r="N29" s="588">
        <f>SUM(N28:N28)</f>
        <v>23.85</v>
      </c>
      <c r="O29" s="588">
        <f>SUM(O28:O28)</f>
        <v>34.071428571428577</v>
      </c>
      <c r="P29" s="588">
        <f>SUM(P28:P28)</f>
        <v>68.142857142857153</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5.3</v>
      </c>
      <c r="N31" s="588">
        <f ca="1">SUMIF($AA$28:AE28,"tertiair",N28:N28)</f>
        <v>23.85</v>
      </c>
      <c r="O31" s="588">
        <f ca="1">SUMIF($AA$28:AF28,"tertiair",O28:O28)</f>
        <v>34.071428571428577</v>
      </c>
      <c r="P31" s="588">
        <f ca="1">SUMIF($AA$28:AG28,"tertiair",P28:P28)</f>
        <v>68.142857142857153</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28.058823529411768</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40.084033613445385</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32124.950206999998</v>
      </c>
      <c r="D10" s="641">
        <f ca="1">tertiair!C16</f>
        <v>34.071428571428577</v>
      </c>
      <c r="E10" s="641">
        <f ca="1">tertiair!D16</f>
        <v>21143.912502429142</v>
      </c>
      <c r="F10" s="641">
        <f>tertiair!E16</f>
        <v>85.263443285723852</v>
      </c>
      <c r="G10" s="641">
        <f ca="1">tertiair!F16</f>
        <v>6180.4973755982664</v>
      </c>
      <c r="H10" s="641">
        <f>tertiair!G16</f>
        <v>0</v>
      </c>
      <c r="I10" s="641">
        <f>tertiair!H16</f>
        <v>0</v>
      </c>
      <c r="J10" s="641">
        <f>tertiair!I16</f>
        <v>0</v>
      </c>
      <c r="K10" s="641">
        <f>tertiair!J16</f>
        <v>4.6377836763650634E-2</v>
      </c>
      <c r="L10" s="641">
        <f>tertiair!K16</f>
        <v>0</v>
      </c>
      <c r="M10" s="641">
        <f ca="1">tertiair!L16</f>
        <v>0</v>
      </c>
      <c r="N10" s="641">
        <f>tertiair!M16</f>
        <v>0</v>
      </c>
      <c r="O10" s="641">
        <f ca="1">tertiair!N16</f>
        <v>1709.7338498216945</v>
      </c>
      <c r="P10" s="641">
        <f>tertiair!O16</f>
        <v>9.7945215316823084</v>
      </c>
      <c r="Q10" s="642">
        <f>tertiair!P16</f>
        <v>52.539138306495019</v>
      </c>
      <c r="R10" s="644">
        <f ca="1">SUM(C10:Q10)</f>
        <v>61340.808844381179</v>
      </c>
      <c r="S10" s="67"/>
    </row>
    <row r="11" spans="1:19" s="440" customFormat="1">
      <c r="A11" s="761" t="s">
        <v>213</v>
      </c>
      <c r="B11" s="766"/>
      <c r="C11" s="641">
        <f>huishoudens!B8</f>
        <v>32021.664046094149</v>
      </c>
      <c r="D11" s="641">
        <f>huishoudens!C8</f>
        <v>0</v>
      </c>
      <c r="E11" s="641">
        <f>huishoudens!D8</f>
        <v>51011.840233200004</v>
      </c>
      <c r="F11" s="641">
        <f>huishoudens!E8</f>
        <v>2651.2160335677131</v>
      </c>
      <c r="G11" s="641">
        <f>huishoudens!F8</f>
        <v>51020.791745418806</v>
      </c>
      <c r="H11" s="641">
        <f>huishoudens!G8</f>
        <v>0</v>
      </c>
      <c r="I11" s="641">
        <f>huishoudens!H8</f>
        <v>0</v>
      </c>
      <c r="J11" s="641">
        <f>huishoudens!I8</f>
        <v>0</v>
      </c>
      <c r="K11" s="641">
        <f>huishoudens!J8</f>
        <v>261.07882183477489</v>
      </c>
      <c r="L11" s="641">
        <f>huishoudens!K8</f>
        <v>0</v>
      </c>
      <c r="M11" s="641">
        <f>huishoudens!L8</f>
        <v>0</v>
      </c>
      <c r="N11" s="641">
        <f>huishoudens!M8</f>
        <v>0</v>
      </c>
      <c r="O11" s="641">
        <f>huishoudens!N8</f>
        <v>11173.106161043583</v>
      </c>
      <c r="P11" s="641">
        <f>huishoudens!O8</f>
        <v>908.65286447926053</v>
      </c>
      <c r="Q11" s="642">
        <f>huishoudens!P8</f>
        <v>1179.8034424607226</v>
      </c>
      <c r="R11" s="644">
        <f>SUM(C11:Q11)</f>
        <v>150228.153348099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117136.83151499998</v>
      </c>
      <c r="D13" s="641">
        <f>industrie!C18</f>
        <v>0</v>
      </c>
      <c r="E13" s="641">
        <f>industrie!D18</f>
        <v>14492.837500680002</v>
      </c>
      <c r="F13" s="641">
        <f>industrie!E18</f>
        <v>2865.5513499791059</v>
      </c>
      <c r="G13" s="641">
        <f>industrie!F18</f>
        <v>13017.835398596737</v>
      </c>
      <c r="H13" s="641">
        <f>industrie!G18</f>
        <v>0</v>
      </c>
      <c r="I13" s="641">
        <f>industrie!H18</f>
        <v>0</v>
      </c>
      <c r="J13" s="641">
        <f>industrie!I18</f>
        <v>0</v>
      </c>
      <c r="K13" s="641">
        <f>industrie!J18</f>
        <v>82.351005477727469</v>
      </c>
      <c r="L13" s="641">
        <f>industrie!K18</f>
        <v>0</v>
      </c>
      <c r="M13" s="641">
        <f>industrie!L18</f>
        <v>0</v>
      </c>
      <c r="N13" s="641">
        <f>industrie!M18</f>
        <v>0</v>
      </c>
      <c r="O13" s="641">
        <f>industrie!N18</f>
        <v>48121.859883261677</v>
      </c>
      <c r="P13" s="641">
        <f>industrie!O18</f>
        <v>0</v>
      </c>
      <c r="Q13" s="642">
        <f>industrie!P18</f>
        <v>0</v>
      </c>
      <c r="R13" s="644">
        <f>SUM(C13:Q13)</f>
        <v>195717.2666529952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181283.44576809413</v>
      </c>
      <c r="D16" s="677">
        <f t="shared" ref="D16:R16" ca="1" si="0">SUM(D9:D15)</f>
        <v>34.071428571428577</v>
      </c>
      <c r="E16" s="677">
        <f t="shared" ca="1" si="0"/>
        <v>86648.590236309159</v>
      </c>
      <c r="F16" s="677">
        <f t="shared" si="0"/>
        <v>5602.0308268325425</v>
      </c>
      <c r="G16" s="677">
        <f t="shared" ca="1" si="0"/>
        <v>70219.124519613804</v>
      </c>
      <c r="H16" s="677">
        <f t="shared" si="0"/>
        <v>0</v>
      </c>
      <c r="I16" s="677">
        <f t="shared" si="0"/>
        <v>0</v>
      </c>
      <c r="J16" s="677">
        <f t="shared" si="0"/>
        <v>0</v>
      </c>
      <c r="K16" s="677">
        <f t="shared" si="0"/>
        <v>343.47620514926604</v>
      </c>
      <c r="L16" s="677">
        <f t="shared" si="0"/>
        <v>0</v>
      </c>
      <c r="M16" s="677">
        <f t="shared" ca="1" si="0"/>
        <v>0</v>
      </c>
      <c r="N16" s="677">
        <f t="shared" si="0"/>
        <v>0</v>
      </c>
      <c r="O16" s="677">
        <f t="shared" ca="1" si="0"/>
        <v>61004.699894126956</v>
      </c>
      <c r="P16" s="677">
        <f t="shared" si="0"/>
        <v>918.44738601094286</v>
      </c>
      <c r="Q16" s="677">
        <f t="shared" si="0"/>
        <v>1232.3425807672177</v>
      </c>
      <c r="R16" s="677">
        <f t="shared" ca="1" si="0"/>
        <v>407286.22884547536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24.330828548554535</v>
      </c>
      <c r="D19" s="641">
        <f>transport!C54</f>
        <v>0</v>
      </c>
      <c r="E19" s="641">
        <f>transport!D54</f>
        <v>0</v>
      </c>
      <c r="F19" s="641">
        <f>transport!E54</f>
        <v>0</v>
      </c>
      <c r="G19" s="641">
        <f>transport!F54</f>
        <v>0</v>
      </c>
      <c r="H19" s="641">
        <f>transport!G54</f>
        <v>1762.8051996132147</v>
      </c>
      <c r="I19" s="641">
        <f>transport!H54</f>
        <v>0</v>
      </c>
      <c r="J19" s="641">
        <f>transport!I54</f>
        <v>0</v>
      </c>
      <c r="K19" s="641">
        <f>transport!J54</f>
        <v>0</v>
      </c>
      <c r="L19" s="641">
        <f>transport!K54</f>
        <v>0</v>
      </c>
      <c r="M19" s="641">
        <f>transport!L54</f>
        <v>0</v>
      </c>
      <c r="N19" s="641">
        <f>transport!M54</f>
        <v>99.709511782824023</v>
      </c>
      <c r="O19" s="641">
        <f>transport!N54</f>
        <v>0</v>
      </c>
      <c r="P19" s="641">
        <f>transport!O54</f>
        <v>0</v>
      </c>
      <c r="Q19" s="642">
        <f>transport!P54</f>
        <v>0</v>
      </c>
      <c r="R19" s="644">
        <f>SUM(C19:Q19)</f>
        <v>1886.8455399445932</v>
      </c>
      <c r="S19" s="67"/>
    </row>
    <row r="20" spans="1:19" s="440" customFormat="1">
      <c r="A20" s="761" t="s">
        <v>295</v>
      </c>
      <c r="B20" s="766"/>
      <c r="C20" s="641">
        <f>transport!B14</f>
        <v>151.99965492718042</v>
      </c>
      <c r="D20" s="641">
        <f>transport!C14</f>
        <v>0</v>
      </c>
      <c r="E20" s="641">
        <f>transport!D14</f>
        <v>261.41906770050491</v>
      </c>
      <c r="F20" s="641">
        <f>transport!E14</f>
        <v>237.87494919274201</v>
      </c>
      <c r="G20" s="641">
        <f>transport!F14</f>
        <v>0</v>
      </c>
      <c r="H20" s="641">
        <f>transport!G14</f>
        <v>111156.87156127361</v>
      </c>
      <c r="I20" s="641">
        <f>transport!H14</f>
        <v>25347.466219818147</v>
      </c>
      <c r="J20" s="641">
        <f>transport!I14</f>
        <v>0</v>
      </c>
      <c r="K20" s="641">
        <f>transport!J14</f>
        <v>0</v>
      </c>
      <c r="L20" s="641">
        <f>transport!K14</f>
        <v>0</v>
      </c>
      <c r="M20" s="641">
        <f>transport!L14</f>
        <v>0</v>
      </c>
      <c r="N20" s="641">
        <f>transport!M14</f>
        <v>8085.5444029683913</v>
      </c>
      <c r="O20" s="641">
        <f>transport!N14</f>
        <v>0</v>
      </c>
      <c r="P20" s="641">
        <f>transport!O14</f>
        <v>0</v>
      </c>
      <c r="Q20" s="642">
        <f>transport!P14</f>
        <v>0</v>
      </c>
      <c r="R20" s="644">
        <f>SUM(C20:Q20)</f>
        <v>145241.17585588057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176.33048347573495</v>
      </c>
      <c r="D22" s="764">
        <f t="shared" ref="D22:R22" si="1">SUM(D18:D21)</f>
        <v>0</v>
      </c>
      <c r="E22" s="764">
        <f t="shared" si="1"/>
        <v>261.41906770050491</v>
      </c>
      <c r="F22" s="764">
        <f t="shared" si="1"/>
        <v>237.87494919274201</v>
      </c>
      <c r="G22" s="764">
        <f t="shared" si="1"/>
        <v>0</v>
      </c>
      <c r="H22" s="764">
        <f t="shared" si="1"/>
        <v>112919.67676088682</v>
      </c>
      <c r="I22" s="764">
        <f t="shared" si="1"/>
        <v>25347.466219818147</v>
      </c>
      <c r="J22" s="764">
        <f t="shared" si="1"/>
        <v>0</v>
      </c>
      <c r="K22" s="764">
        <f t="shared" si="1"/>
        <v>0</v>
      </c>
      <c r="L22" s="764">
        <f t="shared" si="1"/>
        <v>0</v>
      </c>
      <c r="M22" s="764">
        <f t="shared" si="1"/>
        <v>0</v>
      </c>
      <c r="N22" s="764">
        <f t="shared" si="1"/>
        <v>8185.2539147512152</v>
      </c>
      <c r="O22" s="764">
        <f t="shared" si="1"/>
        <v>0</v>
      </c>
      <c r="P22" s="764">
        <f t="shared" si="1"/>
        <v>0</v>
      </c>
      <c r="Q22" s="764">
        <f t="shared" si="1"/>
        <v>0</v>
      </c>
      <c r="R22" s="764">
        <f t="shared" si="1"/>
        <v>147128.02139582517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501.63799999999998</v>
      </c>
      <c r="D24" s="641">
        <f>+landbouw!C8</f>
        <v>0</v>
      </c>
      <c r="E24" s="641">
        <f>+landbouw!D8</f>
        <v>404.67688800000002</v>
      </c>
      <c r="F24" s="641">
        <f>+landbouw!E8</f>
        <v>20.379771078647877</v>
      </c>
      <c r="G24" s="641">
        <f>+landbouw!F8</f>
        <v>1774.469133885154</v>
      </c>
      <c r="H24" s="641">
        <f>+landbouw!G8</f>
        <v>0</v>
      </c>
      <c r="I24" s="641">
        <f>+landbouw!H8</f>
        <v>0</v>
      </c>
      <c r="J24" s="641">
        <f>+landbouw!I8</f>
        <v>0</v>
      </c>
      <c r="K24" s="641">
        <f>+landbouw!J8</f>
        <v>142.5257541627563</v>
      </c>
      <c r="L24" s="641">
        <f>+landbouw!K8</f>
        <v>0</v>
      </c>
      <c r="M24" s="641">
        <f>+landbouw!L8</f>
        <v>0</v>
      </c>
      <c r="N24" s="641">
        <f>+landbouw!M8</f>
        <v>0</v>
      </c>
      <c r="O24" s="641">
        <f>+landbouw!N8</f>
        <v>0</v>
      </c>
      <c r="P24" s="641">
        <f>+landbouw!O8</f>
        <v>0</v>
      </c>
      <c r="Q24" s="642">
        <f>+landbouw!P8</f>
        <v>0</v>
      </c>
      <c r="R24" s="644">
        <f>SUM(C24:Q24)</f>
        <v>2843.689547126558</v>
      </c>
      <c r="S24" s="67"/>
    </row>
    <row r="25" spans="1:19" s="440" customFormat="1" ht="15" thickBot="1">
      <c r="A25" s="783" t="s">
        <v>683</v>
      </c>
      <c r="B25" s="901"/>
      <c r="C25" s="902">
        <f>IF(Onbekend_ele_kWh="---",0,Onbekend_ele_kWh)/1000+IF(REST_rest_ele_kWh="---",0,REST_rest_ele_kWh)/1000</f>
        <v>880.85246400000005</v>
      </c>
      <c r="D25" s="902"/>
      <c r="E25" s="902">
        <f>IF(onbekend_gas_kWh="---",0,onbekend_gas_kWh)/1000+IF(REST_rest_gas_kWh="---",0,REST_rest_gas_kWh)/1000</f>
        <v>2434.2712000000001</v>
      </c>
      <c r="F25" s="902"/>
      <c r="G25" s="902"/>
      <c r="H25" s="902"/>
      <c r="I25" s="902"/>
      <c r="J25" s="902"/>
      <c r="K25" s="902"/>
      <c r="L25" s="902"/>
      <c r="M25" s="902"/>
      <c r="N25" s="902"/>
      <c r="O25" s="902"/>
      <c r="P25" s="902"/>
      <c r="Q25" s="903"/>
      <c r="R25" s="644">
        <f>SUM(C25:Q25)</f>
        <v>3315.1236640000002</v>
      </c>
      <c r="S25" s="67"/>
    </row>
    <row r="26" spans="1:19" s="440" customFormat="1" ht="15.75" thickBot="1">
      <c r="A26" s="649" t="s">
        <v>684</v>
      </c>
      <c r="B26" s="769"/>
      <c r="C26" s="764">
        <f>SUM(C24:C25)</f>
        <v>1382.490464</v>
      </c>
      <c r="D26" s="764">
        <f t="shared" ref="D26:R26" si="2">SUM(D24:D25)</f>
        <v>0</v>
      </c>
      <c r="E26" s="764">
        <f t="shared" si="2"/>
        <v>2838.9480880000001</v>
      </c>
      <c r="F26" s="764">
        <f t="shared" si="2"/>
        <v>20.379771078647877</v>
      </c>
      <c r="G26" s="764">
        <f t="shared" si="2"/>
        <v>1774.469133885154</v>
      </c>
      <c r="H26" s="764">
        <f t="shared" si="2"/>
        <v>0</v>
      </c>
      <c r="I26" s="764">
        <f t="shared" si="2"/>
        <v>0</v>
      </c>
      <c r="J26" s="764">
        <f t="shared" si="2"/>
        <v>0</v>
      </c>
      <c r="K26" s="764">
        <f t="shared" si="2"/>
        <v>142.5257541627563</v>
      </c>
      <c r="L26" s="764">
        <f t="shared" si="2"/>
        <v>0</v>
      </c>
      <c r="M26" s="764">
        <f t="shared" si="2"/>
        <v>0</v>
      </c>
      <c r="N26" s="764">
        <f t="shared" si="2"/>
        <v>0</v>
      </c>
      <c r="O26" s="764">
        <f t="shared" si="2"/>
        <v>0</v>
      </c>
      <c r="P26" s="764">
        <f t="shared" si="2"/>
        <v>0</v>
      </c>
      <c r="Q26" s="764">
        <f t="shared" si="2"/>
        <v>0</v>
      </c>
      <c r="R26" s="764">
        <f t="shared" si="2"/>
        <v>6158.8132111265586</v>
      </c>
      <c r="S26" s="67"/>
    </row>
    <row r="27" spans="1:19" s="440" customFormat="1" ht="17.25" thickTop="1" thickBot="1">
      <c r="A27" s="650" t="s">
        <v>109</v>
      </c>
      <c r="B27" s="756"/>
      <c r="C27" s="651">
        <f ca="1">C22+C16+C26</f>
        <v>182842.26671556986</v>
      </c>
      <c r="D27" s="651">
        <f t="shared" ref="D27:R27" ca="1" si="3">D22+D16+D26</f>
        <v>34.071428571428577</v>
      </c>
      <c r="E27" s="651">
        <f t="shared" ca="1" si="3"/>
        <v>89748.957392009674</v>
      </c>
      <c r="F27" s="651">
        <f t="shared" si="3"/>
        <v>5860.285547103932</v>
      </c>
      <c r="G27" s="651">
        <f t="shared" ca="1" si="3"/>
        <v>71993.59365349896</v>
      </c>
      <c r="H27" s="651">
        <f t="shared" si="3"/>
        <v>112919.67676088682</v>
      </c>
      <c r="I27" s="651">
        <f t="shared" si="3"/>
        <v>25347.466219818147</v>
      </c>
      <c r="J27" s="651">
        <f t="shared" si="3"/>
        <v>0</v>
      </c>
      <c r="K27" s="651">
        <f t="shared" si="3"/>
        <v>486.00195931202234</v>
      </c>
      <c r="L27" s="651">
        <f t="shared" si="3"/>
        <v>0</v>
      </c>
      <c r="M27" s="651">
        <f t="shared" ca="1" si="3"/>
        <v>0</v>
      </c>
      <c r="N27" s="651">
        <f t="shared" si="3"/>
        <v>8185.2539147512152</v>
      </c>
      <c r="O27" s="651">
        <f t="shared" ca="1" si="3"/>
        <v>61004.699894126956</v>
      </c>
      <c r="P27" s="651">
        <f t="shared" si="3"/>
        <v>918.44738601094286</v>
      </c>
      <c r="Q27" s="651">
        <f t="shared" si="3"/>
        <v>1232.3425807672177</v>
      </c>
      <c r="R27" s="651">
        <f t="shared" ca="1" si="3"/>
        <v>560573.06345242716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4994.5203302783975</v>
      </c>
      <c r="D40" s="641">
        <f ca="1">tertiair!C20</f>
        <v>8.0969747899159685</v>
      </c>
      <c r="E40" s="641">
        <f ca="1">tertiair!D20</f>
        <v>4271.0703254906866</v>
      </c>
      <c r="F40" s="641">
        <f>tertiair!E20</f>
        <v>19.354801625859317</v>
      </c>
      <c r="G40" s="641">
        <f ca="1">tertiair!F20</f>
        <v>1650.1927992847372</v>
      </c>
      <c r="H40" s="641">
        <f>tertiair!G20</f>
        <v>0</v>
      </c>
      <c r="I40" s="641">
        <f>tertiair!H20</f>
        <v>0</v>
      </c>
      <c r="J40" s="641">
        <f>tertiair!I20</f>
        <v>0</v>
      </c>
      <c r="K40" s="641">
        <f>tertiair!J20</f>
        <v>1.6417754214332322E-2</v>
      </c>
      <c r="L40" s="641">
        <f>tertiair!K20</f>
        <v>0</v>
      </c>
      <c r="M40" s="641">
        <f ca="1">tertiair!L20</f>
        <v>0</v>
      </c>
      <c r="N40" s="641">
        <f>tertiair!M20</f>
        <v>0</v>
      </c>
      <c r="O40" s="641">
        <f ca="1">tertiair!N20</f>
        <v>0</v>
      </c>
      <c r="P40" s="641">
        <f>tertiair!O20</f>
        <v>0</v>
      </c>
      <c r="Q40" s="724">
        <f>tertiair!P20</f>
        <v>0</v>
      </c>
      <c r="R40" s="802">
        <f t="shared" ca="1" si="4"/>
        <v>10943.251649223812</v>
      </c>
    </row>
    <row r="41" spans="1:18">
      <c r="A41" s="774" t="s">
        <v>213</v>
      </c>
      <c r="B41" s="781"/>
      <c r="C41" s="641">
        <f ca="1">huishoudens!B12</f>
        <v>4978.4622561909164</v>
      </c>
      <c r="D41" s="641">
        <f ca="1">huishoudens!C12</f>
        <v>0</v>
      </c>
      <c r="E41" s="641">
        <f>huishoudens!D12</f>
        <v>10304.391727106402</v>
      </c>
      <c r="F41" s="641">
        <f>huishoudens!E12</f>
        <v>601.82603961987093</v>
      </c>
      <c r="G41" s="641">
        <f>huishoudens!F12</f>
        <v>13622.551396026822</v>
      </c>
      <c r="H41" s="641">
        <f>huishoudens!G12</f>
        <v>0</v>
      </c>
      <c r="I41" s="641">
        <f>huishoudens!H12</f>
        <v>0</v>
      </c>
      <c r="J41" s="641">
        <f>huishoudens!I12</f>
        <v>0</v>
      </c>
      <c r="K41" s="641">
        <f>huishoudens!J12</f>
        <v>92.42190292951031</v>
      </c>
      <c r="L41" s="641">
        <f>huishoudens!K12</f>
        <v>0</v>
      </c>
      <c r="M41" s="641">
        <f>huishoudens!L12</f>
        <v>0</v>
      </c>
      <c r="N41" s="641">
        <f>huishoudens!M12</f>
        <v>0</v>
      </c>
      <c r="O41" s="641">
        <f>huishoudens!N12</f>
        <v>0</v>
      </c>
      <c r="P41" s="641">
        <f>huishoudens!O12</f>
        <v>0</v>
      </c>
      <c r="Q41" s="724">
        <f>huishoudens!P12</f>
        <v>0</v>
      </c>
      <c r="R41" s="802">
        <f t="shared" ca="1" si="4"/>
        <v>29599.65332187352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18211.461267839804</v>
      </c>
      <c r="D43" s="641">
        <f ca="1">industrie!C22</f>
        <v>0</v>
      </c>
      <c r="E43" s="641">
        <f>industrie!D22</f>
        <v>2927.5531751373605</v>
      </c>
      <c r="F43" s="641">
        <f>industrie!E22</f>
        <v>650.48015644525708</v>
      </c>
      <c r="G43" s="641">
        <f>industrie!F22</f>
        <v>3475.762051425329</v>
      </c>
      <c r="H43" s="641">
        <f>industrie!G22</f>
        <v>0</v>
      </c>
      <c r="I43" s="641">
        <f>industrie!H22</f>
        <v>0</v>
      </c>
      <c r="J43" s="641">
        <f>industrie!I22</f>
        <v>0</v>
      </c>
      <c r="K43" s="641">
        <f>industrie!J22</f>
        <v>29.152255939115523</v>
      </c>
      <c r="L43" s="641">
        <f>industrie!K22</f>
        <v>0</v>
      </c>
      <c r="M43" s="641">
        <f>industrie!L22</f>
        <v>0</v>
      </c>
      <c r="N43" s="641">
        <f>industrie!M22</f>
        <v>0</v>
      </c>
      <c r="O43" s="641">
        <f>industrie!N22</f>
        <v>0</v>
      </c>
      <c r="P43" s="641">
        <f>industrie!O22</f>
        <v>0</v>
      </c>
      <c r="Q43" s="724">
        <f>industrie!P22</f>
        <v>0</v>
      </c>
      <c r="R43" s="801">
        <f t="shared" ca="1" si="4"/>
        <v>25294.408906786866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28184.443854309116</v>
      </c>
      <c r="D46" s="677">
        <f t="shared" ref="D46:Q46" ca="1" si="5">SUM(D39:D45)</f>
        <v>8.0969747899159685</v>
      </c>
      <c r="E46" s="677">
        <f t="shared" ca="1" si="5"/>
        <v>17503.01522773445</v>
      </c>
      <c r="F46" s="677">
        <f t="shared" si="5"/>
        <v>1271.6609976909872</v>
      </c>
      <c r="G46" s="677">
        <f t="shared" ca="1" si="5"/>
        <v>18748.506246736888</v>
      </c>
      <c r="H46" s="677">
        <f t="shared" si="5"/>
        <v>0</v>
      </c>
      <c r="I46" s="677">
        <f t="shared" si="5"/>
        <v>0</v>
      </c>
      <c r="J46" s="677">
        <f t="shared" si="5"/>
        <v>0</v>
      </c>
      <c r="K46" s="677">
        <f t="shared" si="5"/>
        <v>121.59057662284016</v>
      </c>
      <c r="L46" s="677">
        <f t="shared" si="5"/>
        <v>0</v>
      </c>
      <c r="M46" s="677">
        <f t="shared" ca="1" si="5"/>
        <v>0</v>
      </c>
      <c r="N46" s="677">
        <f t="shared" si="5"/>
        <v>0</v>
      </c>
      <c r="O46" s="677">
        <f t="shared" ca="1" si="5"/>
        <v>0</v>
      </c>
      <c r="P46" s="677">
        <f t="shared" si="5"/>
        <v>0</v>
      </c>
      <c r="Q46" s="677">
        <f t="shared" si="5"/>
        <v>0</v>
      </c>
      <c r="R46" s="677">
        <f ca="1">SUM(R39:R45)</f>
        <v>65837.313877884197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3.7827550565913217</v>
      </c>
      <c r="D49" s="641">
        <f ca="1">transport!C58</f>
        <v>0</v>
      </c>
      <c r="E49" s="641">
        <f>transport!D58</f>
        <v>0</v>
      </c>
      <c r="F49" s="641">
        <f>transport!E58</f>
        <v>0</v>
      </c>
      <c r="G49" s="641">
        <f>transport!F58</f>
        <v>0</v>
      </c>
      <c r="H49" s="641">
        <f>transport!G58</f>
        <v>470.66898829672834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474.45174335331967</v>
      </c>
    </row>
    <row r="50" spans="1:18">
      <c r="A50" s="777" t="s">
        <v>295</v>
      </c>
      <c r="B50" s="787"/>
      <c r="C50" s="647">
        <f ca="1">transport!B18</f>
        <v>23.63164337492676</v>
      </c>
      <c r="D50" s="647">
        <f>transport!C18</f>
        <v>0</v>
      </c>
      <c r="E50" s="647">
        <f>transport!D18</f>
        <v>52.806651675501996</v>
      </c>
      <c r="F50" s="647">
        <f>transport!E18</f>
        <v>53.997613466752441</v>
      </c>
      <c r="G50" s="647">
        <f>transport!F18</f>
        <v>0</v>
      </c>
      <c r="H50" s="647">
        <f>transport!G18</f>
        <v>29678.884706860055</v>
      </c>
      <c r="I50" s="647">
        <f>transport!H18</f>
        <v>6311.5190887347189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36120.839704111953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27.41439843151808</v>
      </c>
      <c r="D52" s="677">
        <f t="shared" ref="D52:Q52" ca="1" si="6">SUM(D48:D51)</f>
        <v>0</v>
      </c>
      <c r="E52" s="677">
        <f t="shared" si="6"/>
        <v>52.806651675501996</v>
      </c>
      <c r="F52" s="677">
        <f t="shared" si="6"/>
        <v>53.997613466752441</v>
      </c>
      <c r="G52" s="677">
        <f t="shared" si="6"/>
        <v>0</v>
      </c>
      <c r="H52" s="677">
        <f t="shared" si="6"/>
        <v>30149.553695156785</v>
      </c>
      <c r="I52" s="677">
        <f t="shared" si="6"/>
        <v>6311.5190887347189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36595.291447465272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77.990508103395015</v>
      </c>
      <c r="D54" s="647">
        <f ca="1">+landbouw!C12</f>
        <v>0</v>
      </c>
      <c r="E54" s="647">
        <f>+landbouw!D12</f>
        <v>81.744731376000004</v>
      </c>
      <c r="F54" s="647">
        <f>+landbouw!E12</f>
        <v>4.6262080348530681</v>
      </c>
      <c r="G54" s="647">
        <f>+landbouw!F12</f>
        <v>473.78325874733611</v>
      </c>
      <c r="H54" s="647">
        <f>+landbouw!G12</f>
        <v>0</v>
      </c>
      <c r="I54" s="647">
        <f>+landbouw!H12</f>
        <v>0</v>
      </c>
      <c r="J54" s="647">
        <f>+landbouw!I12</f>
        <v>0</v>
      </c>
      <c r="K54" s="647">
        <f>+landbouw!J12</f>
        <v>50.454116973615726</v>
      </c>
      <c r="L54" s="647">
        <f>+landbouw!K12</f>
        <v>0</v>
      </c>
      <c r="M54" s="647">
        <f>+landbouw!L12</f>
        <v>0</v>
      </c>
      <c r="N54" s="647">
        <f>+landbouw!M12</f>
        <v>0</v>
      </c>
      <c r="O54" s="647">
        <f>+landbouw!N12</f>
        <v>0</v>
      </c>
      <c r="P54" s="647">
        <f>+landbouw!O12</f>
        <v>0</v>
      </c>
      <c r="Q54" s="648">
        <f>+landbouw!P12</f>
        <v>0</v>
      </c>
      <c r="R54" s="676">
        <f ca="1">SUM(C54:Q54)</f>
        <v>688.59882323519992</v>
      </c>
    </row>
    <row r="55" spans="1:18" ht="15" thickBot="1">
      <c r="A55" s="777" t="s">
        <v>683</v>
      </c>
      <c r="B55" s="787"/>
      <c r="C55" s="647">
        <f ca="1">C25*'EF ele_warmte'!B12</f>
        <v>136.9476220531289</v>
      </c>
      <c r="D55" s="647"/>
      <c r="E55" s="647">
        <f>E25*EF_CO2_aardgas</f>
        <v>491.72278240000009</v>
      </c>
      <c r="F55" s="647"/>
      <c r="G55" s="647"/>
      <c r="H55" s="647"/>
      <c r="I55" s="647"/>
      <c r="J55" s="647"/>
      <c r="K55" s="647"/>
      <c r="L55" s="647"/>
      <c r="M55" s="647"/>
      <c r="N55" s="647"/>
      <c r="O55" s="647"/>
      <c r="P55" s="647"/>
      <c r="Q55" s="648"/>
      <c r="R55" s="676">
        <f ca="1">SUM(C55:Q55)</f>
        <v>628.67040445312898</v>
      </c>
    </row>
    <row r="56" spans="1:18" ht="15.75" thickBot="1">
      <c r="A56" s="775" t="s">
        <v>684</v>
      </c>
      <c r="B56" s="788"/>
      <c r="C56" s="677">
        <f ca="1">SUM(C54:C55)</f>
        <v>214.93813015652393</v>
      </c>
      <c r="D56" s="677">
        <f t="shared" ref="D56:Q56" ca="1" si="7">SUM(D54:D55)</f>
        <v>0</v>
      </c>
      <c r="E56" s="677">
        <f t="shared" si="7"/>
        <v>573.46751377600003</v>
      </c>
      <c r="F56" s="677">
        <f t="shared" si="7"/>
        <v>4.6262080348530681</v>
      </c>
      <c r="G56" s="677">
        <f t="shared" si="7"/>
        <v>473.78325874733611</v>
      </c>
      <c r="H56" s="677">
        <f t="shared" si="7"/>
        <v>0</v>
      </c>
      <c r="I56" s="677">
        <f t="shared" si="7"/>
        <v>0</v>
      </c>
      <c r="J56" s="677">
        <f t="shared" si="7"/>
        <v>0</v>
      </c>
      <c r="K56" s="677">
        <f t="shared" si="7"/>
        <v>50.454116973615726</v>
      </c>
      <c r="L56" s="677">
        <f t="shared" si="7"/>
        <v>0</v>
      </c>
      <c r="M56" s="677">
        <f t="shared" si="7"/>
        <v>0</v>
      </c>
      <c r="N56" s="677">
        <f t="shared" si="7"/>
        <v>0</v>
      </c>
      <c r="O56" s="677">
        <f t="shared" si="7"/>
        <v>0</v>
      </c>
      <c r="P56" s="677">
        <f t="shared" si="7"/>
        <v>0</v>
      </c>
      <c r="Q56" s="678">
        <f t="shared" si="7"/>
        <v>0</v>
      </c>
      <c r="R56" s="679">
        <f ca="1">SUM(R54:R55)</f>
        <v>1317.269227688329</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28426.796382897159</v>
      </c>
      <c r="D61" s="685">
        <f t="shared" ref="D61:Q61" ca="1" si="8">D46+D52+D56</f>
        <v>8.0969747899159685</v>
      </c>
      <c r="E61" s="685">
        <f t="shared" ca="1" si="8"/>
        <v>18129.289393185951</v>
      </c>
      <c r="F61" s="685">
        <f t="shared" si="8"/>
        <v>1330.2848191925927</v>
      </c>
      <c r="G61" s="685">
        <f t="shared" ca="1" si="8"/>
        <v>19222.289505484223</v>
      </c>
      <c r="H61" s="685">
        <f t="shared" si="8"/>
        <v>30149.553695156785</v>
      </c>
      <c r="I61" s="685">
        <f t="shared" si="8"/>
        <v>6311.5190887347189</v>
      </c>
      <c r="J61" s="685">
        <f t="shared" si="8"/>
        <v>0</v>
      </c>
      <c r="K61" s="685">
        <f t="shared" si="8"/>
        <v>172.04469359645589</v>
      </c>
      <c r="L61" s="685">
        <f t="shared" si="8"/>
        <v>0</v>
      </c>
      <c r="M61" s="685">
        <f t="shared" ca="1" si="8"/>
        <v>0</v>
      </c>
      <c r="N61" s="685">
        <f t="shared" si="8"/>
        <v>0</v>
      </c>
      <c r="O61" s="685">
        <f t="shared" ca="1" si="8"/>
        <v>0</v>
      </c>
      <c r="P61" s="685">
        <f t="shared" si="8"/>
        <v>0</v>
      </c>
      <c r="Q61" s="685">
        <f t="shared" si="8"/>
        <v>0</v>
      </c>
      <c r="R61" s="685">
        <f ca="1">R46+R52+R56</f>
        <v>103749.87455303779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0.15547169094724686</v>
      </c>
      <c r="D63" s="731">
        <f t="shared" ca="1" si="9"/>
        <v>0.23764705882352943</v>
      </c>
      <c r="E63" s="927">
        <f t="shared" ca="1" si="9"/>
        <v>0.20199999999999996</v>
      </c>
      <c r="F63" s="731">
        <f t="shared" si="9"/>
        <v>0.22700000000000004</v>
      </c>
      <c r="G63" s="731">
        <f t="shared" ca="1" si="9"/>
        <v>0.26700000000000002</v>
      </c>
      <c r="H63" s="731">
        <f t="shared" si="9"/>
        <v>0.26700000000000002</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44575.809281950969</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9640.2160284414294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23.85</v>
      </c>
      <c r="D76" s="910">
        <f>'lokale energieproductie'!C8</f>
        <v>28.058823529411768</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5.6678823529411773</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54216.025310392397</v>
      </c>
      <c r="C78" s="703">
        <f>SUM(C72:C77)</f>
        <v>23.85</v>
      </c>
      <c r="D78" s="704">
        <f t="shared" ref="D78:H78" si="10">SUM(D76:D77)</f>
        <v>28.058823529411768</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5.6678823529411773</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34.071428571428577</v>
      </c>
      <c r="D87" s="727">
        <f>'lokale energieproductie'!C17</f>
        <v>40.084033613445385</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8.0969747899159685</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34.071428571428577</v>
      </c>
      <c r="D90" s="703">
        <f t="shared" ref="D90:H90" si="12">SUM(D87:D89)</f>
        <v>40.084033613445385</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8.0969747899159685</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32021.664046094149</v>
      </c>
      <c r="C4" s="444">
        <f>huishoudens!C8</f>
        <v>0</v>
      </c>
      <c r="D4" s="444">
        <f>huishoudens!D8</f>
        <v>51011.840233200004</v>
      </c>
      <c r="E4" s="444">
        <f>huishoudens!E8</f>
        <v>2651.2160335677131</v>
      </c>
      <c r="F4" s="444">
        <f>huishoudens!F8</f>
        <v>51020.791745418806</v>
      </c>
      <c r="G4" s="444">
        <f>huishoudens!G8</f>
        <v>0</v>
      </c>
      <c r="H4" s="444">
        <f>huishoudens!H8</f>
        <v>0</v>
      </c>
      <c r="I4" s="444">
        <f>huishoudens!I8</f>
        <v>0</v>
      </c>
      <c r="J4" s="444">
        <f>huishoudens!J8</f>
        <v>261.07882183477489</v>
      </c>
      <c r="K4" s="444">
        <f>huishoudens!K8</f>
        <v>0</v>
      </c>
      <c r="L4" s="444">
        <f>huishoudens!L8</f>
        <v>0</v>
      </c>
      <c r="M4" s="444">
        <f>huishoudens!M8</f>
        <v>0</v>
      </c>
      <c r="N4" s="444">
        <f>huishoudens!N8</f>
        <v>11173.106161043583</v>
      </c>
      <c r="O4" s="444">
        <f>huishoudens!O8</f>
        <v>908.65286447926053</v>
      </c>
      <c r="P4" s="445">
        <f>huishoudens!P8</f>
        <v>1179.8034424607226</v>
      </c>
      <c r="Q4" s="446">
        <f>SUM(B4:P4)</f>
        <v>150228.153348099</v>
      </c>
    </row>
    <row r="5" spans="1:17">
      <c r="A5" s="443" t="s">
        <v>149</v>
      </c>
      <c r="B5" s="444">
        <f ca="1">tertiair!B16</f>
        <v>30718.735206999998</v>
      </c>
      <c r="C5" s="444">
        <f ca="1">tertiair!C16</f>
        <v>34.071428571428577</v>
      </c>
      <c r="D5" s="444">
        <f ca="1">tertiair!D16</f>
        <v>21143.912502429142</v>
      </c>
      <c r="E5" s="444">
        <f>tertiair!E16</f>
        <v>85.263443285723852</v>
      </c>
      <c r="F5" s="444">
        <f ca="1">tertiair!F16</f>
        <v>6180.4973755982664</v>
      </c>
      <c r="G5" s="444">
        <f>tertiair!G16</f>
        <v>0</v>
      </c>
      <c r="H5" s="444">
        <f>tertiair!H16</f>
        <v>0</v>
      </c>
      <c r="I5" s="444">
        <f>tertiair!I16</f>
        <v>0</v>
      </c>
      <c r="J5" s="444">
        <f>tertiair!J16</f>
        <v>4.6377836763650634E-2</v>
      </c>
      <c r="K5" s="444">
        <f>tertiair!K16</f>
        <v>0</v>
      </c>
      <c r="L5" s="444">
        <f ca="1">tertiair!L16</f>
        <v>0</v>
      </c>
      <c r="M5" s="444">
        <f>tertiair!M16</f>
        <v>0</v>
      </c>
      <c r="N5" s="444">
        <f ca="1">tertiair!N16</f>
        <v>1709.7338498216945</v>
      </c>
      <c r="O5" s="444">
        <f>tertiair!O16</f>
        <v>9.7945215316823084</v>
      </c>
      <c r="P5" s="445">
        <f>tertiair!P16</f>
        <v>52.539138306495019</v>
      </c>
      <c r="Q5" s="443">
        <f t="shared" ref="Q5:Q14" ca="1" si="0">SUM(B5:P5)</f>
        <v>59934.593844381183</v>
      </c>
    </row>
    <row r="6" spans="1:17">
      <c r="A6" s="443" t="s">
        <v>187</v>
      </c>
      <c r="B6" s="444">
        <f>'openbare verlichting'!B8</f>
        <v>1406.2149999999999</v>
      </c>
      <c r="C6" s="444"/>
      <c r="D6" s="444"/>
      <c r="E6" s="444"/>
      <c r="F6" s="444"/>
      <c r="G6" s="444"/>
      <c r="H6" s="444"/>
      <c r="I6" s="444"/>
      <c r="J6" s="444"/>
      <c r="K6" s="444"/>
      <c r="L6" s="444"/>
      <c r="M6" s="444"/>
      <c r="N6" s="444"/>
      <c r="O6" s="444"/>
      <c r="P6" s="445"/>
      <c r="Q6" s="443">
        <f t="shared" si="0"/>
        <v>1406.2149999999999</v>
      </c>
    </row>
    <row r="7" spans="1:17">
      <c r="A7" s="443" t="s">
        <v>105</v>
      </c>
      <c r="B7" s="444">
        <f>landbouw!B8</f>
        <v>501.63799999999998</v>
      </c>
      <c r="C7" s="444">
        <f>landbouw!C8</f>
        <v>0</v>
      </c>
      <c r="D7" s="444">
        <f>landbouw!D8</f>
        <v>404.67688800000002</v>
      </c>
      <c r="E7" s="444">
        <f>landbouw!E8</f>
        <v>20.379771078647877</v>
      </c>
      <c r="F7" s="444">
        <f>landbouw!F8</f>
        <v>1774.469133885154</v>
      </c>
      <c r="G7" s="444">
        <f>landbouw!G8</f>
        <v>0</v>
      </c>
      <c r="H7" s="444">
        <f>landbouw!H8</f>
        <v>0</v>
      </c>
      <c r="I7" s="444">
        <f>landbouw!I8</f>
        <v>0</v>
      </c>
      <c r="J7" s="444">
        <f>landbouw!J8</f>
        <v>142.5257541627563</v>
      </c>
      <c r="K7" s="444">
        <f>landbouw!K8</f>
        <v>0</v>
      </c>
      <c r="L7" s="444">
        <f>landbouw!L8</f>
        <v>0</v>
      </c>
      <c r="M7" s="444">
        <f>landbouw!M8</f>
        <v>0</v>
      </c>
      <c r="N7" s="444">
        <f>landbouw!N8</f>
        <v>0</v>
      </c>
      <c r="O7" s="444">
        <f>landbouw!O8</f>
        <v>0</v>
      </c>
      <c r="P7" s="445">
        <f>landbouw!P8</f>
        <v>0</v>
      </c>
      <c r="Q7" s="443">
        <f t="shared" si="0"/>
        <v>2843.689547126558</v>
      </c>
    </row>
    <row r="8" spans="1:17">
      <c r="A8" s="443" t="s">
        <v>587</v>
      </c>
      <c r="B8" s="444">
        <f>industrie!B18</f>
        <v>117136.83151499998</v>
      </c>
      <c r="C8" s="444">
        <f>industrie!C18</f>
        <v>0</v>
      </c>
      <c r="D8" s="444">
        <f>industrie!D18</f>
        <v>14492.837500680002</v>
      </c>
      <c r="E8" s="444">
        <f>industrie!E18</f>
        <v>2865.5513499791059</v>
      </c>
      <c r="F8" s="444">
        <f>industrie!F18</f>
        <v>13017.835398596737</v>
      </c>
      <c r="G8" s="444">
        <f>industrie!G18</f>
        <v>0</v>
      </c>
      <c r="H8" s="444">
        <f>industrie!H18</f>
        <v>0</v>
      </c>
      <c r="I8" s="444">
        <f>industrie!I18</f>
        <v>0</v>
      </c>
      <c r="J8" s="444">
        <f>industrie!J18</f>
        <v>82.351005477727469</v>
      </c>
      <c r="K8" s="444">
        <f>industrie!K18</f>
        <v>0</v>
      </c>
      <c r="L8" s="444">
        <f>industrie!L18</f>
        <v>0</v>
      </c>
      <c r="M8" s="444">
        <f>industrie!M18</f>
        <v>0</v>
      </c>
      <c r="N8" s="444">
        <f>industrie!N18</f>
        <v>48121.859883261677</v>
      </c>
      <c r="O8" s="444">
        <f>industrie!O18</f>
        <v>0</v>
      </c>
      <c r="P8" s="445">
        <f>industrie!P18</f>
        <v>0</v>
      </c>
      <c r="Q8" s="443">
        <f t="shared" si="0"/>
        <v>195717.2666529952</v>
      </c>
    </row>
    <row r="9" spans="1:17" s="449" customFormat="1">
      <c r="A9" s="447" t="s">
        <v>536</v>
      </c>
      <c r="B9" s="448">
        <f>transport!B14</f>
        <v>151.99965492718042</v>
      </c>
      <c r="C9" s="448">
        <f>transport!C14</f>
        <v>0</v>
      </c>
      <c r="D9" s="448">
        <f>transport!D14</f>
        <v>261.41906770050491</v>
      </c>
      <c r="E9" s="448">
        <f>transport!E14</f>
        <v>237.87494919274201</v>
      </c>
      <c r="F9" s="448">
        <f>transport!F14</f>
        <v>0</v>
      </c>
      <c r="G9" s="448">
        <f>transport!G14</f>
        <v>111156.87156127361</v>
      </c>
      <c r="H9" s="448">
        <f>transport!H14</f>
        <v>25347.466219818147</v>
      </c>
      <c r="I9" s="448">
        <f>transport!I14</f>
        <v>0</v>
      </c>
      <c r="J9" s="448">
        <f>transport!J14</f>
        <v>0</v>
      </c>
      <c r="K9" s="448">
        <f>transport!K14</f>
        <v>0</v>
      </c>
      <c r="L9" s="448">
        <f>transport!L14</f>
        <v>0</v>
      </c>
      <c r="M9" s="448">
        <f>transport!M14</f>
        <v>8085.5444029683913</v>
      </c>
      <c r="N9" s="448">
        <f>transport!N14</f>
        <v>0</v>
      </c>
      <c r="O9" s="448">
        <f>transport!O14</f>
        <v>0</v>
      </c>
      <c r="P9" s="448">
        <f>transport!P14</f>
        <v>0</v>
      </c>
      <c r="Q9" s="447">
        <f>SUM(B9:P9)</f>
        <v>145241.17585588057</v>
      </c>
    </row>
    <row r="10" spans="1:17">
      <c r="A10" s="443" t="s">
        <v>526</v>
      </c>
      <c r="B10" s="444">
        <f>transport!B54</f>
        <v>24.330828548554535</v>
      </c>
      <c r="C10" s="444">
        <f>transport!C54</f>
        <v>0</v>
      </c>
      <c r="D10" s="444">
        <f>transport!D54</f>
        <v>0</v>
      </c>
      <c r="E10" s="444">
        <f>transport!E54</f>
        <v>0</v>
      </c>
      <c r="F10" s="444">
        <f>transport!F54</f>
        <v>0</v>
      </c>
      <c r="G10" s="444">
        <f>transport!G54</f>
        <v>1762.8051996132147</v>
      </c>
      <c r="H10" s="444">
        <f>transport!H54</f>
        <v>0</v>
      </c>
      <c r="I10" s="444">
        <f>transport!I54</f>
        <v>0</v>
      </c>
      <c r="J10" s="444">
        <f>transport!J54</f>
        <v>0</v>
      </c>
      <c r="K10" s="444">
        <f>transport!K54</f>
        <v>0</v>
      </c>
      <c r="L10" s="444">
        <f>transport!L54</f>
        <v>0</v>
      </c>
      <c r="M10" s="444">
        <f>transport!M54</f>
        <v>99.709511782824023</v>
      </c>
      <c r="N10" s="444">
        <f>transport!N54</f>
        <v>0</v>
      </c>
      <c r="O10" s="444">
        <f>transport!O54</f>
        <v>0</v>
      </c>
      <c r="P10" s="445">
        <f>transport!P54</f>
        <v>0</v>
      </c>
      <c r="Q10" s="443">
        <f t="shared" si="0"/>
        <v>1886.8455399445932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880.85246400000005</v>
      </c>
      <c r="C14" s="451"/>
      <c r="D14" s="451">
        <f>'SEAP template'!E25</f>
        <v>2434.2712000000001</v>
      </c>
      <c r="E14" s="451"/>
      <c r="F14" s="451"/>
      <c r="G14" s="451"/>
      <c r="H14" s="451"/>
      <c r="I14" s="451"/>
      <c r="J14" s="451"/>
      <c r="K14" s="451"/>
      <c r="L14" s="451"/>
      <c r="M14" s="451"/>
      <c r="N14" s="451"/>
      <c r="O14" s="451"/>
      <c r="P14" s="452"/>
      <c r="Q14" s="443">
        <f t="shared" si="0"/>
        <v>3315.1236640000002</v>
      </c>
    </row>
    <row r="15" spans="1:17" s="455" customFormat="1">
      <c r="A15" s="453" t="s">
        <v>530</v>
      </c>
      <c r="B15" s="454">
        <f ca="1">SUM(B4:B14)</f>
        <v>182842.26671556986</v>
      </c>
      <c r="C15" s="454">
        <f t="shared" ref="C15:Q15" ca="1" si="1">SUM(C4:C14)</f>
        <v>34.071428571428577</v>
      </c>
      <c r="D15" s="454">
        <f t="shared" ca="1" si="1"/>
        <v>89748.957392009674</v>
      </c>
      <c r="E15" s="454">
        <f t="shared" si="1"/>
        <v>5860.2855471039329</v>
      </c>
      <c r="F15" s="454">
        <f t="shared" ca="1" si="1"/>
        <v>71993.59365349896</v>
      </c>
      <c r="G15" s="454">
        <f t="shared" si="1"/>
        <v>112919.67676088682</v>
      </c>
      <c r="H15" s="454">
        <f t="shared" si="1"/>
        <v>25347.466219818147</v>
      </c>
      <c r="I15" s="454">
        <f t="shared" si="1"/>
        <v>0</v>
      </c>
      <c r="J15" s="454">
        <f t="shared" si="1"/>
        <v>486.00195931202234</v>
      </c>
      <c r="K15" s="454">
        <f t="shared" si="1"/>
        <v>0</v>
      </c>
      <c r="L15" s="454">
        <f t="shared" ca="1" si="1"/>
        <v>0</v>
      </c>
      <c r="M15" s="454">
        <f t="shared" si="1"/>
        <v>8185.2539147512152</v>
      </c>
      <c r="N15" s="454">
        <f t="shared" ca="1" si="1"/>
        <v>61004.699894126956</v>
      </c>
      <c r="O15" s="454">
        <f t="shared" si="1"/>
        <v>918.44738601094286</v>
      </c>
      <c r="P15" s="454">
        <f t="shared" si="1"/>
        <v>1232.3425807672177</v>
      </c>
      <c r="Q15" s="454">
        <f t="shared" ca="1" si="1"/>
        <v>560573.06345242704</v>
      </c>
    </row>
    <row r="17" spans="1:17">
      <c r="A17" s="456" t="s">
        <v>531</v>
      </c>
      <c r="B17" s="736">
        <f ca="1">huishoudens!B10</f>
        <v>0.15547169094724686</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4978.4622561909164</v>
      </c>
      <c r="C22" s="444">
        <f t="shared" ref="C22:C32" ca="1" si="3">C4*$C$17</f>
        <v>0</v>
      </c>
      <c r="D22" s="444">
        <f t="shared" ref="D22:D32" si="4">D4*$D$17</f>
        <v>10304.391727106402</v>
      </c>
      <c r="E22" s="444">
        <f t="shared" ref="E22:E32" si="5">E4*$E$17</f>
        <v>601.82603961987093</v>
      </c>
      <c r="F22" s="444">
        <f t="shared" ref="F22:F32" si="6">F4*$F$17</f>
        <v>13622.551396026822</v>
      </c>
      <c r="G22" s="444">
        <f t="shared" ref="G22:G32" si="7">G4*$G$17</f>
        <v>0</v>
      </c>
      <c r="H22" s="444">
        <f t="shared" ref="H22:H32" si="8">H4*$H$17</f>
        <v>0</v>
      </c>
      <c r="I22" s="444">
        <f t="shared" ref="I22:I32" si="9">I4*$I$17</f>
        <v>0</v>
      </c>
      <c r="J22" s="444">
        <f t="shared" ref="J22:J32" si="10">J4*$J$17</f>
        <v>92.42190292951031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29599.65332187352</v>
      </c>
    </row>
    <row r="23" spans="1:17">
      <c r="A23" s="443" t="s">
        <v>149</v>
      </c>
      <c r="B23" s="444">
        <f t="shared" ca="1" si="2"/>
        <v>4775.8937063930152</v>
      </c>
      <c r="C23" s="444">
        <f t="shared" ca="1" si="3"/>
        <v>8.0969747899159685</v>
      </c>
      <c r="D23" s="444">
        <f t="shared" ca="1" si="4"/>
        <v>4271.0703254906866</v>
      </c>
      <c r="E23" s="444">
        <f t="shared" si="5"/>
        <v>19.354801625859317</v>
      </c>
      <c r="F23" s="444">
        <f t="shared" ca="1" si="6"/>
        <v>1650.1927992847372</v>
      </c>
      <c r="G23" s="444">
        <f t="shared" si="7"/>
        <v>0</v>
      </c>
      <c r="H23" s="444">
        <f t="shared" si="8"/>
        <v>0</v>
      </c>
      <c r="I23" s="444">
        <f t="shared" si="9"/>
        <v>0</v>
      </c>
      <c r="J23" s="444">
        <f t="shared" si="10"/>
        <v>1.6417754214332322E-2</v>
      </c>
      <c r="K23" s="444">
        <f t="shared" si="11"/>
        <v>0</v>
      </c>
      <c r="L23" s="444">
        <f t="shared" ca="1" si="12"/>
        <v>0</v>
      </c>
      <c r="M23" s="444">
        <f t="shared" si="13"/>
        <v>0</v>
      </c>
      <c r="N23" s="444">
        <f t="shared" ca="1" si="14"/>
        <v>0</v>
      </c>
      <c r="O23" s="444">
        <f t="shared" si="15"/>
        <v>0</v>
      </c>
      <c r="P23" s="445">
        <f t="shared" si="16"/>
        <v>0</v>
      </c>
      <c r="Q23" s="443">
        <f t="shared" ref="Q23:Q31" ca="1" si="17">SUM(B23:P23)</f>
        <v>10724.62502533843</v>
      </c>
    </row>
    <row r="24" spans="1:17">
      <c r="A24" s="443" t="s">
        <v>187</v>
      </c>
      <c r="B24" s="444">
        <f t="shared" ca="1" si="2"/>
        <v>218.62662388538274</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218.62662388538274</v>
      </c>
    </row>
    <row r="25" spans="1:17">
      <c r="A25" s="443" t="s">
        <v>105</v>
      </c>
      <c r="B25" s="444">
        <f t="shared" ca="1" si="2"/>
        <v>77.990508103395015</v>
      </c>
      <c r="C25" s="444">
        <f t="shared" ca="1" si="3"/>
        <v>0</v>
      </c>
      <c r="D25" s="444">
        <f t="shared" si="4"/>
        <v>81.744731376000004</v>
      </c>
      <c r="E25" s="444">
        <f t="shared" si="5"/>
        <v>4.6262080348530681</v>
      </c>
      <c r="F25" s="444">
        <f t="shared" si="6"/>
        <v>473.78325874733611</v>
      </c>
      <c r="G25" s="444">
        <f t="shared" si="7"/>
        <v>0</v>
      </c>
      <c r="H25" s="444">
        <f t="shared" si="8"/>
        <v>0</v>
      </c>
      <c r="I25" s="444">
        <f t="shared" si="9"/>
        <v>0</v>
      </c>
      <c r="J25" s="444">
        <f t="shared" si="10"/>
        <v>50.454116973615726</v>
      </c>
      <c r="K25" s="444">
        <f t="shared" si="11"/>
        <v>0</v>
      </c>
      <c r="L25" s="444">
        <f t="shared" si="12"/>
        <v>0</v>
      </c>
      <c r="M25" s="444">
        <f t="shared" si="13"/>
        <v>0</v>
      </c>
      <c r="N25" s="444">
        <f t="shared" si="14"/>
        <v>0</v>
      </c>
      <c r="O25" s="444">
        <f t="shared" si="15"/>
        <v>0</v>
      </c>
      <c r="P25" s="445">
        <f t="shared" si="16"/>
        <v>0</v>
      </c>
      <c r="Q25" s="443">
        <f t="shared" ca="1" si="17"/>
        <v>688.59882323519992</v>
      </c>
    </row>
    <row r="26" spans="1:17">
      <c r="A26" s="443" t="s">
        <v>587</v>
      </c>
      <c r="B26" s="444">
        <f t="shared" ca="1" si="2"/>
        <v>18211.461267839804</v>
      </c>
      <c r="C26" s="444">
        <f t="shared" ca="1" si="3"/>
        <v>0</v>
      </c>
      <c r="D26" s="444">
        <f t="shared" si="4"/>
        <v>2927.5531751373605</v>
      </c>
      <c r="E26" s="444">
        <f t="shared" si="5"/>
        <v>650.48015644525708</v>
      </c>
      <c r="F26" s="444">
        <f t="shared" si="6"/>
        <v>3475.762051425329</v>
      </c>
      <c r="G26" s="444">
        <f t="shared" si="7"/>
        <v>0</v>
      </c>
      <c r="H26" s="444">
        <f t="shared" si="8"/>
        <v>0</v>
      </c>
      <c r="I26" s="444">
        <f t="shared" si="9"/>
        <v>0</v>
      </c>
      <c r="J26" s="444">
        <f t="shared" si="10"/>
        <v>29.152255939115523</v>
      </c>
      <c r="K26" s="444">
        <f t="shared" si="11"/>
        <v>0</v>
      </c>
      <c r="L26" s="444">
        <f t="shared" si="12"/>
        <v>0</v>
      </c>
      <c r="M26" s="444">
        <f t="shared" si="13"/>
        <v>0</v>
      </c>
      <c r="N26" s="444">
        <f t="shared" si="14"/>
        <v>0</v>
      </c>
      <c r="O26" s="444">
        <f t="shared" si="15"/>
        <v>0</v>
      </c>
      <c r="P26" s="445">
        <f t="shared" si="16"/>
        <v>0</v>
      </c>
      <c r="Q26" s="443">
        <f t="shared" ca="1" si="17"/>
        <v>25294.408906786866</v>
      </c>
    </row>
    <row r="27" spans="1:17" s="449" customFormat="1">
      <c r="A27" s="447" t="s">
        <v>536</v>
      </c>
      <c r="B27" s="730">
        <f t="shared" ca="1" si="2"/>
        <v>23.63164337492676</v>
      </c>
      <c r="C27" s="448">
        <f t="shared" ca="1" si="3"/>
        <v>0</v>
      </c>
      <c r="D27" s="448">
        <f t="shared" si="4"/>
        <v>52.806651675501996</v>
      </c>
      <c r="E27" s="448">
        <f t="shared" si="5"/>
        <v>53.997613466752441</v>
      </c>
      <c r="F27" s="448">
        <f t="shared" si="6"/>
        <v>0</v>
      </c>
      <c r="G27" s="448">
        <f t="shared" si="7"/>
        <v>29678.884706860055</v>
      </c>
      <c r="H27" s="448">
        <f t="shared" si="8"/>
        <v>6311.5190887347189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36120.839704111953</v>
      </c>
    </row>
    <row r="28" spans="1:17" ht="16.5" customHeight="1">
      <c r="A28" s="443" t="s">
        <v>526</v>
      </c>
      <c r="B28" s="444">
        <f t="shared" ca="1" si="2"/>
        <v>3.7827550565913217</v>
      </c>
      <c r="C28" s="444">
        <f t="shared" ca="1" si="3"/>
        <v>0</v>
      </c>
      <c r="D28" s="444">
        <f t="shared" si="4"/>
        <v>0</v>
      </c>
      <c r="E28" s="444">
        <f t="shared" si="5"/>
        <v>0</v>
      </c>
      <c r="F28" s="444">
        <f t="shared" si="6"/>
        <v>0</v>
      </c>
      <c r="G28" s="444">
        <f t="shared" si="7"/>
        <v>470.66898829672834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474.45174335331967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136.9476220531289</v>
      </c>
      <c r="C32" s="444">
        <f t="shared" ca="1" si="3"/>
        <v>0</v>
      </c>
      <c r="D32" s="444">
        <f t="shared" si="4"/>
        <v>491.72278240000009</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628.67040445312898</v>
      </c>
    </row>
    <row r="33" spans="1:17" s="455" customFormat="1">
      <c r="A33" s="453" t="s">
        <v>530</v>
      </c>
      <c r="B33" s="454">
        <f ca="1">SUM(B22:B32)</f>
        <v>28426.796382897162</v>
      </c>
      <c r="C33" s="454">
        <f t="shared" ref="C33:Q33" ca="1" si="19">SUM(C22:C32)</f>
        <v>8.0969747899159685</v>
      </c>
      <c r="D33" s="454">
        <f t="shared" ca="1" si="19"/>
        <v>18129.289393185954</v>
      </c>
      <c r="E33" s="454">
        <f t="shared" si="19"/>
        <v>1330.284819192593</v>
      </c>
      <c r="F33" s="454">
        <f t="shared" ca="1" si="19"/>
        <v>19222.289505484227</v>
      </c>
      <c r="G33" s="454">
        <f t="shared" si="19"/>
        <v>30149.553695156785</v>
      </c>
      <c r="H33" s="454">
        <f t="shared" si="19"/>
        <v>6311.5190887347189</v>
      </c>
      <c r="I33" s="454">
        <f t="shared" si="19"/>
        <v>0</v>
      </c>
      <c r="J33" s="454">
        <f t="shared" si="19"/>
        <v>172.04469359645589</v>
      </c>
      <c r="K33" s="454">
        <f t="shared" si="19"/>
        <v>0</v>
      </c>
      <c r="L33" s="454">
        <f t="shared" ca="1" si="19"/>
        <v>0</v>
      </c>
      <c r="M33" s="454">
        <f t="shared" si="19"/>
        <v>0</v>
      </c>
      <c r="N33" s="454">
        <f t="shared" ca="1" si="19"/>
        <v>0</v>
      </c>
      <c r="O33" s="454">
        <f t="shared" si="19"/>
        <v>0</v>
      </c>
      <c r="P33" s="454">
        <f t="shared" si="19"/>
        <v>0</v>
      </c>
      <c r="Q33" s="454">
        <f t="shared" ca="1" si="19"/>
        <v>103749.87455303781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44575.809281950969</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9640.2160284414294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23.85</v>
      </c>
      <c r="D8" s="979">
        <f>'SEAP template'!D76</f>
        <v>28.058823529411768</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5.6678823529411773</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54216.025310392397</v>
      </c>
      <c r="C10" s="981">
        <f>SUM(C4:C9)</f>
        <v>23.85</v>
      </c>
      <c r="D10" s="981">
        <f t="shared" ref="D10:H10" si="0">SUM(D8:D9)</f>
        <v>28.058823529411768</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5.6678823529411773</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0.15547169094724686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34.071428571428577</v>
      </c>
      <c r="D17" s="980">
        <f>'SEAP template'!D87</f>
        <v>40.084033613445385</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8.0969747899159685</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34.071428571428577</v>
      </c>
      <c r="D20" s="981">
        <f t="shared" ref="D20:H20" si="2">SUM(D17:D19)</f>
        <v>40.084033613445385</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8.0969747899159685</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0.15547169094724686</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2022-07-26T10:26:07Z</dcterms:modified>
</cp:coreProperties>
</file>