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4F855C8-D5A4-4019-953A-39553859360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<sst xmlns="http://schemas.openxmlformats.org/spreadsheetml/2006/main" count="2410" uniqueCount="886">
  <si>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</si>
  <si>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</si>
  <si>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</si>
  <si>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</si>
  <si>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</si>
  <si>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</si>
  <si>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</si>
  <si>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</si>
  <si>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</si>
  <si>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</si>
  <si>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</si>
  <si>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</si>
  <si>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</si>
  <si>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</si>
  <si>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</si>
  <si>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</si>
  <si>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</si>
  <si>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</si>
  <si>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</si>
  <si>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</si>
  <si>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</si>
  <si>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</si>
  <si>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</si>
  <si>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</si>
  <si>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</si>
  <si>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</si>
  <si>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</si>
  <si>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</si>
  <si>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</si>
  <si>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</si>
  <si>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</si>
  <si>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</si>
  <si>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</si>
  <si>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</si>
  <si>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</si>
  <si>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</si>
  <si>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</si>
  <si>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</si>
  <si>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</si>
  <si>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</si>
  <si>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</si>
  <si>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</si>
  <si>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</si>
  <si>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</si>
  <si>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</si>
  <si>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</si>
  <si>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</si>
  <si>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</si>
  <si>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</si>
  <si>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</si>
  <si>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</si>
  <si>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</si>
  <si>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</si>
  <si>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</si>
  <si>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</si>
  <si>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</si>
  <si>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</si>
  <si>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</si>
  <si>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</si>
  <si>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</si>
  <si>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</si>
  <si>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</si>
  <si>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</si>
  <si>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</si>
  <si>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</si>
  <si>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</si>
  <si>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</si>
  <si>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</si>
  <si>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</si>
  <si>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</si>
  <si>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</si>
  <si>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</si>
  <si>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</si>
  <si>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</si>
  <si>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</si>
  <si>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</si>
  <si>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</si>
  <si>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</si>
  <si>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</si>
  <si>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</si>
  <si>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</si>
  <si>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</si>
  <si>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</si>
  <si>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</si>
  <si>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</si>
  <si>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</si>
  <si>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</si>
  <si>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</si>
  <si>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</si>
  <si>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</si>
  <si>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</si>
  <si>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</si>
  <si>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</si>
  <si>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</si>
  <si>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</si>
  <si>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</si>
  <si>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</si>
  <si>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</si>
  <si>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</si>
  <si>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</si>
  <si>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</si>
  <si>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</si>
  <si>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</si>
  <si>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</si>
  <si>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</si>
  <si>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</si>
  <si>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</si>
  <si>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</si>
  <si>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</si>
  <si>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</si>
  <si>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</si>
  <si>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</si>
  <si>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</si>
  <si>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</si>
  <si>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</si>
  <si>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</si>
  <si>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</si>
  <si>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</si>
  <si>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</si>
  <si>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</si>
  <si>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</si>
  <si>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</si>
  <si>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</si>
  <si>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</si>
  <si>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</si>
  <si>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</si>
  <si>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</si>
  <si>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</si>
  <si>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</si>
  <si>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</si>
  <si>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</si>
  <si>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</si>
  <si>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</si>
  <si>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</si>
  <si>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</si>
  <si>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</si>
  <si>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</si>
  <si>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</si>
  <si>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</si>
  <si>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</si>
  <si>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</si>
  <si>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</si>
  <si>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</si>
  <si>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</si>
  <si>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</si>
  <si>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</si>
  <si>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</si>
  <si>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</si>
  <si>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</si>
  <si>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</si>
  <si>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</si>
  <si>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</si>
  <si>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</si>
  <si>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</si>
  <si>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</si>
  <si>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</si>
  <si>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</si>
  <si>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</si>
  <si>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</si>
  <si>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</si>
  <si>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</si>
  <si>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</si>
  <si>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</si>
  <si>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</si>
  <si>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</si>
  <si>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</si>
  <si>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</si>
  <si>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</si>
  <si>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</si>
  <si>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</si>
  <si>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</si>
  <si>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</si>
  <si>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</si>
  <si>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</si>
  <si>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</si>
  <si>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</si>
  <si>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</si>
  <si>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</si>
  <si>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</si>
  <si>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</si>
  <si>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</si>
  <si>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</si>
  <si>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</si>
  <si>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</si>
  <si>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</si>
  <si>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</si>
  <si>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</si>
  <si>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</si>
  <si>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</si>
  <si>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</si>
  <si>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</si>
  <si>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</si>
  <si>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</si>
  <si>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</si>
  <si>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</si>
  <si>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</si>
  <si>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</si>
  <si>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</si>
  <si>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</si>
  <si>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</si>
  <si>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</si>
  <si>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</si>
  <si>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</si>
  <si>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</si>
  <si>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</si>
  <si>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</si>
  <si>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</si>
  <si>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</si>
  <si>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</si>
  <si>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</si>
  <si>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</si>
  <si>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</si>
  <si>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</si>
  <si>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</si>
  <si>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</si>
  <si>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</si>
  <si>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</si>
  <si>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</si>
  <si>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</si>
  <si>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</si>
  <si>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</si>
  <si>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</si>
  <si>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</si>
  <si>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</si>
  <si>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</si>
  <si>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</si>
  <si>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</si>
  <si>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</si>
  <si>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</si>
  <si>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</si>
  <si>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</si>
  <si>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</si>
  <si>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</si>
  <si>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</si>
  <si>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</si>
  <si>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</si>
  <si>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</si>
  <si>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</si>
  <si>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</si>
  <si>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</si>
  <si>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</si>
  <si>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</si>
  <si>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</si>
  <si>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</si>
  <si>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</si>
  <si>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</si>
  <si>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</si>
  <si>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</si>
  <si>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</si>
  <si>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</si>
  <si>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</si>
  <si>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</si>
  <si>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</si>
  <si>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</si>
  <si>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</si>
  <si>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</si>
  <si>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</si>
  <si>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</si>
  <si>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</si>
  <si>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</si>
  <si>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</si>
  <si>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</si>
  <si>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</si>
  <si>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</si>
  <si>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</si>
  <si>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</si>
  <si>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</si>
  <si>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</si>
  <si>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</si>
  <si>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</si>
  <si>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</si>
  <si>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</si>
  <si>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</si>
  <si>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</si>
  <si>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</si>
  <si>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</si>
  <si>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</si>
  <si>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</si>
  <si>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</si>
  <si>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</si>
  <si>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</si>
  <si>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</si>
  <si>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</si>
  <si>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</si>
  <si>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</si>
  <si>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</si>
  <si>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</si>
  <si>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</si>
  <si>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</si>
  <si>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</si>
  <si>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</si>
  <si>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</si>
  <si>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</si>
  <si>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</si>
  <si>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</si>
  <si>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</si>
  <si>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</si>
  <si>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</si>
  <si>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</si>
  <si>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</si>
  <si>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</si>
  <si>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</si>
  <si>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</si>
  <si>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</si>
  <si>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</si>
  <si>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</si>
  <si>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</si>
  <si>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</si>
  <si>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</si>
  <si>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</si>
  <si>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</si>
  <si>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</si>
  <si>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</si>
  <si>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</si>
  <si>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</si>
  <si>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</si>
  <si>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</si>
  <si>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</si>
  <si>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</si>
  <si>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</si>
  <si>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</si>
  <si>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</si>
  <si>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</si>
  <si>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</si>
  <si>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</si>
  <si>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</si>
  <si>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</si>
  <si>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</si>
  <si>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</si>
  <si>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</si>
  <si>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</si>
  <si>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</si>
  <si>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</si>
  <si>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</si>
  <si>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</si>
  <si>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</si>
  <si>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</si>
  <si>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</si>
  <si>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</si>
  <si>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</si>
  <si>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</si>
  <si>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</si>
  <si>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</si>
  <si>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</si>
  <si>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</si>
  <si>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</si>
  <si>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</si>
  <si>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</si>
  <si>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</si>
  <si>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</si>
  <si>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</si>
  <si>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</si>
  <si>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</si>
  <si>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</si>
  <si>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</si>
  <si>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</si>
  <si>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</si>
  <si>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</si>
  <si>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</si>
  <si>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</si>
  <si>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</si>
  <si>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</si>
  <si>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</si>
  <si>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</si>
  <si>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</si>
  <si>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</si>
  <si>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</si>
  <si>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</si>
  <si>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</si>
  <si>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</si>
  <si>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</si>
  <si>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</si>
  <si>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</si>
  <si>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</si>
  <si>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</si>
  <si>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</si>
  <si>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</si>
  <si>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</si>
  <si>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</si>
  <si>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</si>
  <si>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</si>
  <si>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</si>
  <si>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</si>
  <si>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</si>
  <si>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</si>
  <si>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</si>
  <si>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</si>
  <si>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</si>
  <si>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</si>
  <si>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</si>
  <si>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</si>
  <si>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</si>
  <si>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</si>
  <si>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</si>
  <si>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</si>
  <si>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</si>
  <si>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</si>
  <si>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</si>
  <si>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</si>
  <si>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</si>
  <si>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</si>
  <si>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</si>
  <si>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</si>
  <si>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</si>
  <si>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</si>
  <si>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</si>
  <si>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</si>
  <si>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</si>
  <si>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</si>
  <si>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</si>
  <si>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</si>
  <si>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</si>
  <si>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</si>
  <si>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</si>
  <si>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</si>
  <si>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</si>
  <si>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</si>
  <si>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</si>
  <si>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</si>
  <si>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</si>
  <si>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</si>
  <si>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</si>
  <si>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</si>
  <si>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</si>
  <si>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</si>
  <si>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</si>
  <si>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</si>
  <si>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</si>
  <si>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</si>
  <si>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</si>
  <si>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</si>
  <si>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</si>
  <si>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</si>
  <si>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</si>
  <si>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</si>
  <si>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</si>
  <si>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</si>
  <si>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</si>
  <si>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</si>
  <si>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</si>
  <si>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</si>
  <si>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</si>
  <si>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</si>
  <si>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</si>
  <si>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</si>
  <si>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</si>
  <si>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</si>
  <si>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</si>
  <si>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</si>
  <si>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</si>
  <si>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</si>
  <si>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</si>
  <si>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</si>
  <si>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</si>
  <si>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</si>
  <si>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</si>
  <si>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</si>
  <si>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</si>
  <si>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</si>
  <si>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</si>
  <si>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</si>
  <si>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</si>
  <si>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</si>
  <si>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</si>
  <si>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</si>
  <si>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</si>
  <si>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</si>
  <si>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</si>
  <si>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</si>
  <si>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</si>
  <si>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</si>
  <si>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</si>
  <si>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</si>
  <si>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</si>
  <si>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</si>
  <si>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</si>
  <si>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</si>
  <si>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</si>
  <si>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</si>
  <si>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</si>
  <si>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</si>
  <si>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</si>
  <si>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</si>
  <si>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</si>
  <si>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</si>
  <si>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</si>
  <si>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</si>
  <si>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</si>
  <si>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</si>
  <si>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</si>
  <si>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</si>
  <si>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</si>
  <si>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</si>
  <si>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</si>
  <si>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</si>
  <si>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</si>
  <si>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</si>
  <si>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</si>
  <si>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</si>
  <si>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</si>
  <si>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</si>
  <si>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</si>
  <si>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</si>
  <si>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</si>
  <si>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</si>
  <si>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</si>
  <si>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</si>
  <si>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</si>
  <si>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</si>
  <si>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</si>
  <si>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</si>
  <si>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</si>
  <si>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</si>
  <si>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</si>
  <si>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</si>
  <si>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</si>
  <si>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</si>
  <si>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</si>
  <si>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</si>
  <si>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</si>
  <si>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</si>
  <si>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</si>
  <si>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</si>
  <si>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</si>
  <si>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</si>
  <si>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</si>
  <si>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</si>
  <si>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</si>
  <si>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</si>
  <si>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</si>
  <si>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</si>
  <si>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</si>
  <si>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</si>
  <si>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</si>
  <si>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</si>
  <si>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</si>
  <si>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</si>
  <si>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</si>
  <si>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</si>
  <si>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</si>
  <si>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</si>
  <si>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</si>
  <si>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</si>
  <si>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</si>
  <si>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</si>
  <si>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</si>
  <si>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</si>
  <si>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</si>
  <si>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</si>
  <si>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</si>
  <si>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</si>
  <si>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</si>
  <si>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</si>
  <si>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</si>
  <si>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</si>
  <si>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</si>
  <si>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</si>
  <si>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</si>
  <si>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</si>
  <si>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</si>
  <si>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</si>
  <si>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</si>
  <si>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</si>
  <si>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</si>
  <si>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</si>
  <si>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</si>
  <si>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</si>
  <si>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</si>
  <si>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</si>
  <si>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</si>
  <si>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</si>
  <si>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</si>
  <si>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</si>
  <si>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</si>
  <si>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</si>
  <si>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</si>
  <si>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</si>
  <si>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</si>
  <si>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</si>
  <si>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</si>
  <si>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</si>
  <si>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</si>
  <si>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</si>
  <si>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</si>
  <si>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</si>
  <si>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</si>
  <si>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</si>
  <si>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</si>
  <si>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</si>
  <si>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</si>
  <si>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</si>
  <si>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</si>
  <si>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</si>
  <si>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</si>
  <si>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</si>
  <si>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</si>
  <si>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</si>
  <si>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</si>
  <si>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</si>
  <si>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</si>
  <si>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</si>
  <si>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</si>
  <si>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</si>
  <si>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</si>
  <si>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</si>
  <si>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</si>
  <si>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</si>
  <si>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</si>
  <si>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</si>
  <si>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</si>
  <si>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</si>
  <si>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</si>
  <si>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</si>
  <si>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</si>
  <si>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</si>
  <si>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</si>
  <si>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</si>
  <si>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</si>
  <si>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</si>
  <si>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</si>
  <si>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</si>
  <si>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</si>
  <si>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</si>
  <si>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</si>
  <si>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</si>
  <si>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</si>
  <si>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</si>
  <si>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</si>
  <si>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</si>
  <si>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</si>
  <si>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</si>
  <si>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</si>
  <si>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</si>
  <si>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</si>
  <si>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</si>
  <si>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</si>
  <si>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</si>
  <si>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</si>
  <si>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</si>
  <si>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</si>
  <si>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</si>
  <si>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</si>
  <si>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</si>
  <si>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</si>
  <si>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</si>
  <si>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</si>
  <si>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</si>
  <si>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</si>
  <si>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</si>
  <si>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</si>
  <si>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</si>
  <si>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</si>
  <si>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</si>
  <si>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</si>
  <si>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</si>
  <si>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</si>
  <si>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</si>
  <si>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</si>
  <si>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</si>
  <si>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</si>
  <si>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</si>
  <si>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</si>
  <si>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</si>
  <si>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</si>
  <si>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</si>
  <si>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</si>
  <si>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</si>
  <si>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</si>
  <si>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</si>
  <si>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</si>
  <si>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</si>
  <si>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</si>
  <si>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</si>
  <si>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</si>
  <si>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</si>
  <si>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</si>
  <si>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</si>
  <si>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</si>
  <si>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</si>
  <si>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</si>
  <si>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</si>
  <si>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</si>
  <si>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</si>
  <si>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</si>
  <si>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</si>
  <si>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</si>
  <si>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</si>
  <si>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</si>
  <si>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</si>
  <si>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</si>
  <si>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</si>
  <si>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</si>
  <si>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</si>
  <si>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</si>
  <si>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</si>
  <si>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</si>
  <si>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</si>
  <si>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</si>
  <si>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</si>
  <si>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</si>
  <si>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</si>
  <si>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</si>
  <si>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</si>
  <si>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</si>
  <si>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</si>
  <si>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</si>
  <si>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</si>
  <si>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</si>
  <si>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</si>
  <si>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</si>
  <si>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</si>
  <si>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</si>
  <si>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</si>
  <si>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</si>
  <si>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</si>
  <si>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</si>
  <si>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</si>
  <si>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</si>
  <si>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</si>
  <si>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</si>
  <si>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</si>
  <si>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</si>
  <si>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</si>
  <si>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</si>
  <si>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</si>
  <si>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</si>
  <si>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</si>
  <si>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</si>
  <si>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</si>
  <si>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</si>
  <si>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</si>
  <si>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</si>
  <si>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</si>
  <si>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</si>
  <si>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</si>
  <si>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</si>
  <si>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</si>
  <si>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</si>
  <si>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</si>
  <si>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</si>
  <si>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</si>
  <si>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</si>
  <si>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</si>
  <si>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</si>
  <si>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</si>
  <si>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</si>
  <si>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</si>
  <si>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</si>
  <si>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</si>
  <si>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</si>
  <si>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</si>
  <si>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</si>
  <si>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</si>
  <si>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</si>
  <si>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</si>
  <si>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</si>
  <si>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</si>
  <si>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</si>
  <si>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</si>
  <si>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</si>
  <si>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</si>
  <si>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</si>
  <si>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</si>
  <si>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</si>
  <si>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</si>
  <si>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</si>
  <si>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</si>
  <si>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</si>
  <si>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</si>
  <si>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</si>
  <si>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</si>
  <si>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</si>
  <si>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</si>
  <si>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</si>
  <si>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</si>
  <si>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</si>
  <si>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</si>
  <si>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</si>
  <si>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</si>
  <si>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</si>
  <si>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</si>
  <si>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</si>
  <si>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</si>
  <si>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</si>
  <si>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</si>
  <si>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</si>
  <si>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</si>
  <si>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</si>
  <si>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</si>
  <si>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</si>
  <si>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</si>
  <si>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</si>
  <si>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</si>
  <si>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</si>
  <si>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</si>
  <si>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</si>
  <si>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</si>
  <si>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</si>
  <si>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</si>
  <si>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</si>
  <si>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</si>
  <si>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</si>
  <si>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</si>
  <si>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</si>
  <si>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</si>
  <si>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</si>
  <si>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</si>
  <si>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</si>
  <si>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</si>
  <si>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</si>
  <si>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</si>
  <si>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</si>
  <si>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</si>
  <si>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</si>
  <si>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</si>
  <si>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</si>
  <si>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</si>
  <si>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</si>
  <si>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</si>
  <si>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</si>
  <si>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</si>
  <si>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</si>
  <si>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</si>
  <si>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</si>
  <si>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</si>
  <si>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</si>
  <si>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</si>
  <si>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</si>
  <si>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</si>
  <si>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</si>
  <si>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</si>
  <si>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</si>
  <si>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</si>
  <si>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</si>
  <si>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</si>
  <si>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</si>
  <si>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</si>
  <si>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</si>
  <si>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</si>
  <si>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</si>
  <si>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</si>
  <si>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</si>
  <si>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</si>
  <si>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</si>
  <si>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</si>
  <si>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</si>
  <si>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</si>
  <si>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</si>
  <si>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</si>
  <si>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</si>
  <si>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</si>
  <si>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</si>
  <si>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</si>
  <si>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</si>
  <si>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</si>
  <si>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</si>
  <si>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</si>
  <si>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</si>
  <si>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</si>
  <si>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</si>
  <si>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</si>
  <si>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</si>
  <si>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</si>
  <si>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</si>
  <si>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</si>
  <si>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</si>
  <si>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</si>
  <si>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</si>
  <si>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</si>
  <si>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</si>
  <si>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</si>
  <si>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</si>
  <si>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</si>
  <si>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</si>
  <si>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</si>
  <si>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</si>
  <si>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</si>
  <si>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</si>
  <si>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</si>
  <si>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</si>
  <si>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46014</t>
  </si>
  <si>
    <t>LOKEREN</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</si>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</sst>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3CD092E-B05E-4A2B-943A-EC8B1A9E4D7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318171.66302957048</c:v>
                </c:pt>
                <c:pt idx="1">
                  <c:v>196018.01921119387</c:v>
                </c:pt>
                <c:pt idx="2">
                  <c:v>2245.262616</c:v>
                </c:pt>
                <c:pt idx="3">
                  <c:v>22721.973813283461</c:v>
                </c:pt>
                <c:pt idx="4">
                  <c:v>130636.05551930936</c:v>
                </c:pt>
                <c:pt idx="5">
                  <c:v>471121.00273951847</c:v>
                </c:pt>
                <c:pt idx="6">
                  <c:v>1994.4944948243217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318171.66302957048</c:v>
                </c:pt>
                <c:pt idx="1">
                  <c:v>196018.01921119387</c:v>
                </c:pt>
                <c:pt idx="2">
                  <c:v>2245.262616</c:v>
                </c:pt>
                <c:pt idx="3">
                  <c:v>22721.973813283461</c:v>
                </c:pt>
                <c:pt idx="4">
                  <c:v>130636.05551930936</c:v>
                </c:pt>
                <c:pt idx="5">
                  <c:v>471121.00273951847</c:v>
                </c:pt>
                <c:pt idx="6">
                  <c:v>1994.4944948243217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63395.681776256686</c:v>
                </c:pt>
                <c:pt idx="1">
                  <c:v>38405.422481421054</c:v>
                </c:pt>
                <c:pt idx="2">
                  <c:v>419.41690167609642</c:v>
                </c:pt>
                <c:pt idx="3">
                  <c:v>5490.4928289888267</c:v>
                </c:pt>
                <c:pt idx="4">
                  <c:v>25861.994240986947</c:v>
                </c:pt>
                <c:pt idx="5">
                  <c:v>117500.40310443945</c:v>
                </c:pt>
                <c:pt idx="6">
                  <c:v>502.32607857159189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63395.681776256686</c:v>
                </c:pt>
                <c:pt idx="1">
                  <c:v>38405.422481421054</c:v>
                </c:pt>
                <c:pt idx="2">
                  <c:v>419.41690167609642</c:v>
                </c:pt>
                <c:pt idx="3">
                  <c:v>5490.4928289888267</c:v>
                </c:pt>
                <c:pt idx="4">
                  <c:v>25861.994240986947</c:v>
                </c:pt>
                <c:pt idx="5">
                  <c:v>117500.40310443945</c:v>
                </c:pt>
                <c:pt idx="6">
                  <c:v>502.32607857159189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46014</v>
      </c>
      <c r="B6" s="382"/>
      <c r="C6" s="383"/>
    </row>
    <row r="7" spans="1:7" s="380" customFormat="1" ht="15.75" customHeight="1">
      <c r="A7" s="384" t="str">
        <f>txtMunicipality</f>
        <v>LOKEREN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0.18680082173340581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0.18680082173340581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16686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3515.97</v>
      </c>
      <c r="C14" s="324"/>
      <c r="D14" s="324"/>
      <c r="E14" s="324"/>
      <c r="F14" s="324"/>
    </row>
    <row r="15" spans="1:6">
      <c r="A15" s="1257" t="s">
        <v>177</v>
      </c>
      <c r="B15" s="1258">
        <v>61</v>
      </c>
      <c r="C15" s="324"/>
      <c r="D15" s="324"/>
      <c r="E15" s="324"/>
      <c r="F15" s="324"/>
    </row>
    <row r="16" spans="1:6">
      <c r="A16" s="1257" t="s">
        <v>6</v>
      </c>
      <c r="B16" s="1258">
        <v>2719</v>
      </c>
      <c r="C16" s="324"/>
      <c r="D16" s="324"/>
      <c r="E16" s="324"/>
      <c r="F16" s="324"/>
    </row>
    <row r="17" spans="1:6">
      <c r="A17" s="1257" t="s">
        <v>7</v>
      </c>
      <c r="B17" s="1258">
        <v>1544</v>
      </c>
      <c r="C17" s="324"/>
      <c r="D17" s="324"/>
      <c r="E17" s="324"/>
      <c r="F17" s="324"/>
    </row>
    <row r="18" spans="1:6">
      <c r="A18" s="1257" t="s">
        <v>8</v>
      </c>
      <c r="B18" s="1258">
        <v>2646</v>
      </c>
      <c r="C18" s="324"/>
      <c r="D18" s="324"/>
      <c r="E18" s="324"/>
      <c r="F18" s="324"/>
    </row>
    <row r="19" spans="1:6">
      <c r="A19" s="1257" t="s">
        <v>9</v>
      </c>
      <c r="B19" s="1258">
        <v>3503</v>
      </c>
      <c r="C19" s="324"/>
      <c r="D19" s="324"/>
      <c r="E19" s="324"/>
      <c r="F19" s="324"/>
    </row>
    <row r="20" spans="1:6">
      <c r="A20" s="1257" t="s">
        <v>10</v>
      </c>
      <c r="B20" s="1258">
        <v>2137</v>
      </c>
      <c r="C20" s="324"/>
      <c r="D20" s="324"/>
      <c r="E20" s="324"/>
      <c r="F20" s="324"/>
    </row>
    <row r="21" spans="1:6">
      <c r="A21" s="1257" t="s">
        <v>11</v>
      </c>
      <c r="B21" s="1258">
        <v>4824</v>
      </c>
      <c r="C21" s="324"/>
      <c r="D21" s="324"/>
      <c r="E21" s="324"/>
      <c r="F21" s="324"/>
    </row>
    <row r="22" spans="1:6">
      <c r="A22" s="1257" t="s">
        <v>12</v>
      </c>
      <c r="B22" s="1258">
        <v>12754</v>
      </c>
      <c r="C22" s="324"/>
      <c r="D22" s="324"/>
      <c r="E22" s="324"/>
      <c r="F22" s="324"/>
    </row>
    <row r="23" spans="1:6">
      <c r="A23" s="1257" t="s">
        <v>13</v>
      </c>
      <c r="B23" s="1258">
        <v>207</v>
      </c>
      <c r="C23" s="324"/>
      <c r="D23" s="324"/>
      <c r="E23" s="324"/>
      <c r="F23" s="324"/>
    </row>
    <row r="24" spans="1:6">
      <c r="A24" s="1257" t="s">
        <v>14</v>
      </c>
      <c r="B24" s="1258">
        <v>6</v>
      </c>
      <c r="C24" s="324"/>
      <c r="D24" s="324"/>
      <c r="E24" s="324"/>
      <c r="F24" s="324"/>
    </row>
    <row r="25" spans="1:6">
      <c r="A25" s="1257" t="s">
        <v>15</v>
      </c>
      <c r="B25" s="1258">
        <v>1200</v>
      </c>
      <c r="C25" s="324"/>
      <c r="D25" s="324"/>
      <c r="E25" s="324"/>
      <c r="F25" s="324"/>
    </row>
    <row r="26" spans="1:6">
      <c r="A26" s="1257" t="s">
        <v>16</v>
      </c>
      <c r="B26" s="1258">
        <v>96</v>
      </c>
      <c r="C26" s="324"/>
      <c r="D26" s="324"/>
      <c r="E26" s="324"/>
      <c r="F26" s="324"/>
    </row>
    <row r="27" spans="1:6">
      <c r="A27" s="1257" t="s">
        <v>17</v>
      </c>
      <c r="B27" s="1258">
        <v>98</v>
      </c>
      <c r="C27" s="324"/>
      <c r="D27" s="324"/>
      <c r="E27" s="324"/>
      <c r="F27" s="324"/>
    </row>
    <row r="28" spans="1:6">
      <c r="A28" s="1257" t="s">
        <v>18</v>
      </c>
      <c r="B28" s="1259">
        <v>177346</v>
      </c>
      <c r="C28" s="324"/>
      <c r="D28" s="324"/>
      <c r="E28" s="324"/>
      <c r="F28" s="324"/>
    </row>
    <row r="29" spans="1:6">
      <c r="A29" s="1257" t="s">
        <v>664</v>
      </c>
      <c r="B29" s="1259">
        <v>186</v>
      </c>
      <c r="C29" s="324"/>
      <c r="D29" s="324"/>
      <c r="E29" s="324"/>
      <c r="F29" s="324"/>
    </row>
    <row r="30" spans="1:6">
      <c r="A30" s="1252" t="s">
        <v>665</v>
      </c>
      <c r="B30" s="1260">
        <v>43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520683.821</v>
      </c>
    </row>
    <row r="37" spans="1:6">
      <c r="A37" s="1257" t="s">
        <v>24</v>
      </c>
      <c r="B37" s="1257" t="s">
        <v>27</v>
      </c>
      <c r="C37" s="1258">
        <v>0</v>
      </c>
      <c r="D37" s="1258">
        <v>0</v>
      </c>
      <c r="E37" s="1258">
        <v>0</v>
      </c>
      <c r="F37" s="1258">
        <v>0</v>
      </c>
    </row>
    <row r="38" spans="1:6">
      <c r="A38" s="1257" t="s">
        <v>24</v>
      </c>
      <c r="B38" s="1257" t="s">
        <v>28</v>
      </c>
      <c r="C38" s="1258">
        <v>4</v>
      </c>
      <c r="D38" s="1258">
        <v>1346872.8910000001</v>
      </c>
      <c r="E38" s="1258">
        <v>3</v>
      </c>
      <c r="F38" s="1258">
        <v>11543.564</v>
      </c>
    </row>
    <row r="39" spans="1:6">
      <c r="A39" s="1257" t="s">
        <v>29</v>
      </c>
      <c r="B39" s="1257" t="s">
        <v>30</v>
      </c>
      <c r="C39" s="1258">
        <v>11649</v>
      </c>
      <c r="D39" s="1258">
        <v>163851210.69999999</v>
      </c>
      <c r="E39" s="1258">
        <v>16490</v>
      </c>
      <c r="F39" s="1258">
        <v>60290141.159999996</v>
      </c>
    </row>
    <row r="40" spans="1:6">
      <c r="A40" s="1257" t="s">
        <v>29</v>
      </c>
      <c r="B40" s="1257" t="s">
        <v>28</v>
      </c>
      <c r="C40" s="1258">
        <v>0</v>
      </c>
      <c r="D40" s="1258">
        <v>0</v>
      </c>
      <c r="E40" s="1258">
        <v>0</v>
      </c>
      <c r="F40" s="1258">
        <v>0</v>
      </c>
    </row>
    <row r="41" spans="1:6">
      <c r="A41" s="1257" t="s">
        <v>31</v>
      </c>
      <c r="B41" s="1257" t="s">
        <v>32</v>
      </c>
      <c r="C41" s="1258">
        <v>252</v>
      </c>
      <c r="D41" s="1258">
        <v>5953799.1799999997</v>
      </c>
      <c r="E41" s="1258">
        <v>436</v>
      </c>
      <c r="F41" s="1258">
        <v>15706700.34</v>
      </c>
    </row>
    <row r="42" spans="1:6">
      <c r="A42" s="1257" t="s">
        <v>31</v>
      </c>
      <c r="B42" s="1257" t="s">
        <v>33</v>
      </c>
      <c r="C42" s="1258">
        <v>3</v>
      </c>
      <c r="D42" s="1258">
        <v>583289.00100000005</v>
      </c>
      <c r="E42" s="1258">
        <v>4</v>
      </c>
      <c r="F42" s="1258">
        <v>171726.39</v>
      </c>
    </row>
    <row r="43" spans="1:6">
      <c r="A43" s="1257" t="s">
        <v>31</v>
      </c>
      <c r="B43" s="1257" t="s">
        <v>34</v>
      </c>
      <c r="C43" s="1258">
        <v>0</v>
      </c>
      <c r="D43" s="1258">
        <v>0</v>
      </c>
      <c r="E43" s="1258">
        <v>0</v>
      </c>
      <c r="F43" s="1258">
        <v>0</v>
      </c>
    </row>
    <row r="44" spans="1:6">
      <c r="A44" s="1257" t="s">
        <v>31</v>
      </c>
      <c r="B44" s="1257" t="s">
        <v>35</v>
      </c>
      <c r="C44" s="1258">
        <v>38</v>
      </c>
      <c r="D44" s="1258">
        <v>11125691.130000001</v>
      </c>
      <c r="E44" s="1258">
        <v>72</v>
      </c>
      <c r="F44" s="1258">
        <v>16849547.93</v>
      </c>
    </row>
    <row r="45" spans="1:6">
      <c r="A45" s="1257" t="s">
        <v>31</v>
      </c>
      <c r="B45" s="1257" t="s">
        <v>36</v>
      </c>
      <c r="C45" s="1258">
        <v>0</v>
      </c>
      <c r="D45" s="1258">
        <v>0</v>
      </c>
      <c r="E45" s="1258">
        <v>6</v>
      </c>
      <c r="F45" s="1258">
        <v>344245.32699999999</v>
      </c>
    </row>
    <row r="46" spans="1:6">
      <c r="A46" s="1257" t="s">
        <v>31</v>
      </c>
      <c r="B46" s="1257" t="s">
        <v>37</v>
      </c>
      <c r="C46" s="1258">
        <v>0</v>
      </c>
      <c r="D46" s="1258">
        <v>0</v>
      </c>
      <c r="E46" s="1258">
        <v>0</v>
      </c>
      <c r="F46" s="1258">
        <v>0</v>
      </c>
    </row>
    <row r="47" spans="1:6">
      <c r="A47" s="1257" t="s">
        <v>31</v>
      </c>
      <c r="B47" s="1257" t="s">
        <v>38</v>
      </c>
      <c r="C47" s="1258">
        <v>7</v>
      </c>
      <c r="D47" s="1258">
        <v>247085.81299999999</v>
      </c>
      <c r="E47" s="1258">
        <v>10</v>
      </c>
      <c r="F47" s="1258">
        <v>292509.53399999999</v>
      </c>
    </row>
    <row r="48" spans="1:6">
      <c r="A48" s="1257" t="s">
        <v>31</v>
      </c>
      <c r="B48" s="1257" t="s">
        <v>28</v>
      </c>
      <c r="C48" s="1258">
        <v>49</v>
      </c>
      <c r="D48" s="1258">
        <v>14435133.380000001</v>
      </c>
      <c r="E48" s="1258">
        <v>62</v>
      </c>
      <c r="F48" s="1258">
        <v>13021584.529999999</v>
      </c>
    </row>
    <row r="49" spans="1:6">
      <c r="A49" s="1257" t="s">
        <v>31</v>
      </c>
      <c r="B49" s="1257" t="s">
        <v>39</v>
      </c>
      <c r="C49" s="1258">
        <v>3</v>
      </c>
      <c r="D49" s="1258">
        <v>115008.586</v>
      </c>
      <c r="E49" s="1258">
        <v>3</v>
      </c>
      <c r="F49" s="1258">
        <v>14522.424999999999</v>
      </c>
    </row>
    <row r="50" spans="1:6">
      <c r="A50" s="1257" t="s">
        <v>31</v>
      </c>
      <c r="B50" s="1257" t="s">
        <v>40</v>
      </c>
      <c r="C50" s="1258">
        <v>38</v>
      </c>
      <c r="D50" s="1258">
        <v>21434248.800000001</v>
      </c>
      <c r="E50" s="1258">
        <v>50</v>
      </c>
      <c r="F50" s="1258">
        <v>17422572.800000001</v>
      </c>
    </row>
    <row r="51" spans="1:6">
      <c r="A51" s="1257" t="s">
        <v>41</v>
      </c>
      <c r="B51" s="1257" t="s">
        <v>42</v>
      </c>
      <c r="C51" s="1258">
        <v>38</v>
      </c>
      <c r="D51" s="1258">
        <v>4909904.8990000002</v>
      </c>
      <c r="E51" s="1258">
        <v>183</v>
      </c>
      <c r="F51" s="1258">
        <v>3387942.2089999998</v>
      </c>
    </row>
    <row r="52" spans="1:6">
      <c r="A52" s="1257" t="s">
        <v>41</v>
      </c>
      <c r="B52" s="1257" t="s">
        <v>28</v>
      </c>
      <c r="C52" s="1258">
        <v>10</v>
      </c>
      <c r="D52" s="1258">
        <v>1199807.469</v>
      </c>
      <c r="E52" s="1258">
        <v>11</v>
      </c>
      <c r="F52" s="1258">
        <v>139065.95300000001</v>
      </c>
    </row>
    <row r="53" spans="1:6">
      <c r="A53" s="1257" t="s">
        <v>43</v>
      </c>
      <c r="B53" s="1257" t="s">
        <v>44</v>
      </c>
      <c r="C53" s="1258">
        <v>346</v>
      </c>
      <c r="D53" s="1258">
        <v>5292654.1220000004</v>
      </c>
      <c r="E53" s="1258">
        <v>668</v>
      </c>
      <c r="F53" s="1258">
        <v>2169982.2179999999</v>
      </c>
    </row>
    <row r="54" spans="1:6">
      <c r="A54" s="1257" t="s">
        <v>45</v>
      </c>
      <c r="B54" s="1257" t="s">
        <v>46</v>
      </c>
      <c r="C54" s="1258">
        <v>0</v>
      </c>
      <c r="D54" s="1258">
        <v>0</v>
      </c>
      <c r="E54" s="1258">
        <v>4</v>
      </c>
      <c r="F54" s="1258">
        <v>2245262.6159999999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142</v>
      </c>
      <c r="D57" s="1258">
        <v>21995292.170000002</v>
      </c>
      <c r="E57" s="1258">
        <v>296</v>
      </c>
      <c r="F57" s="1258">
        <v>10340129.789999999</v>
      </c>
    </row>
    <row r="58" spans="1:6">
      <c r="A58" s="1257" t="s">
        <v>48</v>
      </c>
      <c r="B58" s="1257" t="s">
        <v>50</v>
      </c>
      <c r="C58" s="1258">
        <v>84</v>
      </c>
      <c r="D58" s="1258">
        <v>6055532.602</v>
      </c>
      <c r="E58" s="1258">
        <v>228</v>
      </c>
      <c r="F58" s="1258">
        <v>4079568.932</v>
      </c>
    </row>
    <row r="59" spans="1:6">
      <c r="A59" s="1257" t="s">
        <v>48</v>
      </c>
      <c r="B59" s="1257" t="s">
        <v>51</v>
      </c>
      <c r="C59" s="1258">
        <v>281</v>
      </c>
      <c r="D59" s="1258">
        <v>33029074.699999999</v>
      </c>
      <c r="E59" s="1258">
        <v>580</v>
      </c>
      <c r="F59" s="1258">
        <v>34413461.549999997</v>
      </c>
    </row>
    <row r="60" spans="1:6">
      <c r="A60" s="1257" t="s">
        <v>48</v>
      </c>
      <c r="B60" s="1257" t="s">
        <v>52</v>
      </c>
      <c r="C60" s="1258">
        <v>121</v>
      </c>
      <c r="D60" s="1258">
        <v>4720830.6979999999</v>
      </c>
      <c r="E60" s="1258">
        <v>163</v>
      </c>
      <c r="F60" s="1258">
        <v>3991474.531</v>
      </c>
    </row>
    <row r="61" spans="1:6">
      <c r="A61" s="1257" t="s">
        <v>48</v>
      </c>
      <c r="B61" s="1257" t="s">
        <v>53</v>
      </c>
      <c r="C61" s="1258">
        <v>338</v>
      </c>
      <c r="D61" s="1258">
        <v>16870792.350000001</v>
      </c>
      <c r="E61" s="1258">
        <v>710</v>
      </c>
      <c r="F61" s="1258">
        <v>11974096.710000001</v>
      </c>
    </row>
    <row r="62" spans="1:6">
      <c r="A62" s="1257" t="s">
        <v>48</v>
      </c>
      <c r="B62" s="1257" t="s">
        <v>54</v>
      </c>
      <c r="C62" s="1258">
        <v>44</v>
      </c>
      <c r="D62" s="1258">
        <v>7537492.2980000004</v>
      </c>
      <c r="E62" s="1258">
        <v>61</v>
      </c>
      <c r="F62" s="1258">
        <v>2504417.7880000002</v>
      </c>
    </row>
    <row r="63" spans="1:6">
      <c r="A63" s="1257" t="s">
        <v>48</v>
      </c>
      <c r="B63" s="1257" t="s">
        <v>28</v>
      </c>
      <c r="C63" s="1258">
        <v>120</v>
      </c>
      <c r="D63" s="1258">
        <v>13788582.119999999</v>
      </c>
      <c r="E63" s="1258">
        <v>92</v>
      </c>
      <c r="F63" s="1258">
        <v>12849512.130000001</v>
      </c>
    </row>
    <row r="64" spans="1:6">
      <c r="A64" s="1257" t="s">
        <v>55</v>
      </c>
      <c r="B64" s="1257" t="s">
        <v>56</v>
      </c>
      <c r="C64" s="1258">
        <v>0</v>
      </c>
      <c r="D64" s="1258">
        <v>0</v>
      </c>
      <c r="E64" s="1258">
        <v>0</v>
      </c>
      <c r="F64" s="1258">
        <v>0</v>
      </c>
    </row>
    <row r="65" spans="1:6">
      <c r="A65" s="1257" t="s">
        <v>55</v>
      </c>
      <c r="B65" s="1257" t="s">
        <v>28</v>
      </c>
      <c r="C65" s="1258">
        <v>3</v>
      </c>
      <c r="D65" s="1258">
        <v>48830.428999999996</v>
      </c>
      <c r="E65" s="1258">
        <v>1</v>
      </c>
      <c r="F65" s="1258">
        <v>176.63300000000001</v>
      </c>
    </row>
    <row r="66" spans="1:6">
      <c r="A66" s="1257" t="s">
        <v>55</v>
      </c>
      <c r="B66" s="1257" t="s">
        <v>57</v>
      </c>
      <c r="C66" s="1258">
        <v>0</v>
      </c>
      <c r="D66" s="1258">
        <v>0</v>
      </c>
      <c r="E66" s="1258">
        <v>18</v>
      </c>
      <c r="F66" s="1258">
        <v>756017.62100000004</v>
      </c>
    </row>
    <row r="67" spans="1:6">
      <c r="A67" s="1257" t="s">
        <v>55</v>
      </c>
      <c r="B67" s="1257" t="s">
        <v>58</v>
      </c>
      <c r="C67" s="1258">
        <v>0</v>
      </c>
      <c r="D67" s="1258">
        <v>0</v>
      </c>
      <c r="E67" s="1258">
        <v>0</v>
      </c>
      <c r="F67" s="1258">
        <v>0</v>
      </c>
    </row>
    <row r="68" spans="1:6">
      <c r="A68" s="1252" t="s">
        <v>55</v>
      </c>
      <c r="B68" s="1252" t="s">
        <v>59</v>
      </c>
      <c r="C68" s="1260">
        <v>5</v>
      </c>
      <c r="D68" s="1260">
        <v>113003.276</v>
      </c>
      <c r="E68" s="1260">
        <v>24</v>
      </c>
      <c r="F68" s="1260">
        <v>278922.30300000001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98592733</v>
      </c>
      <c r="E73" s="442"/>
      <c r="F73" s="324"/>
    </row>
    <row r="74" spans="1:6">
      <c r="A74" s="1257" t="s">
        <v>63</v>
      </c>
      <c r="B74" s="1257" t="s">
        <v>608</v>
      </c>
      <c r="C74" s="1270" t="s">
        <v>610</v>
      </c>
      <c r="D74" s="1258">
        <v>9299413</v>
      </c>
      <c r="E74" s="442"/>
      <c r="F74" s="324"/>
    </row>
    <row r="75" spans="1:6">
      <c r="A75" s="1257" t="s">
        <v>64</v>
      </c>
      <c r="B75" s="1257" t="s">
        <v>607</v>
      </c>
      <c r="C75" s="1270" t="s">
        <v>611</v>
      </c>
      <c r="D75" s="1258">
        <v>67036820</v>
      </c>
      <c r="E75" s="442"/>
      <c r="F75" s="324"/>
    </row>
    <row r="76" spans="1:6">
      <c r="A76" s="1257" t="s">
        <v>64</v>
      </c>
      <c r="B76" s="1257" t="s">
        <v>608</v>
      </c>
      <c r="C76" s="1270" t="s">
        <v>612</v>
      </c>
      <c r="D76" s="1258">
        <v>4389307</v>
      </c>
      <c r="E76" s="442"/>
      <c r="F76" s="324"/>
    </row>
    <row r="77" spans="1:6">
      <c r="A77" s="1257" t="s">
        <v>65</v>
      </c>
      <c r="B77" s="1257" t="s">
        <v>607</v>
      </c>
      <c r="C77" s="1270" t="s">
        <v>613</v>
      </c>
      <c r="D77" s="1258">
        <v>233492228</v>
      </c>
      <c r="E77" s="442"/>
      <c r="F77" s="324"/>
    </row>
    <row r="78" spans="1:6">
      <c r="A78" s="1252" t="s">
        <v>65</v>
      </c>
      <c r="B78" s="1252" t="s">
        <v>608</v>
      </c>
      <c r="C78" s="1252" t="s">
        <v>614</v>
      </c>
      <c r="D78" s="1260">
        <v>57026781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546532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16273.708150553528</v>
      </c>
      <c r="C90" s="324"/>
      <c r="D90" s="324"/>
      <c r="E90" s="324"/>
      <c r="F90" s="324"/>
    </row>
    <row r="91" spans="1:6">
      <c r="A91" s="1257" t="s">
        <v>67</v>
      </c>
      <c r="B91" s="1258">
        <v>8599.321614008506</v>
      </c>
      <c r="C91" s="324"/>
      <c r="D91" s="324"/>
      <c r="E91" s="324"/>
      <c r="F91" s="324"/>
    </row>
    <row r="92" spans="1:6">
      <c r="A92" s="1252" t="s">
        <v>68</v>
      </c>
      <c r="B92" s="1253">
        <v>9324.0599933965605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6443</v>
      </c>
      <c r="C97" s="324"/>
      <c r="D97" s="324"/>
      <c r="E97" s="324"/>
      <c r="F97" s="324"/>
    </row>
    <row r="98" spans="1:6">
      <c r="A98" s="1257" t="s">
        <v>71</v>
      </c>
      <c r="B98" s="1258">
        <v>1</v>
      </c>
      <c r="C98" s="324"/>
      <c r="D98" s="324"/>
      <c r="E98" s="324"/>
      <c r="F98" s="324"/>
    </row>
    <row r="99" spans="1:6">
      <c r="A99" s="1257" t="s">
        <v>72</v>
      </c>
      <c r="B99" s="1258">
        <v>183</v>
      </c>
      <c r="C99" s="324"/>
      <c r="D99" s="324"/>
      <c r="E99" s="324"/>
      <c r="F99" s="324"/>
    </row>
    <row r="100" spans="1:6">
      <c r="A100" s="1257" t="s">
        <v>73</v>
      </c>
      <c r="B100" s="1258">
        <v>1668</v>
      </c>
      <c r="C100" s="324"/>
      <c r="D100" s="324"/>
      <c r="E100" s="324"/>
      <c r="F100" s="324"/>
    </row>
    <row r="101" spans="1:6">
      <c r="A101" s="1257" t="s">
        <v>74</v>
      </c>
      <c r="B101" s="1258">
        <v>249</v>
      </c>
      <c r="C101" s="324"/>
      <c r="D101" s="324"/>
      <c r="E101" s="324"/>
      <c r="F101" s="324"/>
    </row>
    <row r="102" spans="1:6">
      <c r="A102" s="1257" t="s">
        <v>75</v>
      </c>
      <c r="B102" s="1258">
        <v>343</v>
      </c>
      <c r="C102" s="324"/>
      <c r="D102" s="324"/>
      <c r="E102" s="324"/>
      <c r="F102" s="324"/>
    </row>
    <row r="103" spans="1:6">
      <c r="A103" s="1257" t="s">
        <v>76</v>
      </c>
      <c r="B103" s="1258">
        <v>650</v>
      </c>
      <c r="C103" s="324"/>
      <c r="D103" s="324"/>
      <c r="E103" s="324"/>
      <c r="F103" s="324"/>
    </row>
    <row r="104" spans="1:6">
      <c r="A104" s="1257" t="s">
        <v>77</v>
      </c>
      <c r="B104" s="1258">
        <v>4453</v>
      </c>
      <c r="C104" s="324"/>
      <c r="D104" s="324"/>
      <c r="E104" s="324"/>
      <c r="F104" s="324"/>
    </row>
    <row r="105" spans="1:6">
      <c r="A105" s="1252" t="s">
        <v>78</v>
      </c>
      <c r="B105" s="1260">
        <v>20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76</v>
      </c>
      <c r="C123" s="1258">
        <v>134</v>
      </c>
      <c r="D123" s="324"/>
      <c r="E123" s="324"/>
      <c r="F123" s="324"/>
    </row>
    <row r="124" spans="1:6">
      <c r="A124" s="1257" t="s">
        <v>88</v>
      </c>
      <c r="B124" s="1258">
        <v>1</v>
      </c>
      <c r="C124" s="1258">
        <v>3</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294</v>
      </c>
      <c r="C129" s="324"/>
      <c r="D129" s="324"/>
      <c r="E129" s="324"/>
      <c r="F129" s="324"/>
    </row>
    <row r="130" spans="1:6">
      <c r="A130" s="1257" t="s">
        <v>283</v>
      </c>
      <c r="B130" s="1258">
        <v>9</v>
      </c>
      <c r="C130" s="324"/>
      <c r="D130" s="324"/>
      <c r="E130" s="324"/>
      <c r="F130" s="324"/>
    </row>
    <row r="131" spans="1:6">
      <c r="A131" s="1257" t="s">
        <v>284</v>
      </c>
      <c r="B131" s="1258">
        <v>8</v>
      </c>
      <c r="C131" s="324"/>
      <c r="D131" s="324"/>
      <c r="E131" s="324"/>
      <c r="F131" s="324"/>
    </row>
    <row r="132" spans="1:6">
      <c r="A132" s="1252" t="s">
        <v>285</v>
      </c>
      <c r="B132" s="1253">
        <v>54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221268.57632425948</v>
      </c>
      <c r="C3" s="43" t="s">
        <v>163</v>
      </c>
      <c r="D3" s="43"/>
      <c r="E3" s="153"/>
      <c r="F3" s="43"/>
      <c r="G3" s="43"/>
      <c r="H3" s="43"/>
      <c r="I3" s="43"/>
      <c r="J3" s="43"/>
      <c r="K3" s="96"/>
    </row>
    <row r="4" spans="1:11">
      <c r="A4" s="350" t="s">
        <v>164</v>
      </c>
      <c r="B4" s="49">
        <f>IF(ISERROR('SEAP template'!B78+'SEAP template'!C78),0,'SEAP template'!B78+'SEAP template'!C78)</f>
        <v>34240.739757958596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0.18680082173340581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2245.262616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2245.262616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0.18680082173340581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419.41690167609642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60290.141159999999</v>
      </c>
      <c r="C5" s="17">
        <f>IF(ISERROR('Eigen informatie GS &amp; warmtenet'!B59),0,'Eigen informatie GS &amp; warmtenet'!B59)</f>
        <v>0</v>
      </c>
      <c r="D5" s="30">
        <f>(SUM(HH_hh_gas_kWh,HH_rest_gas_kWh)/1000)*0.902</f>
        <v>147793.7920514</v>
      </c>
      <c r="E5" s="17">
        <f>B32*B41</f>
        <v>3828.2206365258398</v>
      </c>
      <c r="F5" s="17">
        <f>B36*B45</f>
        <v>73671.419219979973</v>
      </c>
      <c r="G5" s="18"/>
      <c r="H5" s="17"/>
      <c r="I5" s="17"/>
      <c r="J5" s="17">
        <f>B35*B44+C35*C44</f>
        <v>376.98449347515668</v>
      </c>
      <c r="K5" s="17"/>
      <c r="L5" s="17"/>
      <c r="M5" s="17"/>
      <c r="N5" s="17">
        <f>B34*B43+C34*C43</f>
        <v>21376.749192318421</v>
      </c>
      <c r="O5" s="17">
        <f>B52*B53*B54</f>
        <v>855.08599255581078</v>
      </c>
      <c r="P5" s="17">
        <f>B60*B61*B62/1000-B60*B61*B62/1000/B63</f>
        <v>1379.9486693067381</v>
      </c>
    </row>
    <row r="6" spans="1:16">
      <c r="A6" s="16" t="s">
        <v>573</v>
      </c>
      <c r="B6" s="738">
        <f>kWh_PV_kleiner_dan_10kW</f>
        <v>8599.321614008506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68889.462774008512</v>
      </c>
      <c r="C8" s="21">
        <f>C5</f>
        <v>0</v>
      </c>
      <c r="D8" s="21">
        <f>D5</f>
        <v>147793.7920514</v>
      </c>
      <c r="E8" s="21">
        <f>E5</f>
        <v>3828.2206365258398</v>
      </c>
      <c r="F8" s="21">
        <f>F5</f>
        <v>73671.419219979973</v>
      </c>
      <c r="G8" s="21"/>
      <c r="H8" s="21"/>
      <c r="I8" s="21"/>
      <c r="J8" s="21">
        <f>J5</f>
        <v>376.98449347515668</v>
      </c>
      <c r="K8" s="21"/>
      <c r="L8" s="21">
        <f>L5</f>
        <v>0</v>
      </c>
      <c r="M8" s="21">
        <f>M5</f>
        <v>0</v>
      </c>
      <c r="N8" s="21">
        <f>N5</f>
        <v>21376.749192318421</v>
      </c>
      <c r="O8" s="21">
        <f>O5</f>
        <v>855.08599255581078</v>
      </c>
      <c r="P8" s="21">
        <f>P5</f>
        <v>1379.9486693067381</v>
      </c>
    </row>
    <row r="9" spans="1:16">
      <c r="B9" s="19"/>
      <c r="C9" s="19"/>
      <c r="D9" s="255"/>
      <c r="E9" s="19"/>
      <c r="F9" s="19"/>
      <c r="G9" s="19"/>
      <c r="H9" s="19"/>
      <c r="I9" s="19"/>
      <c r="J9" s="19"/>
      <c r="K9" s="19"/>
      <c r="L9" s="19"/>
      <c r="M9" s="19"/>
      <c r="N9" s="19"/>
      <c r="O9" s="19"/>
      <c r="P9" s="19"/>
    </row>
    <row r="10" spans="1:16">
      <c r="A10" s="24" t="s">
        <v>207</v>
      </c>
      <c r="B10" s="25">
        <f ca="1">'EF ele_warmte'!B12</f>
        <v>0.18680082173340581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12868.60825495766</v>
      </c>
      <c r="C12" s="23">
        <f ca="1">C10*C8</f>
        <v>0</v>
      </c>
      <c r="D12" s="23">
        <f>D8*D10</f>
        <v>29854.345994382802</v>
      </c>
      <c r="E12" s="23">
        <f>E10*E8</f>
        <v>869.00608449136564</v>
      </c>
      <c r="F12" s="23">
        <f>F10*F8</f>
        <v>19670.268931734652</v>
      </c>
      <c r="G12" s="23"/>
      <c r="H12" s="23"/>
      <c r="I12" s="23"/>
      <c r="J12" s="23">
        <f>J10*J8</f>
        <v>133.45251069020546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16686</v>
      </c>
      <c r="C26" s="36"/>
      <c r="D26" s="225"/>
    </row>
    <row r="27" spans="1:7" s="15" customFormat="1">
      <c r="A27" s="227" t="s">
        <v>774</v>
      </c>
      <c r="B27" s="37">
        <f>SUM(HH_hh_gas_aantal,HH_rest_gas_aantal)</f>
        <v>11649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11066.55</v>
      </c>
      <c r="C31" s="165" t="s">
        <v>104</v>
      </c>
      <c r="D31" s="230"/>
      <c r="G31" s="15"/>
    </row>
    <row r="32" spans="1:7">
      <c r="A32" s="168" t="s">
        <v>72</v>
      </c>
      <c r="B32" s="165">
        <f>IF((B21*($B$26-($B$27-0.05*$B$27)-$B$60))&lt;0,0,B21*($B$26-($B$27-0.05*$B$27)-$B$60))</f>
        <v>61.872215233462278</v>
      </c>
      <c r="C32" s="165" t="s">
        <v>104</v>
      </c>
      <c r="D32" s="230"/>
      <c r="G32" s="15"/>
    </row>
    <row r="33" spans="1:7">
      <c r="A33" s="168" t="s">
        <v>73</v>
      </c>
      <c r="B33" s="165">
        <f>IF((B22*($B$26-($B$27-0.05*$B$27)-$B$60))&lt;0,0,B22*($B$26-($B$27-0.05*$B$27)-$B$60))</f>
        <v>1286.37531308953</v>
      </c>
      <c r="C33" s="165" t="s">
        <v>104</v>
      </c>
      <c r="D33" s="230"/>
      <c r="G33" s="15"/>
    </row>
    <row r="34" spans="1:7">
      <c r="A34" s="168" t="s">
        <v>74</v>
      </c>
      <c r="B34" s="165">
        <f>IF((B24*($B$26-($B$27-0.05*$B$27)-$B$60))&lt;0,0,B24*($B$26-($B$27-0.05*$B$27)-$B$60))</f>
        <v>543.16440082360975</v>
      </c>
      <c r="C34" s="165">
        <f>B26*C24</f>
        <v>2879.3771713953797</v>
      </c>
      <c r="D34" s="230"/>
      <c r="G34" s="15"/>
    </row>
    <row r="35" spans="1:7">
      <c r="A35" s="168" t="s">
        <v>76</v>
      </c>
      <c r="B35" s="165">
        <f>IF((B19*($B$26-($B$27-0.05*$B$27)-$B$60))&lt;0,0,B19*($B$26-($B$27-0.05*$B$27)-$B$60))</f>
        <v>46.830595208844777</v>
      </c>
      <c r="C35" s="165">
        <f>B35/2</f>
        <v>23.415297604422388</v>
      </c>
      <c r="D35" s="231"/>
      <c r="G35" s="15"/>
    </row>
    <row r="36" spans="1:7">
      <c r="A36" s="168" t="s">
        <v>77</v>
      </c>
      <c r="B36" s="165">
        <f>IF((B18*($B$26-($B$27-0.05*$B$27)-$B$60))&lt;0,0,B18*($B$26-($B$27-0.05*$B$27)-$B$60))</f>
        <v>3550.2074756445541</v>
      </c>
      <c r="C36" s="165" t="s">
        <v>104</v>
      </c>
      <c r="D36" s="231"/>
      <c r="G36" s="15"/>
    </row>
    <row r="37" spans="1:7">
      <c r="A37" s="168" t="s">
        <v>78</v>
      </c>
      <c r="B37" s="165">
        <f>B60</f>
        <v>131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431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80152.661431000015</v>
      </c>
      <c r="C5" s="17">
        <f>IF(ISERROR('Eigen informatie GS &amp; warmtenet'!B60),0,'Eigen informatie GS &amp; warmtenet'!B60)</f>
        <v>0</v>
      </c>
      <c r="D5" s="30">
        <f>SUM(D6:D12)</f>
        <v>93805.832438076002</v>
      </c>
      <c r="E5" s="17">
        <f>SUM(E6:E12)</f>
        <v>261.34679512359065</v>
      </c>
      <c r="F5" s="17">
        <f>SUM(F6:F12)</f>
        <v>16571.873544376711</v>
      </c>
      <c r="G5" s="18"/>
      <c r="H5" s="17"/>
      <c r="I5" s="17"/>
      <c r="J5" s="17">
        <f>SUM(J6:J12)</f>
        <v>0.12810920280956001</v>
      </c>
      <c r="K5" s="17"/>
      <c r="L5" s="17"/>
      <c r="M5" s="17"/>
      <c r="N5" s="17">
        <f>SUM(N6:N12)</f>
        <v>4709.2493017637007</v>
      </c>
      <c r="O5" s="17">
        <f>B38*B39*B40</f>
        <v>44.075346892570387</v>
      </c>
      <c r="P5" s="17">
        <f>B46*B47*B48/1000-B46*B47*B48/1000/B49</f>
        <v>472.85224475845519</v>
      </c>
      <c r="R5" s="32"/>
    </row>
    <row r="6" spans="1:18">
      <c r="A6" s="32" t="s">
        <v>53</v>
      </c>
      <c r="B6" s="37">
        <f>B26</f>
        <v>11974.096710000002</v>
      </c>
      <c r="C6" s="33"/>
      <c r="D6" s="37">
        <f>IF(ISERROR(TER_kantoor_gas_kWh/1000),0,TER_kantoor_gas_kWh/1000)*0.902</f>
        <v>15217.4546997</v>
      </c>
      <c r="E6" s="33">
        <f>$C$26*'E Balans VL '!I12/100/3.6*1000000</f>
        <v>3.1267799932898703</v>
      </c>
      <c r="F6" s="33">
        <f>$C$26*('E Balans VL '!L12+'E Balans VL '!N12)/100/3.6*1000000</f>
        <v>1196.4062299747166</v>
      </c>
      <c r="G6" s="34"/>
      <c r="H6" s="33"/>
      <c r="I6" s="33"/>
      <c r="J6" s="33">
        <f>$C$26*('E Balans VL '!D12+'E Balans VL '!E12)/100/3.6*1000000</f>
        <v>0</v>
      </c>
      <c r="K6" s="33"/>
      <c r="L6" s="33"/>
      <c r="M6" s="33"/>
      <c r="N6" s="33">
        <f>$C$26*'E Balans VL '!Y12/100/3.6*1000000</f>
        <v>8.4895721167274463</v>
      </c>
      <c r="O6" s="33"/>
      <c r="P6" s="33"/>
      <c r="R6" s="32"/>
    </row>
    <row r="7" spans="1:18">
      <c r="A7" s="32" t="s">
        <v>52</v>
      </c>
      <c r="B7" s="37">
        <f t="shared" ref="B7:B12" si="0">B27</f>
        <v>3991.4745309999998</v>
      </c>
      <c r="C7" s="33"/>
      <c r="D7" s="37">
        <f>IF(ISERROR(TER_horeca_gas_kWh/1000),0,TER_horeca_gas_kWh/1000)*0.902</f>
        <v>4258.189289596</v>
      </c>
      <c r="E7" s="33">
        <f>$C$27*'E Balans VL '!I9/100/3.6*1000000</f>
        <v>0</v>
      </c>
      <c r="F7" s="33">
        <f>$C$27*('E Balans VL '!L9+'E Balans VL '!N9)/100/3.6*1000000</f>
        <v>327.80572122222105</v>
      </c>
      <c r="G7" s="34"/>
      <c r="H7" s="33"/>
      <c r="I7" s="33"/>
      <c r="J7" s="33">
        <f>$C$27*('E Balans VL '!D9+'E Balans VL '!E9)/100/3.6*1000000</f>
        <v>0</v>
      </c>
      <c r="K7" s="33"/>
      <c r="L7" s="33"/>
      <c r="M7" s="33"/>
      <c r="N7" s="33">
        <f>$C$27*'E Balans VL '!Y9/100/3.6*1000000</f>
        <v>50.440552582428936</v>
      </c>
      <c r="O7" s="33"/>
      <c r="P7" s="33"/>
      <c r="R7" s="32"/>
    </row>
    <row r="8" spans="1:18">
      <c r="A8" s="6" t="s">
        <v>51</v>
      </c>
      <c r="B8" s="37">
        <f t="shared" si="0"/>
        <v>34413.46155</v>
      </c>
      <c r="C8" s="33"/>
      <c r="D8" s="37">
        <f>IF(ISERROR(TER_handel_gas_kWh/1000),0,TER_handel_gas_kWh/1000)*0.902</f>
        <v>29792.225379399999</v>
      </c>
      <c r="E8" s="33">
        <f>$C$28*'E Balans VL '!I13/100/3.6*1000000</f>
        <v>126.4785016181642</v>
      </c>
      <c r="F8" s="33">
        <f>$C$28*('E Balans VL '!L13+'E Balans VL '!N13)/100/3.6*1000000</f>
        <v>3287.0654615294361</v>
      </c>
      <c r="G8" s="34"/>
      <c r="H8" s="33"/>
      <c r="I8" s="33"/>
      <c r="J8" s="33">
        <f>$C$28*('E Balans VL '!D13+'E Balans VL '!E13)/100/3.6*1000000</f>
        <v>0</v>
      </c>
      <c r="K8" s="33"/>
      <c r="L8" s="33"/>
      <c r="M8" s="33"/>
      <c r="N8" s="33">
        <f>$C$28*'E Balans VL '!Y13/100/3.6*1000000</f>
        <v>13.616598104363643</v>
      </c>
      <c r="O8" s="33"/>
      <c r="P8" s="33"/>
      <c r="R8" s="32"/>
    </row>
    <row r="9" spans="1:18">
      <c r="A9" s="32" t="s">
        <v>50</v>
      </c>
      <c r="B9" s="37">
        <f t="shared" si="0"/>
        <v>4079.5689320000001</v>
      </c>
      <c r="C9" s="33"/>
      <c r="D9" s="37">
        <f>IF(ISERROR(TER_gezond_gas_kWh/1000),0,TER_gezond_gas_kWh/1000)*0.902</f>
        <v>5462.0904070040006</v>
      </c>
      <c r="E9" s="33">
        <f>$C$29*'E Balans VL '!I10/100/3.6*1000000</f>
        <v>0</v>
      </c>
      <c r="F9" s="33">
        <f>$C$29*('E Balans VL '!L10+'E Balans VL '!N10)/100/3.6*1000000</f>
        <v>275.59387983847085</v>
      </c>
      <c r="G9" s="34"/>
      <c r="H9" s="33"/>
      <c r="I9" s="33"/>
      <c r="J9" s="33">
        <f>$C$29*('E Balans VL '!D10+'E Balans VL '!E10)/100/3.6*1000000</f>
        <v>0</v>
      </c>
      <c r="K9" s="33"/>
      <c r="L9" s="33"/>
      <c r="M9" s="33"/>
      <c r="N9" s="33">
        <f>$C$29*'E Balans VL '!Y10/100/3.6*1000000</f>
        <v>31.742090086737022</v>
      </c>
      <c r="O9" s="33"/>
      <c r="P9" s="33"/>
      <c r="R9" s="32"/>
    </row>
    <row r="10" spans="1:18">
      <c r="A10" s="32" t="s">
        <v>49</v>
      </c>
      <c r="B10" s="37">
        <f t="shared" si="0"/>
        <v>10340.129789999999</v>
      </c>
      <c r="C10" s="33"/>
      <c r="D10" s="37">
        <f>IF(ISERROR(TER_ander_gas_kWh/1000),0,TER_ander_gas_kWh/1000)*0.902</f>
        <v>19839.753537340002</v>
      </c>
      <c r="E10" s="33">
        <f>$C$30*'E Balans VL '!I14/100/3.6*1000000</f>
        <v>93.762283614886954</v>
      </c>
      <c r="F10" s="33">
        <f>$C$30*('E Balans VL '!L14+'E Balans VL '!N14)/100/3.6*1000000</f>
        <v>8173.3252964618223</v>
      </c>
      <c r="G10" s="34"/>
      <c r="H10" s="33"/>
      <c r="I10" s="33"/>
      <c r="J10" s="33">
        <f>$C$30*('E Balans VL '!D14+'E Balans VL '!E14)/100/3.6*1000000</f>
        <v>0.10234167729757455</v>
      </c>
      <c r="K10" s="33"/>
      <c r="L10" s="33"/>
      <c r="M10" s="33"/>
      <c r="N10" s="33">
        <f>$C$30*'E Balans VL '!Y14/100/3.6*1000000</f>
        <v>3649.5387147569554</v>
      </c>
      <c r="O10" s="33"/>
      <c r="P10" s="33"/>
      <c r="R10" s="32"/>
    </row>
    <row r="11" spans="1:18">
      <c r="A11" s="32" t="s">
        <v>54</v>
      </c>
      <c r="B11" s="37">
        <f t="shared" si="0"/>
        <v>2504.4177880000002</v>
      </c>
      <c r="C11" s="33"/>
      <c r="D11" s="37">
        <f>IF(ISERROR(TER_onderwijs_gas_kWh/1000),0,TER_onderwijs_gas_kWh/1000)*0.902</f>
        <v>6798.8180527960003</v>
      </c>
      <c r="E11" s="33">
        <f>$C$31*'E Balans VL '!I11/100/3.6*1000000</f>
        <v>0</v>
      </c>
      <c r="F11" s="33">
        <f>$C$31*('E Balans VL '!L11+'E Balans VL '!N11)/100/3.6*1000000</f>
        <v>298.05938930569801</v>
      </c>
      <c r="G11" s="34"/>
      <c r="H11" s="33"/>
      <c r="I11" s="33"/>
      <c r="J11" s="33">
        <f>$C$31*('E Balans VL '!D11+'E Balans VL '!E11)/100/3.6*1000000</f>
        <v>0</v>
      </c>
      <c r="K11" s="33"/>
      <c r="L11" s="33"/>
      <c r="M11" s="33"/>
      <c r="N11" s="33">
        <f>$C$31*'E Balans VL '!Y11/100/3.6*1000000</f>
        <v>5.5697640521914229</v>
      </c>
      <c r="O11" s="33"/>
      <c r="P11" s="33"/>
      <c r="R11" s="32"/>
    </row>
    <row r="12" spans="1:18">
      <c r="A12" s="32" t="s">
        <v>248</v>
      </c>
      <c r="B12" s="37">
        <f t="shared" si="0"/>
        <v>12849.512130000001</v>
      </c>
      <c r="C12" s="33"/>
      <c r="D12" s="37">
        <f>IF(ISERROR(TER_rest_gas_kWh/1000),0,TER_rest_gas_kWh/1000)*0.902</f>
        <v>12437.301072239999</v>
      </c>
      <c r="E12" s="33">
        <f>$C$32*'E Balans VL '!I8/100/3.6*1000000</f>
        <v>37.97922989724966</v>
      </c>
      <c r="F12" s="33">
        <f>$C$32*('E Balans VL '!L8+'E Balans VL '!N8)/100/3.6*1000000</f>
        <v>3013.6175660443482</v>
      </c>
      <c r="G12" s="34"/>
      <c r="H12" s="33"/>
      <c r="I12" s="33"/>
      <c r="J12" s="33">
        <f>$C$32*('E Balans VL '!D8+'E Balans VL '!E8)/100/3.6*1000000</f>
        <v>2.576752551198546E-2</v>
      </c>
      <c r="K12" s="33"/>
      <c r="L12" s="33"/>
      <c r="M12" s="33"/>
      <c r="N12" s="33">
        <f>$C$32*'E Balans VL '!Y8/100/3.6*1000000</f>
        <v>949.85201006429736</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80152.661431000015</v>
      </c>
      <c r="C16" s="21">
        <f t="shared" ca="1" si="1"/>
        <v>0</v>
      </c>
      <c r="D16" s="21">
        <f t="shared" ca="1" si="1"/>
        <v>93805.832438076002</v>
      </c>
      <c r="E16" s="21">
        <f t="shared" si="1"/>
        <v>261.34679512359065</v>
      </c>
      <c r="F16" s="21">
        <f t="shared" ca="1" si="1"/>
        <v>16571.873544376711</v>
      </c>
      <c r="G16" s="21">
        <f t="shared" si="1"/>
        <v>0</v>
      </c>
      <c r="H16" s="21">
        <f t="shared" si="1"/>
        <v>0</v>
      </c>
      <c r="I16" s="21">
        <f t="shared" si="1"/>
        <v>0</v>
      </c>
      <c r="J16" s="21">
        <f t="shared" si="1"/>
        <v>0.12810920280956001</v>
      </c>
      <c r="K16" s="21">
        <f t="shared" si="1"/>
        <v>0</v>
      </c>
      <c r="L16" s="21">
        <f t="shared" ca="1" si="1"/>
        <v>0</v>
      </c>
      <c r="M16" s="21">
        <f t="shared" si="1"/>
        <v>0</v>
      </c>
      <c r="N16" s="21">
        <f t="shared" ca="1" si="1"/>
        <v>4709.2493017637007</v>
      </c>
      <c r="O16" s="21">
        <f>O5</f>
        <v>44.075346892570387</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0.18680082173340581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14972.583019430265</v>
      </c>
      <c r="C20" s="23">
        <f t="shared" ref="C20:P20" ca="1" si="2">C16*C18</f>
        <v>0</v>
      </c>
      <c r="D20" s="23">
        <f t="shared" ca="1" si="2"/>
        <v>18948.778152491355</v>
      </c>
      <c r="E20" s="23">
        <f t="shared" si="2"/>
        <v>59.325722493055082</v>
      </c>
      <c r="F20" s="23">
        <f t="shared" ca="1" si="2"/>
        <v>4424.6902363485824</v>
      </c>
      <c r="G20" s="23">
        <f t="shared" si="2"/>
        <v>0</v>
      </c>
      <c r="H20" s="23">
        <f t="shared" si="2"/>
        <v>0</v>
      </c>
      <c r="I20" s="23">
        <f t="shared" si="2"/>
        <v>0</v>
      </c>
      <c r="J20" s="23">
        <f t="shared" si="2"/>
        <v>4.5350657794584241E-2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11974.096710000002</v>
      </c>
      <c r="C26" s="39">
        <f>IF(ISERROR(B26*3.6/1000000/'E Balans VL '!Z12*100),0,B26*3.6/1000000/'E Balans VL '!Z12*100)</f>
        <v>0.33509768774858972</v>
      </c>
      <c r="D26" s="234" t="s">
        <v>667</v>
      </c>
      <c r="F26" s="6"/>
    </row>
    <row r="27" spans="1:18">
      <c r="A27" s="228" t="s">
        <v>52</v>
      </c>
      <c r="B27" s="33">
        <f>IF(ISERROR(TER_horeca_ele_kWh/1000),0,TER_horeca_ele_kWh/1000)</f>
        <v>3991.4745309999998</v>
      </c>
      <c r="C27" s="39">
        <f>IF(ISERROR(B27*3.6/1000000/'E Balans VL '!Z9*100),0,B27*3.6/1000000/'E Balans VL '!Z9*100)</f>
        <v>0.29749433075398968</v>
      </c>
      <c r="D27" s="234" t="s">
        <v>667</v>
      </c>
      <c r="F27" s="6"/>
    </row>
    <row r="28" spans="1:18">
      <c r="A28" s="168" t="s">
        <v>51</v>
      </c>
      <c r="B28" s="33">
        <f>IF(ISERROR(TER_handel_ele_kWh/1000),0,TER_handel_ele_kWh/1000)</f>
        <v>34413.46155</v>
      </c>
      <c r="C28" s="39">
        <f>IF(ISERROR(B28*3.6/1000000/'E Balans VL '!Z13*100),0,B28*3.6/1000000/'E Balans VL '!Z13*100)</f>
        <v>0.99704908871282549</v>
      </c>
      <c r="D28" s="234" t="s">
        <v>667</v>
      </c>
      <c r="F28" s="6"/>
    </row>
    <row r="29" spans="1:18">
      <c r="A29" s="228" t="s">
        <v>50</v>
      </c>
      <c r="B29" s="33">
        <f>IF(ISERROR(TER_gezond_ele_kWh/1000),0,TER_gezond_ele_kWh/1000)</f>
        <v>4079.5689320000001</v>
      </c>
      <c r="C29" s="39">
        <f>IF(ISERROR(B29*3.6/1000000/'E Balans VL '!Z10*100),0,B29*3.6/1000000/'E Balans VL '!Z10*100)</f>
        <v>0.41142939187630201</v>
      </c>
      <c r="D29" s="234" t="s">
        <v>667</v>
      </c>
      <c r="F29" s="6"/>
    </row>
    <row r="30" spans="1:18">
      <c r="A30" s="228" t="s">
        <v>49</v>
      </c>
      <c r="B30" s="33">
        <f>IF(ISERROR(TER_ander_ele_kWh/1000),0,TER_ander_ele_kWh/1000)</f>
        <v>10340.129789999999</v>
      </c>
      <c r="C30" s="39">
        <f>IF(ISERROR(B30*3.6/1000000/'E Balans VL '!Z14*100),0,B30*3.6/1000000/'E Balans VL '!Z14*100)</f>
        <v>0.41914680121873538</v>
      </c>
      <c r="D30" s="234" t="s">
        <v>667</v>
      </c>
      <c r="F30" s="6"/>
    </row>
    <row r="31" spans="1:18">
      <c r="A31" s="228" t="s">
        <v>54</v>
      </c>
      <c r="B31" s="33">
        <f>IF(ISERROR(TER_onderwijs_ele_kWh/1000),0,TER_onderwijs_ele_kWh/1000)</f>
        <v>2504.4177880000002</v>
      </c>
      <c r="C31" s="39">
        <f>IF(ISERROR(B31*3.6/1000000/'E Balans VL '!Z11*100),0,B31*3.6/1000000/'E Balans VL '!Z11*100)</f>
        <v>0.71386105422110213</v>
      </c>
      <c r="D31" s="234" t="s">
        <v>667</v>
      </c>
    </row>
    <row r="32" spans="1:18">
      <c r="A32" s="228" t="s">
        <v>248</v>
      </c>
      <c r="B32" s="33">
        <f>IF(ISERROR(TER_rest_ele_kWh/1000),0,TER_rest_ele_kWh/1000)</f>
        <v>12849.512130000001</v>
      </c>
      <c r="C32" s="39">
        <f>IF(ISERROR(B32*3.6/1000000/'E Balans VL '!Z8*100),0,B32*3.6/1000000/'E Balans VL '!Z8*100)</f>
        <v>0.1055325276941384</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9</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9</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63823.409276000006</v>
      </c>
      <c r="C5" s="17">
        <f>IF(ISERROR('Eigen informatie GS &amp; warmtenet'!B61),0,'Eigen informatie GS &amp; warmtenet'!B61)</f>
        <v>0</v>
      </c>
      <c r="D5" s="30">
        <f>SUM(D6:D15)</f>
        <v>48612.618812780005</v>
      </c>
      <c r="E5" s="17">
        <f>SUM(E6:E15)</f>
        <v>846.80207054617506</v>
      </c>
      <c r="F5" s="17">
        <f>SUM(F6:F15)</f>
        <v>14622.473679050801</v>
      </c>
      <c r="G5" s="18"/>
      <c r="H5" s="17"/>
      <c r="I5" s="17"/>
      <c r="J5" s="17">
        <f>SUM(J6:J15)</f>
        <v>66.540677685195533</v>
      </c>
      <c r="K5" s="17"/>
      <c r="L5" s="17"/>
      <c r="M5" s="17"/>
      <c r="N5" s="17">
        <f>SUM(N6:N15)</f>
        <v>2664.2110032471837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16849.547930000001</v>
      </c>
      <c r="C8" s="33"/>
      <c r="D8" s="37">
        <f>IF( ISERROR(IND_metaal_Gas_kWH/1000),0,IND_metaal_Gas_kWH/1000)*0.902</f>
        <v>10035.373399260001</v>
      </c>
      <c r="E8" s="33">
        <f>C30*'E Balans VL '!I18/100/3.6*1000000</f>
        <v>120.91637927685201</v>
      </c>
      <c r="F8" s="33">
        <f>C30*'E Balans VL '!L18/100/3.6*1000000+C30*'E Balans VL '!N18/100/3.6*1000000</f>
        <v>1121.4938475184695</v>
      </c>
      <c r="G8" s="34"/>
      <c r="H8" s="33"/>
      <c r="I8" s="33"/>
      <c r="J8" s="40">
        <f>C30*'E Balans VL '!D18/100/3.6*1000000+C30*'E Balans VL '!E18/100/3.6*1000000</f>
        <v>16.243684710304407</v>
      </c>
      <c r="K8" s="33"/>
      <c r="L8" s="33"/>
      <c r="M8" s="33"/>
      <c r="N8" s="33">
        <f>C30*'E Balans VL '!Y18/100/3.6*1000000</f>
        <v>204.17773391112181</v>
      </c>
      <c r="O8" s="33"/>
      <c r="P8" s="33"/>
      <c r="R8" s="32"/>
    </row>
    <row r="9" spans="1:18">
      <c r="A9" s="6" t="s">
        <v>32</v>
      </c>
      <c r="B9" s="37">
        <f t="shared" si="0"/>
        <v>15706.700339999999</v>
      </c>
      <c r="C9" s="33"/>
      <c r="D9" s="37">
        <f>IF( ISERROR(IND_andere_gas_kWh/1000),0,IND_andere_gas_kWh/1000)*0.902</f>
        <v>5370.32686036</v>
      </c>
      <c r="E9" s="33">
        <f>C31*'E Balans VL '!I19/100/3.6*1000000</f>
        <v>41.295686142351073</v>
      </c>
      <c r="F9" s="33">
        <f>C31*'E Balans VL '!L19/100/3.6*1000000+C31*'E Balans VL '!N19/100/3.6*1000000</f>
        <v>10372.778244402758</v>
      </c>
      <c r="G9" s="34"/>
      <c r="H9" s="33"/>
      <c r="I9" s="33"/>
      <c r="J9" s="40">
        <f>C31*'E Balans VL '!D19/100/3.6*1000000+C31*'E Balans VL '!E19/100/3.6*1000000</f>
        <v>0</v>
      </c>
      <c r="K9" s="33"/>
      <c r="L9" s="33"/>
      <c r="M9" s="33"/>
      <c r="N9" s="33">
        <f>C31*'E Balans VL '!Y19/100/3.6*1000000</f>
        <v>838.55573933830158</v>
      </c>
      <c r="O9" s="33"/>
      <c r="P9" s="33"/>
      <c r="R9" s="32"/>
    </row>
    <row r="10" spans="1:18">
      <c r="A10" s="6" t="s">
        <v>40</v>
      </c>
      <c r="B10" s="37">
        <f t="shared" si="0"/>
        <v>17422.572800000002</v>
      </c>
      <c r="C10" s="33"/>
      <c r="D10" s="37">
        <f>IF( ISERROR(IND_voed_gas_kWh/1000),0,IND_voed_gas_kWh/1000)*0.902</f>
        <v>19333.692417600003</v>
      </c>
      <c r="E10" s="33">
        <f>C32*'E Balans VL '!I20/100/3.6*1000000</f>
        <v>29.413285704643208</v>
      </c>
      <c r="F10" s="33">
        <f>C32*'E Balans VL '!L20/100/3.6*1000000+C32*'E Balans VL '!N20/100/3.6*1000000</f>
        <v>1022.6289847419779</v>
      </c>
      <c r="G10" s="34"/>
      <c r="H10" s="33"/>
      <c r="I10" s="33"/>
      <c r="J10" s="40">
        <f>C32*'E Balans VL '!D20/100/3.6*1000000+C32*'E Balans VL '!E20/100/3.6*1000000</f>
        <v>0</v>
      </c>
      <c r="K10" s="33"/>
      <c r="L10" s="33"/>
      <c r="M10" s="33"/>
      <c r="N10" s="33">
        <f>C32*'E Balans VL '!Y20/100/3.6*1000000</f>
        <v>948.57187154729809</v>
      </c>
      <c r="O10" s="33"/>
      <c r="P10" s="33"/>
      <c r="R10" s="32"/>
    </row>
    <row r="11" spans="1:18">
      <c r="A11" s="6" t="s">
        <v>39</v>
      </c>
      <c r="B11" s="37">
        <f t="shared" si="0"/>
        <v>14.522425</v>
      </c>
      <c r="C11" s="33"/>
      <c r="D11" s="37">
        <f>IF( ISERROR(IND_textiel_gas_kWh/1000),0,IND_textiel_gas_kWh/1000)*0.902</f>
        <v>103.737744572</v>
      </c>
      <c r="E11" s="33">
        <f>C33*'E Balans VL '!I21/100/3.6*1000000</f>
        <v>5.0585360812782136E-2</v>
      </c>
      <c r="F11" s="33">
        <f>C33*'E Balans VL '!L21/100/3.6*1000000+C33*'E Balans VL '!N21/100/3.6*1000000</f>
        <v>0.38592086417127086</v>
      </c>
      <c r="G11" s="34"/>
      <c r="H11" s="33"/>
      <c r="I11" s="33"/>
      <c r="J11" s="40">
        <f>C33*'E Balans VL '!D21/100/3.6*1000000+C33*'E Balans VL '!E21/100/3.6*1000000</f>
        <v>0</v>
      </c>
      <c r="K11" s="33"/>
      <c r="L11" s="33"/>
      <c r="M11" s="33"/>
      <c r="N11" s="33">
        <f>C33*'E Balans VL '!Y21/100/3.6*1000000</f>
        <v>1.7952586462671837E-3</v>
      </c>
      <c r="O11" s="33"/>
      <c r="P11" s="33"/>
      <c r="R11" s="32"/>
    </row>
    <row r="12" spans="1:18">
      <c r="A12" s="6" t="s">
        <v>36</v>
      </c>
      <c r="B12" s="37">
        <f t="shared" si="0"/>
        <v>344.24532699999997</v>
      </c>
      <c r="C12" s="33"/>
      <c r="D12" s="37">
        <f>IF( ISERROR(IND_min_gas_kWh/1000),0,IND_min_gas_kWh/1000)*0.902</f>
        <v>0</v>
      </c>
      <c r="E12" s="33">
        <f>C34*'E Balans VL '!I22/100/3.6*1000000</f>
        <v>4.9558856673405787</v>
      </c>
      <c r="F12" s="33">
        <f>C34*'E Balans VL '!L22/100/3.6*1000000+C34*'E Balans VL '!N22/100/3.6*1000000</f>
        <v>41.388117211304376</v>
      </c>
      <c r="G12" s="34"/>
      <c r="H12" s="33"/>
      <c r="I12" s="33"/>
      <c r="J12" s="40">
        <f>C34*'E Balans VL '!D22/100/3.6*1000000+C34*'E Balans VL '!E22/100/3.6*1000000</f>
        <v>0.25134232509887366</v>
      </c>
      <c r="K12" s="33"/>
      <c r="L12" s="33"/>
      <c r="M12" s="33"/>
      <c r="N12" s="33">
        <f>C34*'E Balans VL '!Y22/100/3.6*1000000</f>
        <v>204.76679082840775</v>
      </c>
      <c r="O12" s="33"/>
      <c r="P12" s="33"/>
      <c r="R12" s="32"/>
    </row>
    <row r="13" spans="1:18">
      <c r="A13" s="6" t="s">
        <v>38</v>
      </c>
      <c r="B13" s="37">
        <f t="shared" si="0"/>
        <v>292.50953399999997</v>
      </c>
      <c r="C13" s="33"/>
      <c r="D13" s="37">
        <f>IF( ISERROR(IND_papier_gas_kWh/1000),0,IND_papier_gas_kWh/1000)*0.902</f>
        <v>222.87140332600001</v>
      </c>
      <c r="E13" s="33">
        <f>C35*'E Balans VL '!I23/100/3.6*1000000</f>
        <v>1.0349015621219169</v>
      </c>
      <c r="F13" s="33">
        <f>C35*'E Balans VL '!L23/100/3.6*1000000+C35*'E Balans VL '!N23/100/3.6*1000000</f>
        <v>2.7117884646577846</v>
      </c>
      <c r="G13" s="34"/>
      <c r="H13" s="33"/>
      <c r="I13" s="33"/>
      <c r="J13" s="40">
        <f>C35*'E Balans VL '!D23/100/3.6*1000000+C35*'E Balans VL '!E23/100/3.6*1000000</f>
        <v>0</v>
      </c>
      <c r="K13" s="33"/>
      <c r="L13" s="33"/>
      <c r="M13" s="33"/>
      <c r="N13" s="33">
        <f>C35*'E Balans VL '!Y23/100/3.6*1000000</f>
        <v>-6.3719465526805825</v>
      </c>
      <c r="O13" s="33"/>
      <c r="P13" s="33"/>
      <c r="R13" s="32"/>
    </row>
    <row r="14" spans="1:18">
      <c r="A14" s="6" t="s">
        <v>33</v>
      </c>
      <c r="B14" s="37">
        <f t="shared" si="0"/>
        <v>171.72639000000001</v>
      </c>
      <c r="C14" s="33"/>
      <c r="D14" s="37">
        <f>IF( ISERROR(IND_chemie_gas_kWh/1000),0,IND_chemie_gas_kWh/1000)*0.902</f>
        <v>526.12667890200009</v>
      </c>
      <c r="E14" s="33">
        <f>C36*'E Balans VL '!I24/100/3.6*1000000</f>
        <v>27.948311905913755</v>
      </c>
      <c r="F14" s="33">
        <f>C36*'E Balans VL '!L24/100/3.6*1000000+C36*'E Balans VL '!N24/100/3.6*1000000</f>
        <v>2.2316131575992948</v>
      </c>
      <c r="G14" s="34"/>
      <c r="H14" s="33"/>
      <c r="I14" s="33"/>
      <c r="J14" s="40">
        <f>C36*'E Balans VL '!D24/100/3.6*1000000+C36*'E Balans VL '!E24/100/3.6*1000000</f>
        <v>0</v>
      </c>
      <c r="K14" s="33"/>
      <c r="L14" s="33"/>
      <c r="M14" s="33"/>
      <c r="N14" s="33">
        <f>C36*'E Balans VL '!Y24/100/3.6*1000000</f>
        <v>0.10508568818590702</v>
      </c>
      <c r="O14" s="33"/>
      <c r="P14" s="33"/>
      <c r="R14" s="32"/>
    </row>
    <row r="15" spans="1:18">
      <c r="A15" s="6" t="s">
        <v>258</v>
      </c>
      <c r="B15" s="37">
        <f t="shared" si="0"/>
        <v>13021.58453</v>
      </c>
      <c r="C15" s="33"/>
      <c r="D15" s="37">
        <f>IF( ISERROR(IND_rest_gas_kWh/1000),0,IND_rest_gas_kWh/1000)*0.902</f>
        <v>13020.490308760001</v>
      </c>
      <c r="E15" s="33">
        <f>C37*'E Balans VL '!I15/100/3.6*1000000</f>
        <v>621.18703492613975</v>
      </c>
      <c r="F15" s="33">
        <f>C37*'E Balans VL '!L15/100/3.6*1000000+C37*'E Balans VL '!N15/100/3.6*1000000</f>
        <v>2058.8551626898625</v>
      </c>
      <c r="G15" s="34"/>
      <c r="H15" s="33"/>
      <c r="I15" s="33"/>
      <c r="J15" s="40">
        <f>C37*'E Balans VL '!D15/100/3.6*1000000+C37*'E Balans VL '!E15/100/3.6*1000000</f>
        <v>50.045650649792243</v>
      </c>
      <c r="K15" s="33"/>
      <c r="L15" s="33"/>
      <c r="M15" s="33"/>
      <c r="N15" s="33">
        <f>C37*'E Balans VL '!Y15/100/3.6*1000000</f>
        <v>474.40393322790294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63823.409276000006</v>
      </c>
      <c r="C18" s="21">
        <f>C5+C16</f>
        <v>0</v>
      </c>
      <c r="D18" s="21">
        <f>MAX((D5+D16),0)</f>
        <v>48612.618812780005</v>
      </c>
      <c r="E18" s="21">
        <f>MAX((E5+E16),0)</f>
        <v>846.80207054617506</v>
      </c>
      <c r="F18" s="21">
        <f>MAX((F5+F16),0)</f>
        <v>14622.473679050801</v>
      </c>
      <c r="G18" s="21"/>
      <c r="H18" s="21"/>
      <c r="I18" s="21"/>
      <c r="J18" s="21">
        <f>MAX((J5+J16),0)</f>
        <v>66.540677685195533</v>
      </c>
      <c r="K18" s="21"/>
      <c r="L18" s="21">
        <f>MAX((L5+L16),0)</f>
        <v>0</v>
      </c>
      <c r="M18" s="21"/>
      <c r="N18" s="21">
        <f>MAX((N5+N16),0)</f>
        <v>2664.2110032471837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0.18680082173340581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11922.265298584276</v>
      </c>
      <c r="C22" s="23">
        <f ca="1">C18*C20</f>
        <v>0</v>
      </c>
      <c r="D22" s="23">
        <f>D18*D20</f>
        <v>9819.7490001815622</v>
      </c>
      <c r="E22" s="23">
        <f>E18*E20</f>
        <v>192.22407001398173</v>
      </c>
      <c r="F22" s="23">
        <f>F18*F20</f>
        <v>3904.2004723065643</v>
      </c>
      <c r="G22" s="23"/>
      <c r="H22" s="23"/>
      <c r="I22" s="23"/>
      <c r="J22" s="23">
        <f>J18*J20</f>
        <v>23.555399900559216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16849.547930000001</v>
      </c>
      <c r="C30" s="39">
        <f>IF(ISERROR(B30*3.6/1000000/'E Balans VL '!Z18*100),0,B30*3.6/1000000/'E Balans VL '!Z18*100)</f>
        <v>0.93230975809664784</v>
      </c>
      <c r="D30" s="234" t="s">
        <v>667</v>
      </c>
    </row>
    <row r="31" spans="1:18">
      <c r="A31" s="6" t="s">
        <v>32</v>
      </c>
      <c r="B31" s="37">
        <f>IF( ISERROR(IND_ander_ele_kWh/1000),0,IND_ander_ele_kWh/1000)</f>
        <v>15706.700339999999</v>
      </c>
      <c r="C31" s="39">
        <f>IF(ISERROR(B31*3.6/1000000/'E Balans VL '!Z19*100),0,B31*3.6/1000000/'E Balans VL '!Z19*100)</f>
        <v>0.68517534560183035</v>
      </c>
      <c r="D31" s="234" t="s">
        <v>667</v>
      </c>
    </row>
    <row r="32" spans="1:18">
      <c r="A32" s="168" t="s">
        <v>40</v>
      </c>
      <c r="B32" s="37">
        <f>IF( ISERROR(IND_voed_ele_kWh/1000),0,IND_voed_ele_kWh/1000)</f>
        <v>17422.572800000002</v>
      </c>
      <c r="C32" s="39">
        <f>IF(ISERROR(B32*3.6/1000000/'E Balans VL '!Z20*100),0,B32*3.6/1000000/'E Balans VL '!Z20*100)</f>
        <v>0.54688220022929301</v>
      </c>
      <c r="D32" s="234" t="s">
        <v>667</v>
      </c>
    </row>
    <row r="33" spans="1:5">
      <c r="A33" s="168" t="s">
        <v>39</v>
      </c>
      <c r="B33" s="37">
        <f>IF( ISERROR(IND_textiel_ele_kWh/1000),0,IND_textiel_ele_kWh/1000)</f>
        <v>14.522425</v>
      </c>
      <c r="C33" s="39">
        <f>IF(ISERROR(B33*3.6/1000000/'E Balans VL '!Z21*100),0,B33*3.6/1000000/'E Balans VL '!Z21*100)</f>
        <v>2.2553972816857773E-3</v>
      </c>
      <c r="D33" s="234" t="s">
        <v>667</v>
      </c>
    </row>
    <row r="34" spans="1:5">
      <c r="A34" s="168" t="s">
        <v>36</v>
      </c>
      <c r="B34" s="37">
        <f>IF( ISERROR(IND_min_ele_kWh/1000),0,IND_min_ele_kWh/1000)</f>
        <v>344.24532699999997</v>
      </c>
      <c r="C34" s="39">
        <f>IF(ISERROR(B34*3.6/1000000/'E Balans VL '!Z22*100),0,B34*3.6/1000000/'E Balans VL '!Z22*100)</f>
        <v>0.15440825432694494</v>
      </c>
      <c r="D34" s="234" t="s">
        <v>667</v>
      </c>
    </row>
    <row r="35" spans="1:5">
      <c r="A35" s="168" t="s">
        <v>38</v>
      </c>
      <c r="B35" s="37">
        <f>IF( ISERROR(IND_papier_ele_kWh/1000),0,IND_papier_ele_kWh/1000)</f>
        <v>292.50953399999997</v>
      </c>
      <c r="C35" s="39">
        <f>IF(ISERROR(B35*3.6/1000000/'E Balans VL '!Z22*100),0,B35*3.6/1000000/'E Balans VL '!Z22*100)</f>
        <v>0.13120261330062483</v>
      </c>
      <c r="D35" s="234" t="s">
        <v>667</v>
      </c>
    </row>
    <row r="36" spans="1:5">
      <c r="A36" s="168" t="s">
        <v>33</v>
      </c>
      <c r="B36" s="37">
        <f>IF( ISERROR(IND_chemie_ele_kWh/1000),0,IND_chemie_ele_kWh/1000)</f>
        <v>171.72639000000001</v>
      </c>
      <c r="C36" s="39">
        <f>IF(ISERROR(B36*3.6/1000000/'E Balans VL '!Z24*100),0,B36*3.6/1000000/'E Balans VL '!Z24*100)</f>
        <v>5.0461314855177412E-3</v>
      </c>
      <c r="D36" s="234" t="s">
        <v>667</v>
      </c>
    </row>
    <row r="37" spans="1:5">
      <c r="A37" s="168" t="s">
        <v>258</v>
      </c>
      <c r="B37" s="37">
        <f>IF( ISERROR(IND_rest_ele_kWh/1000),0,IND_rest_ele_kWh/1000)</f>
        <v>13021.58453</v>
      </c>
      <c r="C37" s="39">
        <f>IF(ISERROR(B37*3.6/1000000/'E Balans VL '!Z15*100),0,B37*3.6/1000000/'E Balans VL '!Z15*100)</f>
        <v>0.10597509759300214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3527.0081620000001</v>
      </c>
      <c r="C5" s="17">
        <f>'Eigen informatie GS &amp; warmtenet'!B62</f>
        <v>0</v>
      </c>
      <c r="D5" s="30">
        <f>IF(ISERROR(SUM(LB_lb_gas_kWh,LB_rest_gas_kWh)/1000),0,SUM(LB_lb_gas_kWh,LB_rest_gas_kWh)/1000)*0.902</f>
        <v>5510.9605559360007</v>
      </c>
      <c r="E5" s="17">
        <f>B17*'E Balans VL '!I25/3.6*1000000/100</f>
        <v>143.28982041648084</v>
      </c>
      <c r="F5" s="17">
        <f>B17*('E Balans VL '!L25/3.6*1000000+'E Balans VL '!N25/3.6*1000000)/100</f>
        <v>12476.262002539695</v>
      </c>
      <c r="G5" s="18"/>
      <c r="H5" s="17"/>
      <c r="I5" s="17"/>
      <c r="J5" s="17">
        <f>('E Balans VL '!D25+'E Balans VL '!E25)/3.6*1000000*landbouw!B17/100</f>
        <v>1002.09612953414</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3527.0081620000001</v>
      </c>
      <c r="C8" s="21">
        <f>C5+C6</f>
        <v>62.357142857142847</v>
      </c>
      <c r="D8" s="21">
        <f>MAX((D5+D6),0)</f>
        <v>5510.9605559360007</v>
      </c>
      <c r="E8" s="21">
        <f>MAX((E5+E6),0)</f>
        <v>143.28982041648084</v>
      </c>
      <c r="F8" s="21">
        <f>MAX((F5+F6),0)</f>
        <v>12476.262002539695</v>
      </c>
      <c r="G8" s="21"/>
      <c r="H8" s="21"/>
      <c r="I8" s="21"/>
      <c r="J8" s="21">
        <f>MAX((J5+J6),0)</f>
        <v>1002.09612953414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0.18680082173340581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658.84802292202926</v>
      </c>
      <c r="C12" s="23">
        <f ca="1">C8*C10</f>
        <v>0</v>
      </c>
      <c r="D12" s="23">
        <f>D8*D10</f>
        <v>1113.2140322990722</v>
      </c>
      <c r="E12" s="23">
        <f>E8*E10</f>
        <v>32.526789234541148</v>
      </c>
      <c r="F12" s="23">
        <f>F8*F10</f>
        <v>3331.1619546780989</v>
      </c>
      <c r="G12" s="23"/>
      <c r="H12" s="23"/>
      <c r="I12" s="23"/>
      <c r="J12" s="23">
        <f>J8*J10</f>
        <v>354.74202985508555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0.52431504727075973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835.93421331162813</v>
      </c>
      <c r="C26" s="244">
        <f>B26*'GWP N2O_CH4'!B5</f>
        <v>17554.618479544191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209.44059512061335</v>
      </c>
      <c r="C27" s="244">
        <f>B27*'GWP N2O_CH4'!B5</f>
        <v>4398.2524975328806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12.154278185984484</v>
      </c>
      <c r="C28" s="244">
        <f>B28*'GWP N2O_CH4'!B4</f>
        <v>3767.8262376551902</v>
      </c>
      <c r="D28" s="50"/>
    </row>
    <row r="29" spans="1:4">
      <c r="A29" s="41" t="s">
        <v>265</v>
      </c>
      <c r="B29" s="244">
        <f>B34*'ha_N2O bodem landbouw'!B4</f>
        <v>23.739332388285316</v>
      </c>
      <c r="C29" s="244">
        <f>B29*'GWP N2O_CH4'!B4</f>
        <v>7359.1930403684482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5.2056081756817127E-3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1.5662551967238663E-3</v>
      </c>
      <c r="C5" s="429" t="s">
        <v>204</v>
      </c>
      <c r="D5" s="414">
        <f>SUM(D6:D11)</f>
        <v>2.4583670611236876E-3</v>
      </c>
      <c r="E5" s="414">
        <f>SUM(E6:E11)</f>
        <v>2.3621643139023181E-3</v>
      </c>
      <c r="F5" s="427" t="s">
        <v>204</v>
      </c>
      <c r="G5" s="414">
        <f>SUM(G6:G11)</f>
        <v>1.3539190508808878</v>
      </c>
      <c r="H5" s="414">
        <f>SUM(H6:H11)</f>
        <v>0.24168548348349392</v>
      </c>
      <c r="I5" s="429" t="s">
        <v>204</v>
      </c>
      <c r="J5" s="429" t="s">
        <v>204</v>
      </c>
      <c r="K5" s="429" t="s">
        <v>204</v>
      </c>
      <c r="L5" s="429" t="s">
        <v>204</v>
      </c>
      <c r="M5" s="414">
        <f>SUM(M6:M11)</f>
        <v>9.4044288926135103E-2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3.1986738968281395E-4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5.4267194005160589E-4</v>
      </c>
      <c r="E6" s="843">
        <f>vkm_GW_PW*SUMIFS(TableVerdeelsleutelVkm[LPG],TableVerdeelsleutelVkm[Voertuigtype],"Lichte voertuigen")*SUMIFS(TableECFTransport[EnergieConsumptieFactor (PJ per km)],TableECFTransport[Index],CONCATENATE($A6,"_LPG_LPG"))</f>
        <v>4.6985045577883959E-4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0.15008993567592796</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5.2214411478963385E-2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1.2108610496556777E-2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2.3119893533867521E-6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8.8241881896940724E-2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1.4063534589003667E-6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5.0864839826792211E-3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2.8952934997364638E-4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6.2623542396581075E-4</v>
      </c>
      <c r="E8" s="417">
        <f>vkm_NGW_PW*SUMIFS(TableVerdeelsleutelVkm[LPG],TableVerdeelsleutelVkm[Voertuigtype],"Lichte voertuigen")*SUMIFS(TableECFTransport[EnergieConsumptieFactor (PJ per km)],TableECFTransport[Index],CONCATENATE($A8,"_LPG_LPG"))</f>
        <v>5.1785777587644722E-4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0.15348912815155324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5.9206384529384773E-2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1.2767495681325316E-2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1.0912550128428477E-6</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5.3544316355913925E-2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8.0121921072376442E-7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3.0864255952313597E-3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9.3927740271145779E-4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1.2894596971062709E-3</v>
      </c>
      <c r="E10" s="417">
        <f>vkm_SW_PW*SUMIFS(TableVerdeelsleutelVkm[LPG],TableVerdeelsleutelVkm[Voertuigtype],"Lichte voertuigen")*SUMIFS(TableECFTransport[EnergieConsumptieFactor (PJ per km)],TableECFTransport[Index],CONCATENATE($A10,"_LPG_LPG"))</f>
        <v>1.3744560822470313E-3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0.39532159791967314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0.13025360326983848</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3.1411232865002664E-2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1.4177809989718484E-5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0.51323219088087868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8.8766326376683001E-6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2.9584040305339777E-2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435.07088797885172</v>
      </c>
      <c r="C14" s="21"/>
      <c r="D14" s="21">
        <f t="shared" ref="D14:M14" si="0">((D5)*10^9/3600)+D12</f>
        <v>682.87973920102434</v>
      </c>
      <c r="E14" s="21">
        <f t="shared" si="0"/>
        <v>656.15675386175496</v>
      </c>
      <c r="F14" s="21"/>
      <c r="G14" s="21">
        <f t="shared" si="0"/>
        <v>376088.62524469104</v>
      </c>
      <c r="H14" s="21">
        <f t="shared" si="0"/>
        <v>67134.85652319275</v>
      </c>
      <c r="I14" s="21"/>
      <c r="J14" s="21"/>
      <c r="K14" s="21"/>
      <c r="L14" s="21"/>
      <c r="M14" s="21">
        <f t="shared" si="0"/>
        <v>26123.413590593085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0.18680082173340581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81.271599386732049</v>
      </c>
      <c r="C18" s="23"/>
      <c r="D18" s="23">
        <f t="shared" ref="D18:M18" si="1">D14*D16</f>
        <v>137.94170731860692</v>
      </c>
      <c r="E18" s="23">
        <f t="shared" si="1"/>
        <v>148.94758312661838</v>
      </c>
      <c r="F18" s="23"/>
      <c r="G18" s="23">
        <f t="shared" si="1"/>
        <v>100415.66294033251</v>
      </c>
      <c r="H18" s="23">
        <f t="shared" si="1"/>
        <v>16716.579274274995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9.25882533796133E-5</v>
      </c>
      <c r="C50" s="313">
        <f t="shared" ref="C50:P50" si="2">SUM(C51:C52)</f>
        <v>0</v>
      </c>
      <c r="D50" s="313">
        <f t="shared" si="2"/>
        <v>0</v>
      </c>
      <c r="E50" s="313">
        <f t="shared" si="2"/>
        <v>0</v>
      </c>
      <c r="F50" s="313">
        <f t="shared" si="2"/>
        <v>0</v>
      </c>
      <c r="G50" s="313">
        <f t="shared" si="2"/>
        <v>6.7081585057811172E-3</v>
      </c>
      <c r="H50" s="313">
        <f t="shared" si="2"/>
        <v>0</v>
      </c>
      <c r="I50" s="313">
        <f t="shared" si="2"/>
        <v>0</v>
      </c>
      <c r="J50" s="313">
        <f t="shared" si="2"/>
        <v>0</v>
      </c>
      <c r="K50" s="313">
        <f t="shared" si="2"/>
        <v>0</v>
      </c>
      <c r="L50" s="313">
        <f t="shared" si="2"/>
        <v>0</v>
      </c>
      <c r="M50" s="313">
        <f t="shared" si="2"/>
        <v>3.7943342220682846E-4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9.25882533796133E-5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6.7081585057811172E-3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3.7943342220682846E-4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25.718959272114809</v>
      </c>
      <c r="C54" s="21">
        <f t="shared" ref="C54:P54" si="3">(C50)*10^9/3600</f>
        <v>0</v>
      </c>
      <c r="D54" s="21">
        <f t="shared" si="3"/>
        <v>0</v>
      </c>
      <c r="E54" s="21">
        <f t="shared" si="3"/>
        <v>0</v>
      </c>
      <c r="F54" s="21">
        <f t="shared" si="3"/>
        <v>0</v>
      </c>
      <c r="G54" s="21">
        <f t="shared" si="3"/>
        <v>1863.3773627169769</v>
      </c>
      <c r="H54" s="21">
        <f t="shared" si="3"/>
        <v>0</v>
      </c>
      <c r="I54" s="21">
        <f t="shared" si="3"/>
        <v>0</v>
      </c>
      <c r="J54" s="21">
        <f t="shared" si="3"/>
        <v>0</v>
      </c>
      <c r="K54" s="21">
        <f t="shared" si="3"/>
        <v>0</v>
      </c>
      <c r="L54" s="21">
        <f t="shared" si="3"/>
        <v>0</v>
      </c>
      <c r="M54" s="21">
        <f t="shared" si="3"/>
        <v>105.39817283523011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0.18680082173340581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4.8043227261590431</v>
      </c>
      <c r="C58" s="23">
        <f t="shared" ref="C58:P58" ca="1" si="4">C54*C56</f>
        <v>0</v>
      </c>
      <c r="D58" s="23">
        <f t="shared" si="4"/>
        <v>0</v>
      </c>
      <c r="E58" s="23">
        <f t="shared" si="4"/>
        <v>0</v>
      </c>
      <c r="F58" s="23">
        <f t="shared" si="4"/>
        <v>0</v>
      </c>
      <c r="G58" s="23">
        <f t="shared" si="4"/>
        <v>497.52175584543284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16273.708150553528</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17923.381607405066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34240.739757958596</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46014</v>
      </c>
      <c r="C28" s="745">
        <v>9160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82397.924047000008</v>
      </c>
      <c r="D10" s="641">
        <f ca="1">tertiair!C16</f>
        <v>0</v>
      </c>
      <c r="E10" s="641">
        <f ca="1">tertiair!D16</f>
        <v>93805.832438076002</v>
      </c>
      <c r="F10" s="641">
        <f>tertiair!E16</f>
        <v>261.34679512359065</v>
      </c>
      <c r="G10" s="641">
        <f ca="1">tertiair!F16</f>
        <v>16571.873544376711</v>
      </c>
      <c r="H10" s="641">
        <f>tertiair!G16</f>
        <v>0</v>
      </c>
      <c r="I10" s="641">
        <f>tertiair!H16</f>
        <v>0</v>
      </c>
      <c r="J10" s="641">
        <f>tertiair!I16</f>
        <v>0</v>
      </c>
      <c r="K10" s="641">
        <f>tertiair!J16</f>
        <v>0.12810920280956001</v>
      </c>
      <c r="L10" s="641">
        <f>tertiair!K16</f>
        <v>0</v>
      </c>
      <c r="M10" s="641">
        <f ca="1">tertiair!L16</f>
        <v>0</v>
      </c>
      <c r="N10" s="641">
        <f>tertiair!M16</f>
        <v>0</v>
      </c>
      <c r="O10" s="641">
        <f ca="1">tertiair!N16</f>
        <v>4709.2493017637007</v>
      </c>
      <c r="P10" s="641">
        <f>tertiair!O16</f>
        <v>44.075346892570387</v>
      </c>
      <c r="Q10" s="642">
        <f>tertiair!P16</f>
        <v>472.85224475845519</v>
      </c>
      <c r="R10" s="644">
        <f ca="1">SUM(C10:Q10)</f>
        <v>198263.28182719386</v>
      </c>
      <c r="S10" s="67"/>
    </row>
    <row r="11" spans="1:19" s="440" customFormat="1">
      <c r="A11" s="761" t="s">
        <v>213</v>
      </c>
      <c r="B11" s="766"/>
      <c r="C11" s="641">
        <f>huishoudens!B8</f>
        <v>68889.462774008512</v>
      </c>
      <c r="D11" s="641">
        <f>huishoudens!C8</f>
        <v>0</v>
      </c>
      <c r="E11" s="641">
        <f>huishoudens!D8</f>
        <v>147793.7920514</v>
      </c>
      <c r="F11" s="641">
        <f>huishoudens!E8</f>
        <v>3828.2206365258398</v>
      </c>
      <c r="G11" s="641">
        <f>huishoudens!F8</f>
        <v>73671.419219979973</v>
      </c>
      <c r="H11" s="641">
        <f>huishoudens!G8</f>
        <v>0</v>
      </c>
      <c r="I11" s="641">
        <f>huishoudens!H8</f>
        <v>0</v>
      </c>
      <c r="J11" s="641">
        <f>huishoudens!I8</f>
        <v>0</v>
      </c>
      <c r="K11" s="641">
        <f>huishoudens!J8</f>
        <v>376.98449347515668</v>
      </c>
      <c r="L11" s="641">
        <f>huishoudens!K8</f>
        <v>0</v>
      </c>
      <c r="M11" s="641">
        <f>huishoudens!L8</f>
        <v>0</v>
      </c>
      <c r="N11" s="641">
        <f>huishoudens!M8</f>
        <v>0</v>
      </c>
      <c r="O11" s="641">
        <f>huishoudens!N8</f>
        <v>21376.749192318421</v>
      </c>
      <c r="P11" s="641">
        <f>huishoudens!O8</f>
        <v>855.08599255581078</v>
      </c>
      <c r="Q11" s="642">
        <f>huishoudens!P8</f>
        <v>1379.9486693067381</v>
      </c>
      <c r="R11" s="644">
        <f>SUM(C11:Q11)</f>
        <v>318171.66302957048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63823.409276000006</v>
      </c>
      <c r="D13" s="641">
        <f>industrie!C18</f>
        <v>0</v>
      </c>
      <c r="E13" s="641">
        <f>industrie!D18</f>
        <v>48612.618812780005</v>
      </c>
      <c r="F13" s="641">
        <f>industrie!E18</f>
        <v>846.80207054617506</v>
      </c>
      <c r="G13" s="641">
        <f>industrie!F18</f>
        <v>14622.473679050801</v>
      </c>
      <c r="H13" s="641">
        <f>industrie!G18</f>
        <v>0</v>
      </c>
      <c r="I13" s="641">
        <f>industrie!H18</f>
        <v>0</v>
      </c>
      <c r="J13" s="641">
        <f>industrie!I18</f>
        <v>0</v>
      </c>
      <c r="K13" s="641">
        <f>industrie!J18</f>
        <v>66.540677685195533</v>
      </c>
      <c r="L13" s="641">
        <f>industrie!K18</f>
        <v>0</v>
      </c>
      <c r="M13" s="641">
        <f>industrie!L18</f>
        <v>0</v>
      </c>
      <c r="N13" s="641">
        <f>industrie!M18</f>
        <v>0</v>
      </c>
      <c r="O13" s="641">
        <f>industrie!N18</f>
        <v>2664.2110032471837</v>
      </c>
      <c r="P13" s="641">
        <f>industrie!O18</f>
        <v>0</v>
      </c>
      <c r="Q13" s="642">
        <f>industrie!P18</f>
        <v>0</v>
      </c>
      <c r="R13" s="644">
        <f>SUM(C13:Q13)</f>
        <v>130636.05551930936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215110.79609700851</v>
      </c>
      <c r="D16" s="677">
        <f t="shared" ref="D16:R16" ca="1" si="0">SUM(D9:D15)</f>
        <v>0</v>
      </c>
      <c r="E16" s="677">
        <f t="shared" ca="1" si="0"/>
        <v>290212.24330225599</v>
      </c>
      <c r="F16" s="677">
        <f t="shared" si="0"/>
        <v>4936.3695021956055</v>
      </c>
      <c r="G16" s="677">
        <f t="shared" ca="1" si="0"/>
        <v>104865.76644340748</v>
      </c>
      <c r="H16" s="677">
        <f t="shared" si="0"/>
        <v>0</v>
      </c>
      <c r="I16" s="677">
        <f t="shared" si="0"/>
        <v>0</v>
      </c>
      <c r="J16" s="677">
        <f t="shared" si="0"/>
        <v>0</v>
      </c>
      <c r="K16" s="677">
        <f t="shared" si="0"/>
        <v>443.6532803631618</v>
      </c>
      <c r="L16" s="677">
        <f t="shared" si="0"/>
        <v>0</v>
      </c>
      <c r="M16" s="677">
        <f t="shared" ca="1" si="0"/>
        <v>0</v>
      </c>
      <c r="N16" s="677">
        <f t="shared" si="0"/>
        <v>0</v>
      </c>
      <c r="O16" s="677">
        <f t="shared" ca="1" si="0"/>
        <v>28750.209497329306</v>
      </c>
      <c r="P16" s="677">
        <f t="shared" si="0"/>
        <v>899.16133944838111</v>
      </c>
      <c r="Q16" s="677">
        <f t="shared" si="0"/>
        <v>1852.8009140651934</v>
      </c>
      <c r="R16" s="677">
        <f t="shared" ca="1" si="0"/>
        <v>647071.00037607364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25.718959272114809</v>
      </c>
      <c r="D19" s="641">
        <f>transport!C54</f>
        <v>0</v>
      </c>
      <c r="E19" s="641">
        <f>transport!D54</f>
        <v>0</v>
      </c>
      <c r="F19" s="641">
        <f>transport!E54</f>
        <v>0</v>
      </c>
      <c r="G19" s="641">
        <f>transport!F54</f>
        <v>0</v>
      </c>
      <c r="H19" s="641">
        <f>transport!G54</f>
        <v>1863.3773627169769</v>
      </c>
      <c r="I19" s="641">
        <f>transport!H54</f>
        <v>0</v>
      </c>
      <c r="J19" s="641">
        <f>transport!I54</f>
        <v>0</v>
      </c>
      <c r="K19" s="641">
        <f>transport!J54</f>
        <v>0</v>
      </c>
      <c r="L19" s="641">
        <f>transport!K54</f>
        <v>0</v>
      </c>
      <c r="M19" s="641">
        <f>transport!L54</f>
        <v>0</v>
      </c>
      <c r="N19" s="641">
        <f>transport!M54</f>
        <v>105.39817283523011</v>
      </c>
      <c r="O19" s="641">
        <f>transport!N54</f>
        <v>0</v>
      </c>
      <c r="P19" s="641">
        <f>transport!O54</f>
        <v>0</v>
      </c>
      <c r="Q19" s="642">
        <f>transport!P54</f>
        <v>0</v>
      </c>
      <c r="R19" s="644">
        <f>SUM(C19:Q19)</f>
        <v>1994.4944948243217</v>
      </c>
      <c r="S19" s="67"/>
    </row>
    <row r="20" spans="1:19" s="440" customFormat="1">
      <c r="A20" s="761" t="s">
        <v>295</v>
      </c>
      <c r="B20" s="766"/>
      <c r="C20" s="641">
        <f>transport!B14</f>
        <v>435.07088797885172</v>
      </c>
      <c r="D20" s="641">
        <f>transport!C14</f>
        <v>0</v>
      </c>
      <c r="E20" s="641">
        <f>transport!D14</f>
        <v>682.87973920102434</v>
      </c>
      <c r="F20" s="641">
        <f>transport!E14</f>
        <v>656.15675386175496</v>
      </c>
      <c r="G20" s="641">
        <f>transport!F14</f>
        <v>0</v>
      </c>
      <c r="H20" s="641">
        <f>transport!G14</f>
        <v>376088.62524469104</v>
      </c>
      <c r="I20" s="641">
        <f>transport!H14</f>
        <v>67134.85652319275</v>
      </c>
      <c r="J20" s="641">
        <f>transport!I14</f>
        <v>0</v>
      </c>
      <c r="K20" s="641">
        <f>transport!J14</f>
        <v>0</v>
      </c>
      <c r="L20" s="641">
        <f>transport!K14</f>
        <v>0</v>
      </c>
      <c r="M20" s="641">
        <f>transport!L14</f>
        <v>0</v>
      </c>
      <c r="N20" s="641">
        <f>transport!M14</f>
        <v>26123.413590593085</v>
      </c>
      <c r="O20" s="641">
        <f>transport!N14</f>
        <v>0</v>
      </c>
      <c r="P20" s="641">
        <f>transport!O14</f>
        <v>0</v>
      </c>
      <c r="Q20" s="642">
        <f>transport!P14</f>
        <v>0</v>
      </c>
      <c r="R20" s="644">
        <f>SUM(C20:Q20)</f>
        <v>471121.00273951847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460.78984725096655</v>
      </c>
      <c r="D22" s="764">
        <f t="shared" ref="D22:R22" si="1">SUM(D18:D21)</f>
        <v>0</v>
      </c>
      <c r="E22" s="764">
        <f t="shared" si="1"/>
        <v>682.87973920102434</v>
      </c>
      <c r="F22" s="764">
        <f t="shared" si="1"/>
        <v>656.15675386175496</v>
      </c>
      <c r="G22" s="764">
        <f t="shared" si="1"/>
        <v>0</v>
      </c>
      <c r="H22" s="764">
        <f t="shared" si="1"/>
        <v>377952.00260740804</v>
      </c>
      <c r="I22" s="764">
        <f t="shared" si="1"/>
        <v>67134.85652319275</v>
      </c>
      <c r="J22" s="764">
        <f t="shared" si="1"/>
        <v>0</v>
      </c>
      <c r="K22" s="764">
        <f t="shared" si="1"/>
        <v>0</v>
      </c>
      <c r="L22" s="764">
        <f t="shared" si="1"/>
        <v>0</v>
      </c>
      <c r="M22" s="764">
        <f t="shared" si="1"/>
        <v>0</v>
      </c>
      <c r="N22" s="764">
        <f t="shared" si="1"/>
        <v>26228.811763428315</v>
      </c>
      <c r="O22" s="764">
        <f t="shared" si="1"/>
        <v>0</v>
      </c>
      <c r="P22" s="764">
        <f t="shared" si="1"/>
        <v>0</v>
      </c>
      <c r="Q22" s="764">
        <f t="shared" si="1"/>
        <v>0</v>
      </c>
      <c r="R22" s="764">
        <f t="shared" si="1"/>
        <v>473115.49723434279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3527.0081620000001</v>
      </c>
      <c r="D24" s="641">
        <f>+landbouw!C8</f>
        <v>62.357142857142847</v>
      </c>
      <c r="E24" s="641">
        <f>+landbouw!D8</f>
        <v>5510.9605559360007</v>
      </c>
      <c r="F24" s="641">
        <f>+landbouw!E8</f>
        <v>143.28982041648084</v>
      </c>
      <c r="G24" s="641">
        <f>+landbouw!F8</f>
        <v>12476.262002539695</v>
      </c>
      <c r="H24" s="641">
        <f>+landbouw!G8</f>
        <v>0</v>
      </c>
      <c r="I24" s="641">
        <f>+landbouw!H8</f>
        <v>0</v>
      </c>
      <c r="J24" s="641">
        <f>+landbouw!I8</f>
        <v>0</v>
      </c>
      <c r="K24" s="641">
        <f>+landbouw!J8</f>
        <v>1002.09612953414</v>
      </c>
      <c r="L24" s="641">
        <f>+landbouw!K8</f>
        <v>0</v>
      </c>
      <c r="M24" s="641">
        <f>+landbouw!L8</f>
        <v>0</v>
      </c>
      <c r="N24" s="641">
        <f>+landbouw!M8</f>
        <v>0</v>
      </c>
      <c r="O24" s="641">
        <f>+landbouw!N8</f>
        <v>0</v>
      </c>
      <c r="P24" s="641">
        <f>+landbouw!O8</f>
        <v>0</v>
      </c>
      <c r="Q24" s="642">
        <f>+landbouw!P8</f>
        <v>0</v>
      </c>
      <c r="R24" s="644">
        <f>SUM(C24:Q24)</f>
        <v>22721.973813283461</v>
      </c>
      <c r="S24" s="67"/>
    </row>
    <row r="25" spans="1:19" s="440" customFormat="1" ht="15" thickBot="1">
      <c r="A25" s="783" t="s">
        <v>683</v>
      </c>
      <c r="B25" s="901"/>
      <c r="C25" s="902">
        <f>IF(Onbekend_ele_kWh="---",0,Onbekend_ele_kWh)/1000+IF(REST_rest_ele_kWh="---",0,REST_rest_ele_kWh)/1000</f>
        <v>2169.9822180000001</v>
      </c>
      <c r="D25" s="902"/>
      <c r="E25" s="902">
        <f>IF(onbekend_gas_kWh="---",0,onbekend_gas_kWh)/1000+IF(REST_rest_gas_kWh="---",0,REST_rest_gas_kWh)/1000</f>
        <v>5292.6541220000008</v>
      </c>
      <c r="F25" s="902"/>
      <c r="G25" s="902"/>
      <c r="H25" s="902"/>
      <c r="I25" s="902"/>
      <c r="J25" s="902"/>
      <c r="K25" s="902"/>
      <c r="L25" s="902"/>
      <c r="M25" s="902"/>
      <c r="N25" s="902"/>
      <c r="O25" s="902"/>
      <c r="P25" s="902"/>
      <c r="Q25" s="903"/>
      <c r="R25" s="644">
        <f>SUM(C25:Q25)</f>
        <v>7462.6363400000009</v>
      </c>
      <c r="S25" s="67"/>
    </row>
    <row r="26" spans="1:19" s="440" customFormat="1" ht="15.75" thickBot="1">
      <c r="A26" s="649" t="s">
        <v>684</v>
      </c>
      <c r="B26" s="769"/>
      <c r="C26" s="764">
        <f>SUM(C24:C25)</f>
        <v>5696.9903800000002</v>
      </c>
      <c r="D26" s="764">
        <f t="shared" ref="D26:R26" si="2">SUM(D24:D25)</f>
        <v>62.357142857142847</v>
      </c>
      <c r="E26" s="764">
        <f t="shared" si="2"/>
        <v>10803.614677936002</v>
      </c>
      <c r="F26" s="764">
        <f t="shared" si="2"/>
        <v>143.28982041648084</v>
      </c>
      <c r="G26" s="764">
        <f t="shared" si="2"/>
        <v>12476.262002539695</v>
      </c>
      <c r="H26" s="764">
        <f t="shared" si="2"/>
        <v>0</v>
      </c>
      <c r="I26" s="764">
        <f t="shared" si="2"/>
        <v>0</v>
      </c>
      <c r="J26" s="764">
        <f t="shared" si="2"/>
        <v>0</v>
      </c>
      <c r="K26" s="764">
        <f t="shared" si="2"/>
        <v>1002.09612953414</v>
      </c>
      <c r="L26" s="764">
        <f t="shared" si="2"/>
        <v>0</v>
      </c>
      <c r="M26" s="764">
        <f t="shared" si="2"/>
        <v>0</v>
      </c>
      <c r="N26" s="764">
        <f t="shared" si="2"/>
        <v>0</v>
      </c>
      <c r="O26" s="764">
        <f t="shared" si="2"/>
        <v>0</v>
      </c>
      <c r="P26" s="764">
        <f t="shared" si="2"/>
        <v>0</v>
      </c>
      <c r="Q26" s="764">
        <f t="shared" si="2"/>
        <v>0</v>
      </c>
      <c r="R26" s="764">
        <f t="shared" si="2"/>
        <v>30184.610153283462</v>
      </c>
      <c r="S26" s="67"/>
    </row>
    <row r="27" spans="1:19" s="440" customFormat="1" ht="17.25" thickTop="1" thickBot="1">
      <c r="A27" s="650" t="s">
        <v>109</v>
      </c>
      <c r="B27" s="756"/>
      <c r="C27" s="651">
        <f ca="1">C22+C16+C26</f>
        <v>221268.57632425948</v>
      </c>
      <c r="D27" s="651">
        <f t="shared" ref="D27:R27" ca="1" si="3">D22+D16+D26</f>
        <v>62.357142857142847</v>
      </c>
      <c r="E27" s="651">
        <f t="shared" ca="1" si="3"/>
        <v>301698.73771939304</v>
      </c>
      <c r="F27" s="651">
        <f t="shared" si="3"/>
        <v>5735.8160764738413</v>
      </c>
      <c r="G27" s="651">
        <f t="shared" ca="1" si="3"/>
        <v>117342.02844594717</v>
      </c>
      <c r="H27" s="651">
        <f t="shared" si="3"/>
        <v>377952.00260740804</v>
      </c>
      <c r="I27" s="651">
        <f t="shared" si="3"/>
        <v>67134.85652319275</v>
      </c>
      <c r="J27" s="651">
        <f t="shared" si="3"/>
        <v>0</v>
      </c>
      <c r="K27" s="651">
        <f t="shared" si="3"/>
        <v>1445.7494098973018</v>
      </c>
      <c r="L27" s="651">
        <f t="shared" si="3"/>
        <v>0</v>
      </c>
      <c r="M27" s="651">
        <f t="shared" ca="1" si="3"/>
        <v>0</v>
      </c>
      <c r="N27" s="651">
        <f t="shared" si="3"/>
        <v>26228.811763428315</v>
      </c>
      <c r="O27" s="651">
        <f t="shared" ca="1" si="3"/>
        <v>28750.209497329306</v>
      </c>
      <c r="P27" s="651">
        <f t="shared" si="3"/>
        <v>899.16133944838111</v>
      </c>
      <c r="Q27" s="651">
        <f t="shared" si="3"/>
        <v>1852.8009140651934</v>
      </c>
      <c r="R27" s="651">
        <f t="shared" ca="1" si="3"/>
        <v>1150371.1077637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15391.999921106362</v>
      </c>
      <c r="D40" s="641">
        <f ca="1">tertiair!C20</f>
        <v>0</v>
      </c>
      <c r="E40" s="641">
        <f ca="1">tertiair!D20</f>
        <v>18948.778152491355</v>
      </c>
      <c r="F40" s="641">
        <f>tertiair!E20</f>
        <v>59.325722493055082</v>
      </c>
      <c r="G40" s="641">
        <f ca="1">tertiair!F20</f>
        <v>4424.6902363485824</v>
      </c>
      <c r="H40" s="641">
        <f>tertiair!G20</f>
        <v>0</v>
      </c>
      <c r="I40" s="641">
        <f>tertiair!H20</f>
        <v>0</v>
      </c>
      <c r="J40" s="641">
        <f>tertiair!I20</f>
        <v>0</v>
      </c>
      <c r="K40" s="641">
        <f>tertiair!J20</f>
        <v>4.5350657794584241E-2</v>
      </c>
      <c r="L40" s="641">
        <f>tertiair!K20</f>
        <v>0</v>
      </c>
      <c r="M40" s="641">
        <f ca="1">tertiair!L20</f>
        <v>0</v>
      </c>
      <c r="N40" s="641">
        <f>tertiair!M20</f>
        <v>0</v>
      </c>
      <c r="O40" s="641">
        <f ca="1">tertiair!N20</f>
        <v>0</v>
      </c>
      <c r="P40" s="641">
        <f>tertiair!O20</f>
        <v>0</v>
      </c>
      <c r="Q40" s="724">
        <f>tertiair!P20</f>
        <v>0</v>
      </c>
      <c r="R40" s="802">
        <f t="shared" ca="1" si="4"/>
        <v>38824.839383097154</v>
      </c>
    </row>
    <row r="41" spans="1:18">
      <c r="A41" s="774" t="s">
        <v>213</v>
      </c>
      <c r="B41" s="781"/>
      <c r="C41" s="641">
        <f ca="1">huishoudens!B12</f>
        <v>12868.60825495766</v>
      </c>
      <c r="D41" s="641">
        <f ca="1">huishoudens!C12</f>
        <v>0</v>
      </c>
      <c r="E41" s="641">
        <f>huishoudens!D12</f>
        <v>29854.345994382802</v>
      </c>
      <c r="F41" s="641">
        <f>huishoudens!E12</f>
        <v>869.00608449136564</v>
      </c>
      <c r="G41" s="641">
        <f>huishoudens!F12</f>
        <v>19670.268931734652</v>
      </c>
      <c r="H41" s="641">
        <f>huishoudens!G12</f>
        <v>0</v>
      </c>
      <c r="I41" s="641">
        <f>huishoudens!H12</f>
        <v>0</v>
      </c>
      <c r="J41" s="641">
        <f>huishoudens!I12</f>
        <v>0</v>
      </c>
      <c r="K41" s="641">
        <f>huishoudens!J12</f>
        <v>133.45251069020546</v>
      </c>
      <c r="L41" s="641">
        <f>huishoudens!K12</f>
        <v>0</v>
      </c>
      <c r="M41" s="641">
        <f>huishoudens!L12</f>
        <v>0</v>
      </c>
      <c r="N41" s="641">
        <f>huishoudens!M12</f>
        <v>0</v>
      </c>
      <c r="O41" s="641">
        <f>huishoudens!N12</f>
        <v>0</v>
      </c>
      <c r="P41" s="641">
        <f>huishoudens!O12</f>
        <v>0</v>
      </c>
      <c r="Q41" s="724">
        <f>huishoudens!P12</f>
        <v>0</v>
      </c>
      <c r="R41" s="802">
        <f t="shared" ca="1" si="4"/>
        <v>63395.681776256686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11922.265298584276</v>
      </c>
      <c r="D43" s="641">
        <f ca="1">industrie!C22</f>
        <v>0</v>
      </c>
      <c r="E43" s="641">
        <f>industrie!D22</f>
        <v>9819.7490001815622</v>
      </c>
      <c r="F43" s="641">
        <f>industrie!E22</f>
        <v>192.22407001398173</v>
      </c>
      <c r="G43" s="641">
        <f>industrie!F22</f>
        <v>3904.2004723065643</v>
      </c>
      <c r="H43" s="641">
        <f>industrie!G22</f>
        <v>0</v>
      </c>
      <c r="I43" s="641">
        <f>industrie!H22</f>
        <v>0</v>
      </c>
      <c r="J43" s="641">
        <f>industrie!I22</f>
        <v>0</v>
      </c>
      <c r="K43" s="641">
        <f>industrie!J22</f>
        <v>23.555399900559216</v>
      </c>
      <c r="L43" s="641">
        <f>industrie!K22</f>
        <v>0</v>
      </c>
      <c r="M43" s="641">
        <f>industrie!L22</f>
        <v>0</v>
      </c>
      <c r="N43" s="641">
        <f>industrie!M22</f>
        <v>0</v>
      </c>
      <c r="O43" s="641">
        <f>industrie!N22</f>
        <v>0</v>
      </c>
      <c r="P43" s="641">
        <f>industrie!O22</f>
        <v>0</v>
      </c>
      <c r="Q43" s="724">
        <f>industrie!P22</f>
        <v>0</v>
      </c>
      <c r="R43" s="801">
        <f t="shared" ca="1" si="4"/>
        <v>25861.994240986947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40182.873474648295</v>
      </c>
      <c r="D46" s="677">
        <f t="shared" ref="D46:Q46" ca="1" si="5">SUM(D39:D45)</f>
        <v>0</v>
      </c>
      <c r="E46" s="677">
        <f t="shared" ca="1" si="5"/>
        <v>58622.873147055718</v>
      </c>
      <c r="F46" s="677">
        <f t="shared" si="5"/>
        <v>1120.5558769984025</v>
      </c>
      <c r="G46" s="677">
        <f t="shared" ca="1" si="5"/>
        <v>27999.1596403898</v>
      </c>
      <c r="H46" s="677">
        <f t="shared" si="5"/>
        <v>0</v>
      </c>
      <c r="I46" s="677">
        <f t="shared" si="5"/>
        <v>0</v>
      </c>
      <c r="J46" s="677">
        <f t="shared" si="5"/>
        <v>0</v>
      </c>
      <c r="K46" s="677">
        <f t="shared" si="5"/>
        <v>157.05326124855927</v>
      </c>
      <c r="L46" s="677">
        <f t="shared" si="5"/>
        <v>0</v>
      </c>
      <c r="M46" s="677">
        <f t="shared" ca="1" si="5"/>
        <v>0</v>
      </c>
      <c r="N46" s="677">
        <f t="shared" si="5"/>
        <v>0</v>
      </c>
      <c r="O46" s="677">
        <f t="shared" ca="1" si="5"/>
        <v>0</v>
      </c>
      <c r="P46" s="677">
        <f t="shared" si="5"/>
        <v>0</v>
      </c>
      <c r="Q46" s="677">
        <f t="shared" si="5"/>
        <v>0</v>
      </c>
      <c r="R46" s="677">
        <f ca="1">SUM(R39:R45)</f>
        <v>128082.51540034078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4.8043227261590431</v>
      </c>
      <c r="D49" s="641">
        <f ca="1">transport!C58</f>
        <v>0</v>
      </c>
      <c r="E49" s="641">
        <f>transport!D58</f>
        <v>0</v>
      </c>
      <c r="F49" s="641">
        <f>transport!E58</f>
        <v>0</v>
      </c>
      <c r="G49" s="641">
        <f>transport!F58</f>
        <v>0</v>
      </c>
      <c r="H49" s="641">
        <f>transport!G58</f>
        <v>497.52175584543284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502.32607857159189</v>
      </c>
    </row>
    <row r="50" spans="1:18">
      <c r="A50" s="777" t="s">
        <v>295</v>
      </c>
      <c r="B50" s="787"/>
      <c r="C50" s="647">
        <f ca="1">transport!B18</f>
        <v>81.271599386732049</v>
      </c>
      <c r="D50" s="647">
        <f>transport!C18</f>
        <v>0</v>
      </c>
      <c r="E50" s="647">
        <f>transport!D18</f>
        <v>137.94170731860692</v>
      </c>
      <c r="F50" s="647">
        <f>transport!E18</f>
        <v>148.94758312661838</v>
      </c>
      <c r="G50" s="647">
        <f>transport!F18</f>
        <v>0</v>
      </c>
      <c r="H50" s="647">
        <f>transport!G18</f>
        <v>100415.66294033251</v>
      </c>
      <c r="I50" s="647">
        <f>transport!H18</f>
        <v>16716.579274274995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117500.40310443945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86.075922112891092</v>
      </c>
      <c r="D52" s="677">
        <f t="shared" ref="D52:Q52" ca="1" si="6">SUM(D48:D51)</f>
        <v>0</v>
      </c>
      <c r="E52" s="677">
        <f t="shared" si="6"/>
        <v>137.94170731860692</v>
      </c>
      <c r="F52" s="677">
        <f t="shared" si="6"/>
        <v>148.94758312661838</v>
      </c>
      <c r="G52" s="677">
        <f t="shared" si="6"/>
        <v>0</v>
      </c>
      <c r="H52" s="677">
        <f t="shared" si="6"/>
        <v>100913.18469617794</v>
      </c>
      <c r="I52" s="677">
        <f t="shared" si="6"/>
        <v>16716.579274274995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118002.72918301105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658.84802292202926</v>
      </c>
      <c r="D54" s="647">
        <f ca="1">+landbouw!C12</f>
        <v>0</v>
      </c>
      <c r="E54" s="647">
        <f>+landbouw!D12</f>
        <v>1113.2140322990722</v>
      </c>
      <c r="F54" s="647">
        <f>+landbouw!E12</f>
        <v>32.526789234541148</v>
      </c>
      <c r="G54" s="647">
        <f>+landbouw!F12</f>
        <v>3331.1619546780989</v>
      </c>
      <c r="H54" s="647">
        <f>+landbouw!G12</f>
        <v>0</v>
      </c>
      <c r="I54" s="647">
        <f>+landbouw!H12</f>
        <v>0</v>
      </c>
      <c r="J54" s="647">
        <f>+landbouw!I12</f>
        <v>0</v>
      </c>
      <c r="K54" s="647">
        <f>+landbouw!J12</f>
        <v>354.74202985508555</v>
      </c>
      <c r="L54" s="647">
        <f>+landbouw!K12</f>
        <v>0</v>
      </c>
      <c r="M54" s="647">
        <f>+landbouw!L12</f>
        <v>0</v>
      </c>
      <c r="N54" s="647">
        <f>+landbouw!M12</f>
        <v>0</v>
      </c>
      <c r="O54" s="647">
        <f>+landbouw!N12</f>
        <v>0</v>
      </c>
      <c r="P54" s="647">
        <f>+landbouw!O12</f>
        <v>0</v>
      </c>
      <c r="Q54" s="648">
        <f>+landbouw!P12</f>
        <v>0</v>
      </c>
      <c r="R54" s="676">
        <f ca="1">SUM(C54:Q54)</f>
        <v>5490.4928289888267</v>
      </c>
    </row>
    <row r="55" spans="1:18" ht="15" thickBot="1">
      <c r="A55" s="777" t="s">
        <v>683</v>
      </c>
      <c r="B55" s="787"/>
      <c r="C55" s="647">
        <f ca="1">C25*'EF ele_warmte'!B12</f>
        <v>405.35446146927859</v>
      </c>
      <c r="D55" s="647"/>
      <c r="E55" s="647">
        <f>E25*EF_CO2_aardgas</f>
        <v>1069.1161326440003</v>
      </c>
      <c r="F55" s="647"/>
      <c r="G55" s="647"/>
      <c r="H55" s="647"/>
      <c r="I55" s="647"/>
      <c r="J55" s="647"/>
      <c r="K55" s="647"/>
      <c r="L55" s="647"/>
      <c r="M55" s="647"/>
      <c r="N55" s="647"/>
      <c r="O55" s="647"/>
      <c r="P55" s="647"/>
      <c r="Q55" s="648"/>
      <c r="R55" s="676">
        <f ca="1">SUM(C55:Q55)</f>
        <v>1474.4705941132788</v>
      </c>
    </row>
    <row r="56" spans="1:18" ht="15.75" thickBot="1">
      <c r="A56" s="775" t="s">
        <v>684</v>
      </c>
      <c r="B56" s="788"/>
      <c r="C56" s="677">
        <f ca="1">SUM(C54:C55)</f>
        <v>1064.2024843913077</v>
      </c>
      <c r="D56" s="677">
        <f t="shared" ref="D56:Q56" ca="1" si="7">SUM(D54:D55)</f>
        <v>0</v>
      </c>
      <c r="E56" s="677">
        <f t="shared" si="7"/>
        <v>2182.3301649430723</v>
      </c>
      <c r="F56" s="677">
        <f t="shared" si="7"/>
        <v>32.526789234541148</v>
      </c>
      <c r="G56" s="677">
        <f t="shared" si="7"/>
        <v>3331.1619546780989</v>
      </c>
      <c r="H56" s="677">
        <f t="shared" si="7"/>
        <v>0</v>
      </c>
      <c r="I56" s="677">
        <f t="shared" si="7"/>
        <v>0</v>
      </c>
      <c r="J56" s="677">
        <f t="shared" si="7"/>
        <v>0</v>
      </c>
      <c r="K56" s="677">
        <f t="shared" si="7"/>
        <v>354.74202985508555</v>
      </c>
      <c r="L56" s="677">
        <f t="shared" si="7"/>
        <v>0</v>
      </c>
      <c r="M56" s="677">
        <f t="shared" si="7"/>
        <v>0</v>
      </c>
      <c r="N56" s="677">
        <f t="shared" si="7"/>
        <v>0</v>
      </c>
      <c r="O56" s="677">
        <f t="shared" si="7"/>
        <v>0</v>
      </c>
      <c r="P56" s="677">
        <f t="shared" si="7"/>
        <v>0</v>
      </c>
      <c r="Q56" s="678">
        <f t="shared" si="7"/>
        <v>0</v>
      </c>
      <c r="R56" s="679">
        <f ca="1">SUM(R54:R55)</f>
        <v>6964.9634231021055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41333.151881152495</v>
      </c>
      <c r="D61" s="685">
        <f t="shared" ref="D61:Q61" ca="1" si="8">D46+D52+D56</f>
        <v>0</v>
      </c>
      <c r="E61" s="685">
        <f t="shared" ca="1" si="8"/>
        <v>60943.145019317395</v>
      </c>
      <c r="F61" s="685">
        <f t="shared" si="8"/>
        <v>1302.030249359562</v>
      </c>
      <c r="G61" s="685">
        <f t="shared" ca="1" si="8"/>
        <v>31330.3215950679</v>
      </c>
      <c r="H61" s="685">
        <f t="shared" si="8"/>
        <v>100913.18469617794</v>
      </c>
      <c r="I61" s="685">
        <f t="shared" si="8"/>
        <v>16716.579274274995</v>
      </c>
      <c r="J61" s="685">
        <f t="shared" si="8"/>
        <v>0</v>
      </c>
      <c r="K61" s="685">
        <f t="shared" si="8"/>
        <v>511.79529110364479</v>
      </c>
      <c r="L61" s="685">
        <f t="shared" si="8"/>
        <v>0</v>
      </c>
      <c r="M61" s="685">
        <f t="shared" ca="1" si="8"/>
        <v>0</v>
      </c>
      <c r="N61" s="685">
        <f t="shared" si="8"/>
        <v>0</v>
      </c>
      <c r="O61" s="685">
        <f t="shared" ca="1" si="8"/>
        <v>0</v>
      </c>
      <c r="P61" s="685">
        <f t="shared" si="8"/>
        <v>0</v>
      </c>
      <c r="Q61" s="685">
        <f t="shared" si="8"/>
        <v>0</v>
      </c>
      <c r="R61" s="685">
        <f ca="1">R46+R52+R56</f>
        <v>253050.20800645393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0.18680082173340581</v>
      </c>
      <c r="D63" s="731">
        <f t="shared" ca="1" si="9"/>
        <v>0</v>
      </c>
      <c r="E63" s="927">
        <f t="shared" ca="1" si="9"/>
        <v>0.20200000000000001</v>
      </c>
      <c r="F63" s="731">
        <f t="shared" si="9"/>
        <v>0.22700000000000001</v>
      </c>
      <c r="G63" s="731">
        <f t="shared" ca="1" si="9"/>
        <v>0.26700000000000007</v>
      </c>
      <c r="H63" s="731">
        <f t="shared" si="9"/>
        <v>0.26699999999999996</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16273.708150553528</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17923.381607405066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34240.739757958596</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68889.462774008512</v>
      </c>
      <c r="C4" s="444">
        <f>huishoudens!C8</f>
        <v>0</v>
      </c>
      <c r="D4" s="444">
        <f>huishoudens!D8</f>
        <v>147793.7920514</v>
      </c>
      <c r="E4" s="444">
        <f>huishoudens!E8</f>
        <v>3828.2206365258398</v>
      </c>
      <c r="F4" s="444">
        <f>huishoudens!F8</f>
        <v>73671.419219979973</v>
      </c>
      <c r="G4" s="444">
        <f>huishoudens!G8</f>
        <v>0</v>
      </c>
      <c r="H4" s="444">
        <f>huishoudens!H8</f>
        <v>0</v>
      </c>
      <c r="I4" s="444">
        <f>huishoudens!I8</f>
        <v>0</v>
      </c>
      <c r="J4" s="444">
        <f>huishoudens!J8</f>
        <v>376.98449347515668</v>
      </c>
      <c r="K4" s="444">
        <f>huishoudens!K8</f>
        <v>0</v>
      </c>
      <c r="L4" s="444">
        <f>huishoudens!L8</f>
        <v>0</v>
      </c>
      <c r="M4" s="444">
        <f>huishoudens!M8</f>
        <v>0</v>
      </c>
      <c r="N4" s="444">
        <f>huishoudens!N8</f>
        <v>21376.749192318421</v>
      </c>
      <c r="O4" s="444">
        <f>huishoudens!O8</f>
        <v>855.08599255581078</v>
      </c>
      <c r="P4" s="445">
        <f>huishoudens!P8</f>
        <v>1379.9486693067381</v>
      </c>
      <c r="Q4" s="446">
        <f>SUM(B4:P4)</f>
        <v>318171.66302957048</v>
      </c>
    </row>
    <row r="5" spans="1:17">
      <c r="A5" s="443" t="s">
        <v>149</v>
      </c>
      <c r="B5" s="444">
        <f ca="1">tertiair!B16</f>
        <v>80152.661431000015</v>
      </c>
      <c r="C5" s="444">
        <f ca="1">tertiair!C16</f>
        <v>0</v>
      </c>
      <c r="D5" s="444">
        <f ca="1">tertiair!D16</f>
        <v>93805.832438076002</v>
      </c>
      <c r="E5" s="444">
        <f>tertiair!E16</f>
        <v>261.34679512359065</v>
      </c>
      <c r="F5" s="444">
        <f ca="1">tertiair!F16</f>
        <v>16571.873544376711</v>
      </c>
      <c r="G5" s="444">
        <f>tertiair!G16</f>
        <v>0</v>
      </c>
      <c r="H5" s="444">
        <f>tertiair!H16</f>
        <v>0</v>
      </c>
      <c r="I5" s="444">
        <f>tertiair!I16</f>
        <v>0</v>
      </c>
      <c r="J5" s="444">
        <f>tertiair!J16</f>
        <v>0.12810920280956001</v>
      </c>
      <c r="K5" s="444">
        <f>tertiair!K16</f>
        <v>0</v>
      </c>
      <c r="L5" s="444">
        <f ca="1">tertiair!L16</f>
        <v>0</v>
      </c>
      <c r="M5" s="444">
        <f>tertiair!M16</f>
        <v>0</v>
      </c>
      <c r="N5" s="444">
        <f ca="1">tertiair!N16</f>
        <v>4709.2493017637007</v>
      </c>
      <c r="O5" s="444">
        <f>tertiair!O16</f>
        <v>44.075346892570387</v>
      </c>
      <c r="P5" s="445">
        <f>tertiair!P16</f>
        <v>472.85224475845519</v>
      </c>
      <c r="Q5" s="443">
        <f t="shared" ref="Q5:Q14" ca="1" si="0">SUM(B5:P5)</f>
        <v>196018.01921119387</v>
      </c>
    </row>
    <row r="6" spans="1:17">
      <c r="A6" s="443" t="s">
        <v>187</v>
      </c>
      <c r="B6" s="444">
        <f>'openbare verlichting'!B8</f>
        <v>2245.262616</v>
      </c>
      <c r="C6" s="444"/>
      <c r="D6" s="444"/>
      <c r="E6" s="444"/>
      <c r="F6" s="444"/>
      <c r="G6" s="444"/>
      <c r="H6" s="444"/>
      <c r="I6" s="444"/>
      <c r="J6" s="444"/>
      <c r="K6" s="444"/>
      <c r="L6" s="444"/>
      <c r="M6" s="444"/>
      <c r="N6" s="444"/>
      <c r="O6" s="444"/>
      <c r="P6" s="445"/>
      <c r="Q6" s="443">
        <f t="shared" si="0"/>
        <v>2245.262616</v>
      </c>
    </row>
    <row r="7" spans="1:17">
      <c r="A7" s="443" t="s">
        <v>105</v>
      </c>
      <c r="B7" s="444">
        <f>landbouw!B8</f>
        <v>3527.0081620000001</v>
      </c>
      <c r="C7" s="444">
        <f>landbouw!C8</f>
        <v>62.357142857142847</v>
      </c>
      <c r="D7" s="444">
        <f>landbouw!D8</f>
        <v>5510.9605559360007</v>
      </c>
      <c r="E7" s="444">
        <f>landbouw!E8</f>
        <v>143.28982041648084</v>
      </c>
      <c r="F7" s="444">
        <f>landbouw!F8</f>
        <v>12476.262002539695</v>
      </c>
      <c r="G7" s="444">
        <f>landbouw!G8</f>
        <v>0</v>
      </c>
      <c r="H7" s="444">
        <f>landbouw!H8</f>
        <v>0</v>
      </c>
      <c r="I7" s="444">
        <f>landbouw!I8</f>
        <v>0</v>
      </c>
      <c r="J7" s="444">
        <f>landbouw!J8</f>
        <v>1002.09612953414</v>
      </c>
      <c r="K7" s="444">
        <f>landbouw!K8</f>
        <v>0</v>
      </c>
      <c r="L7" s="444">
        <f>landbouw!L8</f>
        <v>0</v>
      </c>
      <c r="M7" s="444">
        <f>landbouw!M8</f>
        <v>0</v>
      </c>
      <c r="N7" s="444">
        <f>landbouw!N8</f>
        <v>0</v>
      </c>
      <c r="O7" s="444">
        <f>landbouw!O8</f>
        <v>0</v>
      </c>
      <c r="P7" s="445">
        <f>landbouw!P8</f>
        <v>0</v>
      </c>
      <c r="Q7" s="443">
        <f t="shared" si="0"/>
        <v>22721.973813283461</v>
      </c>
    </row>
    <row r="8" spans="1:17">
      <c r="A8" s="443" t="s">
        <v>587</v>
      </c>
      <c r="B8" s="444">
        <f>industrie!B18</f>
        <v>63823.409276000006</v>
      </c>
      <c r="C8" s="444">
        <f>industrie!C18</f>
        <v>0</v>
      </c>
      <c r="D8" s="444">
        <f>industrie!D18</f>
        <v>48612.618812780005</v>
      </c>
      <c r="E8" s="444">
        <f>industrie!E18</f>
        <v>846.80207054617506</v>
      </c>
      <c r="F8" s="444">
        <f>industrie!F18</f>
        <v>14622.473679050801</v>
      </c>
      <c r="G8" s="444">
        <f>industrie!G18</f>
        <v>0</v>
      </c>
      <c r="H8" s="444">
        <f>industrie!H18</f>
        <v>0</v>
      </c>
      <c r="I8" s="444">
        <f>industrie!I18</f>
        <v>0</v>
      </c>
      <c r="J8" s="444">
        <f>industrie!J18</f>
        <v>66.540677685195533</v>
      </c>
      <c r="K8" s="444">
        <f>industrie!K18</f>
        <v>0</v>
      </c>
      <c r="L8" s="444">
        <f>industrie!L18</f>
        <v>0</v>
      </c>
      <c r="M8" s="444">
        <f>industrie!M18</f>
        <v>0</v>
      </c>
      <c r="N8" s="444">
        <f>industrie!N18</f>
        <v>2664.2110032471837</v>
      </c>
      <c r="O8" s="444">
        <f>industrie!O18</f>
        <v>0</v>
      </c>
      <c r="P8" s="445">
        <f>industrie!P18</f>
        <v>0</v>
      </c>
      <c r="Q8" s="443">
        <f t="shared" si="0"/>
        <v>130636.05551930936</v>
      </c>
    </row>
    <row r="9" spans="1:17" s="449" customFormat="1">
      <c r="A9" s="447" t="s">
        <v>536</v>
      </c>
      <c r="B9" s="448">
        <f>transport!B14</f>
        <v>435.07088797885172</v>
      </c>
      <c r="C9" s="448">
        <f>transport!C14</f>
        <v>0</v>
      </c>
      <c r="D9" s="448">
        <f>transport!D14</f>
        <v>682.87973920102434</v>
      </c>
      <c r="E9" s="448">
        <f>transport!E14</f>
        <v>656.15675386175496</v>
      </c>
      <c r="F9" s="448">
        <f>transport!F14</f>
        <v>0</v>
      </c>
      <c r="G9" s="448">
        <f>transport!G14</f>
        <v>376088.62524469104</v>
      </c>
      <c r="H9" s="448">
        <f>transport!H14</f>
        <v>67134.85652319275</v>
      </c>
      <c r="I9" s="448">
        <f>transport!I14</f>
        <v>0</v>
      </c>
      <c r="J9" s="448">
        <f>transport!J14</f>
        <v>0</v>
      </c>
      <c r="K9" s="448">
        <f>transport!K14</f>
        <v>0</v>
      </c>
      <c r="L9" s="448">
        <f>transport!L14</f>
        <v>0</v>
      </c>
      <c r="M9" s="448">
        <f>transport!M14</f>
        <v>26123.413590593085</v>
      </c>
      <c r="N9" s="448">
        <f>transport!N14</f>
        <v>0</v>
      </c>
      <c r="O9" s="448">
        <f>transport!O14</f>
        <v>0</v>
      </c>
      <c r="P9" s="448">
        <f>transport!P14</f>
        <v>0</v>
      </c>
      <c r="Q9" s="447">
        <f>SUM(B9:P9)</f>
        <v>471121.00273951847</v>
      </c>
    </row>
    <row r="10" spans="1:17">
      <c r="A10" s="443" t="s">
        <v>526</v>
      </c>
      <c r="B10" s="444">
        <f>transport!B54</f>
        <v>25.718959272114809</v>
      </c>
      <c r="C10" s="444">
        <f>transport!C54</f>
        <v>0</v>
      </c>
      <c r="D10" s="444">
        <f>transport!D54</f>
        <v>0</v>
      </c>
      <c r="E10" s="444">
        <f>transport!E54</f>
        <v>0</v>
      </c>
      <c r="F10" s="444">
        <f>transport!F54</f>
        <v>0</v>
      </c>
      <c r="G10" s="444">
        <f>transport!G54</f>
        <v>1863.3773627169769</v>
      </c>
      <c r="H10" s="444">
        <f>transport!H54</f>
        <v>0</v>
      </c>
      <c r="I10" s="444">
        <f>transport!I54</f>
        <v>0</v>
      </c>
      <c r="J10" s="444">
        <f>transport!J54</f>
        <v>0</v>
      </c>
      <c r="K10" s="444">
        <f>transport!K54</f>
        <v>0</v>
      </c>
      <c r="L10" s="444">
        <f>transport!L54</f>
        <v>0</v>
      </c>
      <c r="M10" s="444">
        <f>transport!M54</f>
        <v>105.39817283523011</v>
      </c>
      <c r="N10" s="444">
        <f>transport!N54</f>
        <v>0</v>
      </c>
      <c r="O10" s="444">
        <f>transport!O54</f>
        <v>0</v>
      </c>
      <c r="P10" s="445">
        <f>transport!P54</f>
        <v>0</v>
      </c>
      <c r="Q10" s="443">
        <f t="shared" si="0"/>
        <v>1994.4944948243217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2169.9822180000001</v>
      </c>
      <c r="C14" s="451"/>
      <c r="D14" s="451">
        <f>'SEAP template'!E25</f>
        <v>5292.6541220000008</v>
      </c>
      <c r="E14" s="451"/>
      <c r="F14" s="451"/>
      <c r="G14" s="451"/>
      <c r="H14" s="451"/>
      <c r="I14" s="451"/>
      <c r="J14" s="451"/>
      <c r="K14" s="451"/>
      <c r="L14" s="451"/>
      <c r="M14" s="451"/>
      <c r="N14" s="451"/>
      <c r="O14" s="451"/>
      <c r="P14" s="452"/>
      <c r="Q14" s="443">
        <f t="shared" si="0"/>
        <v>7462.6363400000009</v>
      </c>
    </row>
    <row r="15" spans="1:17" s="455" customFormat="1">
      <c r="A15" s="453" t="s">
        <v>530</v>
      </c>
      <c r="B15" s="454">
        <f ca="1">SUM(B4:B14)</f>
        <v>221268.57632425951</v>
      </c>
      <c r="C15" s="454">
        <f t="shared" ref="C15:Q15" ca="1" si="1">SUM(C4:C14)</f>
        <v>62.357142857142847</v>
      </c>
      <c r="D15" s="454">
        <f t="shared" ca="1" si="1"/>
        <v>301698.73771939304</v>
      </c>
      <c r="E15" s="454">
        <f t="shared" si="1"/>
        <v>5735.8160764738413</v>
      </c>
      <c r="F15" s="454">
        <f t="shared" ca="1" si="1"/>
        <v>117342.02844594717</v>
      </c>
      <c r="G15" s="454">
        <f t="shared" si="1"/>
        <v>377952.00260740804</v>
      </c>
      <c r="H15" s="454">
        <f t="shared" si="1"/>
        <v>67134.85652319275</v>
      </c>
      <c r="I15" s="454">
        <f t="shared" si="1"/>
        <v>0</v>
      </c>
      <c r="J15" s="454">
        <f t="shared" si="1"/>
        <v>1445.7494098973018</v>
      </c>
      <c r="K15" s="454">
        <f t="shared" si="1"/>
        <v>0</v>
      </c>
      <c r="L15" s="454">
        <f t="shared" ca="1" si="1"/>
        <v>0</v>
      </c>
      <c r="M15" s="454">
        <f t="shared" si="1"/>
        <v>26228.811763428315</v>
      </c>
      <c r="N15" s="454">
        <f t="shared" ca="1" si="1"/>
        <v>28750.209497329306</v>
      </c>
      <c r="O15" s="454">
        <f t="shared" si="1"/>
        <v>899.16133944838111</v>
      </c>
      <c r="P15" s="454">
        <f t="shared" si="1"/>
        <v>1852.8009140651934</v>
      </c>
      <c r="Q15" s="454">
        <f t="shared" ca="1" si="1"/>
        <v>1150371.1077637002</v>
      </c>
    </row>
    <row r="17" spans="1:17">
      <c r="A17" s="456" t="s">
        <v>531</v>
      </c>
      <c r="B17" s="736">
        <f ca="1">huishoudens!B10</f>
        <v>0.18680082173340581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12868.60825495766</v>
      </c>
      <c r="C22" s="444">
        <f t="shared" ref="C22:C32" ca="1" si="3">C4*$C$17</f>
        <v>0</v>
      </c>
      <c r="D22" s="444">
        <f t="shared" ref="D22:D32" si="4">D4*$D$17</f>
        <v>29854.345994382802</v>
      </c>
      <c r="E22" s="444">
        <f t="shared" ref="E22:E32" si="5">E4*$E$17</f>
        <v>869.00608449136564</v>
      </c>
      <c r="F22" s="444">
        <f t="shared" ref="F22:F32" si="6">F4*$F$17</f>
        <v>19670.268931734652</v>
      </c>
      <c r="G22" s="444">
        <f t="shared" ref="G22:G32" si="7">G4*$G$17</f>
        <v>0</v>
      </c>
      <c r="H22" s="444">
        <f t="shared" ref="H22:H32" si="8">H4*$H$17</f>
        <v>0</v>
      </c>
      <c r="I22" s="444">
        <f t="shared" ref="I22:I32" si="9">I4*$I$17</f>
        <v>0</v>
      </c>
      <c r="J22" s="444">
        <f t="shared" ref="J22:J32" si="10">J4*$J$17</f>
        <v>133.45251069020546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63395.681776256686</v>
      </c>
    </row>
    <row r="23" spans="1:17">
      <c r="A23" s="443" t="s">
        <v>149</v>
      </c>
      <c r="B23" s="444">
        <f t="shared" ca="1" si="2"/>
        <v>14972.583019430265</v>
      </c>
      <c r="C23" s="444">
        <f t="shared" ca="1" si="3"/>
        <v>0</v>
      </c>
      <c r="D23" s="444">
        <f t="shared" ca="1" si="4"/>
        <v>18948.778152491355</v>
      </c>
      <c r="E23" s="444">
        <f t="shared" si="5"/>
        <v>59.325722493055082</v>
      </c>
      <c r="F23" s="444">
        <f t="shared" ca="1" si="6"/>
        <v>4424.6902363485824</v>
      </c>
      <c r="G23" s="444">
        <f t="shared" si="7"/>
        <v>0</v>
      </c>
      <c r="H23" s="444">
        <f t="shared" si="8"/>
        <v>0</v>
      </c>
      <c r="I23" s="444">
        <f t="shared" si="9"/>
        <v>0</v>
      </c>
      <c r="J23" s="444">
        <f t="shared" si="10"/>
        <v>4.5350657794584241E-2</v>
      </c>
      <c r="K23" s="444">
        <f t="shared" si="11"/>
        <v>0</v>
      </c>
      <c r="L23" s="444">
        <f t="shared" ca="1" si="12"/>
        <v>0</v>
      </c>
      <c r="M23" s="444">
        <f t="shared" si="13"/>
        <v>0</v>
      </c>
      <c r="N23" s="444">
        <f t="shared" ca="1" si="14"/>
        <v>0</v>
      </c>
      <c r="O23" s="444">
        <f t="shared" si="15"/>
        <v>0</v>
      </c>
      <c r="P23" s="445">
        <f t="shared" si="16"/>
        <v>0</v>
      </c>
      <c r="Q23" s="443">
        <f t="shared" ref="Q23:Q31" ca="1" si="17">SUM(B23:P23)</f>
        <v>38405.422481421054</v>
      </c>
    </row>
    <row r="24" spans="1:17">
      <c r="A24" s="443" t="s">
        <v>187</v>
      </c>
      <c r="B24" s="444">
        <f t="shared" ca="1" si="2"/>
        <v>419.41690167609642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419.41690167609642</v>
      </c>
    </row>
    <row r="25" spans="1:17">
      <c r="A25" s="443" t="s">
        <v>105</v>
      </c>
      <c r="B25" s="444">
        <f t="shared" ca="1" si="2"/>
        <v>658.84802292202926</v>
      </c>
      <c r="C25" s="444">
        <f t="shared" ca="1" si="3"/>
        <v>0</v>
      </c>
      <c r="D25" s="444">
        <f t="shared" si="4"/>
        <v>1113.2140322990722</v>
      </c>
      <c r="E25" s="444">
        <f t="shared" si="5"/>
        <v>32.526789234541148</v>
      </c>
      <c r="F25" s="444">
        <f t="shared" si="6"/>
        <v>3331.1619546780989</v>
      </c>
      <c r="G25" s="444">
        <f t="shared" si="7"/>
        <v>0</v>
      </c>
      <c r="H25" s="444">
        <f t="shared" si="8"/>
        <v>0</v>
      </c>
      <c r="I25" s="444">
        <f t="shared" si="9"/>
        <v>0</v>
      </c>
      <c r="J25" s="444">
        <f t="shared" si="10"/>
        <v>354.74202985508555</v>
      </c>
      <c r="K25" s="444">
        <f t="shared" si="11"/>
        <v>0</v>
      </c>
      <c r="L25" s="444">
        <f t="shared" si="12"/>
        <v>0</v>
      </c>
      <c r="M25" s="444">
        <f t="shared" si="13"/>
        <v>0</v>
      </c>
      <c r="N25" s="444">
        <f t="shared" si="14"/>
        <v>0</v>
      </c>
      <c r="O25" s="444">
        <f t="shared" si="15"/>
        <v>0</v>
      </c>
      <c r="P25" s="445">
        <f t="shared" si="16"/>
        <v>0</v>
      </c>
      <c r="Q25" s="443">
        <f t="shared" ca="1" si="17"/>
        <v>5490.4928289888267</v>
      </c>
    </row>
    <row r="26" spans="1:17">
      <c r="A26" s="443" t="s">
        <v>587</v>
      </c>
      <c r="B26" s="444">
        <f t="shared" ca="1" si="2"/>
        <v>11922.265298584276</v>
      </c>
      <c r="C26" s="444">
        <f t="shared" ca="1" si="3"/>
        <v>0</v>
      </c>
      <c r="D26" s="444">
        <f t="shared" si="4"/>
        <v>9819.7490001815622</v>
      </c>
      <c r="E26" s="444">
        <f t="shared" si="5"/>
        <v>192.22407001398173</v>
      </c>
      <c r="F26" s="444">
        <f t="shared" si="6"/>
        <v>3904.2004723065643</v>
      </c>
      <c r="G26" s="444">
        <f t="shared" si="7"/>
        <v>0</v>
      </c>
      <c r="H26" s="444">
        <f t="shared" si="8"/>
        <v>0</v>
      </c>
      <c r="I26" s="444">
        <f t="shared" si="9"/>
        <v>0</v>
      </c>
      <c r="J26" s="444">
        <f t="shared" si="10"/>
        <v>23.555399900559216</v>
      </c>
      <c r="K26" s="444">
        <f t="shared" si="11"/>
        <v>0</v>
      </c>
      <c r="L26" s="444">
        <f t="shared" si="12"/>
        <v>0</v>
      </c>
      <c r="M26" s="444">
        <f t="shared" si="13"/>
        <v>0</v>
      </c>
      <c r="N26" s="444">
        <f t="shared" si="14"/>
        <v>0</v>
      </c>
      <c r="O26" s="444">
        <f t="shared" si="15"/>
        <v>0</v>
      </c>
      <c r="P26" s="445">
        <f t="shared" si="16"/>
        <v>0</v>
      </c>
      <c r="Q26" s="443">
        <f t="shared" ca="1" si="17"/>
        <v>25861.994240986947</v>
      </c>
    </row>
    <row r="27" spans="1:17" s="449" customFormat="1">
      <c r="A27" s="447" t="s">
        <v>536</v>
      </c>
      <c r="B27" s="730">
        <f t="shared" ca="1" si="2"/>
        <v>81.271599386732049</v>
      </c>
      <c r="C27" s="448">
        <f t="shared" ca="1" si="3"/>
        <v>0</v>
      </c>
      <c r="D27" s="448">
        <f t="shared" si="4"/>
        <v>137.94170731860692</v>
      </c>
      <c r="E27" s="448">
        <f t="shared" si="5"/>
        <v>148.94758312661838</v>
      </c>
      <c r="F27" s="448">
        <f t="shared" si="6"/>
        <v>0</v>
      </c>
      <c r="G27" s="448">
        <f t="shared" si="7"/>
        <v>100415.66294033251</v>
      </c>
      <c r="H27" s="448">
        <f t="shared" si="8"/>
        <v>16716.579274274995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117500.40310443945</v>
      </c>
    </row>
    <row r="28" spans="1:17" ht="16.5" customHeight="1">
      <c r="A28" s="443" t="s">
        <v>526</v>
      </c>
      <c r="B28" s="444">
        <f t="shared" ca="1" si="2"/>
        <v>4.8043227261590431</v>
      </c>
      <c r="C28" s="444">
        <f t="shared" ca="1" si="3"/>
        <v>0</v>
      </c>
      <c r="D28" s="444">
        <f t="shared" si="4"/>
        <v>0</v>
      </c>
      <c r="E28" s="444">
        <f t="shared" si="5"/>
        <v>0</v>
      </c>
      <c r="F28" s="444">
        <f t="shared" si="6"/>
        <v>0</v>
      </c>
      <c r="G28" s="444">
        <f t="shared" si="7"/>
        <v>497.52175584543284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502.32607857159189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405.35446146927859</v>
      </c>
      <c r="C32" s="444">
        <f t="shared" ca="1" si="3"/>
        <v>0</v>
      </c>
      <c r="D32" s="444">
        <f t="shared" si="4"/>
        <v>1069.1161326440003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1474.4705941132788</v>
      </c>
    </row>
    <row r="33" spans="1:17" s="455" customFormat="1">
      <c r="A33" s="453" t="s">
        <v>530</v>
      </c>
      <c r="B33" s="454">
        <f ca="1">SUM(B22:B32)</f>
        <v>41333.151881152495</v>
      </c>
      <c r="C33" s="454">
        <f t="shared" ref="C33:Q33" ca="1" si="19">SUM(C22:C32)</f>
        <v>0</v>
      </c>
      <c r="D33" s="454">
        <f t="shared" ca="1" si="19"/>
        <v>60943.145019317395</v>
      </c>
      <c r="E33" s="454">
        <f t="shared" si="19"/>
        <v>1302.030249359562</v>
      </c>
      <c r="F33" s="454">
        <f t="shared" ca="1" si="19"/>
        <v>31330.3215950679</v>
      </c>
      <c r="G33" s="454">
        <f t="shared" si="19"/>
        <v>100913.18469617794</v>
      </c>
      <c r="H33" s="454">
        <f t="shared" si="19"/>
        <v>16716.579274274995</v>
      </c>
      <c r="I33" s="454">
        <f t="shared" si="19"/>
        <v>0</v>
      </c>
      <c r="J33" s="454">
        <f t="shared" si="19"/>
        <v>511.79529110364479</v>
      </c>
      <c r="K33" s="454">
        <f t="shared" si="19"/>
        <v>0</v>
      </c>
      <c r="L33" s="454">
        <f t="shared" ca="1" si="19"/>
        <v>0</v>
      </c>
      <c r="M33" s="454">
        <f t="shared" si="19"/>
        <v>0</v>
      </c>
      <c r="N33" s="454">
        <f t="shared" ca="1" si="19"/>
        <v>0</v>
      </c>
      <c r="O33" s="454">
        <f t="shared" si="19"/>
        <v>0</v>
      </c>
      <c r="P33" s="454">
        <f t="shared" si="19"/>
        <v>0</v>
      </c>
      <c r="Q33" s="454">
        <f t="shared" ca="1" si="19"/>
        <v>253050.2080064539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16273.708150553528</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17923.381607405066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34240.739757958596</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0.18680082173340581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0.18680082173340581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2022-07-26T10:24:40Z</dcterms:modified>
</cp:coreProperties>
</file>